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Krycí list rozpočtu" sheetId="1" r:id="rId1"/>
    <sheet name="VORN" sheetId="2" r:id="rId2"/>
    <sheet name="Rozpočet - podskupiny" sheetId="3" r:id="rId3"/>
    <sheet name="Stavební rozpočet" sheetId="4" r:id="rId4"/>
  </sheets>
  <definedNames>
    <definedName name="vorn_sum">'VORN'!$I$39:$I$39</definedName>
  </definedNames>
  <calcPr fullCalcOnLoad="1"/>
</workbook>
</file>

<file path=xl/sharedStrings.xml><?xml version="1.0" encoding="utf-8"?>
<sst xmlns="http://schemas.openxmlformats.org/spreadsheetml/2006/main" count="1246" uniqueCount="483">
  <si>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</si>
  <si>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</si>
  <si>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</si>
  <si>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</si>
  <si>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</si>
  <si>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</si>
  <si>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</si>
  <si>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</si>
  <si>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</si>
  <si>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</si>
  <si>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</si>
  <si>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</si>
  <si>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</si>
  <si>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</si>
  <si>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</si>
  <si>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</si>
  <si>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</si>
  <si>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</si>
  <si>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</si>
  <si>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</si>
  <si>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</si>
  <si>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</si>
  <si>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</si>
  <si>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</si>
  <si>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</si>
  <si>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</si>
  <si>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</si>
  <si>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</si>
  <si>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</si>
  <si>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</si>
  <si>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</si>
  <si>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</si>
  <si>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</si>
  <si>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</si>
  <si>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</si>
  <si>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</si>
  <si>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</si>
  <si>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</si>
  <si>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</si>
  <si>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</si>
  <si>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</si>
  <si>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</si>
  <si>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</si>
  <si>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</si>
  <si>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</si>
  <si>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</si>
  <si>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</si>
  <si>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</si>
  <si>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</si>
  <si>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</si>
  <si>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</si>
  <si>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</si>
  <si>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</si>
  <si>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</si>
  <si>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</si>
  <si>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</si>
  <si>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94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</si>
  <si>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</si>
  <si>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</si>
  <si>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</si>
  <si>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</si>
  <si>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</si>
  <si>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</si>
  <si>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</si>
  <si>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Doprava materiálu</t>
  </si>
  <si>
    <t>Uložení potrubí</t>
  </si>
  <si>
    <t>Stavební přípomoce</t>
  </si>
  <si>
    <t>Předávací dokumentace</t>
  </si>
  <si>
    <t>Celkem ORN</t>
  </si>
  <si>
    <t>Vedlejší a ostatní rozpočtové náklady</t>
  </si>
  <si>
    <t>Kč</t>
  </si>
  <si>
    <t>%</t>
  </si>
  <si>
    <t>Základna</t>
  </si>
  <si>
    <t>Slepý stavební rozpočet - Jen podskupiny</t>
  </si>
  <si>
    <t xml:space="preserve"> </t>
  </si>
  <si>
    <t>Objekt</t>
  </si>
  <si>
    <t>Kód</t>
  </si>
  <si>
    <t>13</t>
  </si>
  <si>
    <t>27</t>
  </si>
  <si>
    <t>31</t>
  </si>
  <si>
    <t>41</t>
  </si>
  <si>
    <t>63</t>
  </si>
  <si>
    <t>721</t>
  </si>
  <si>
    <t>722</t>
  </si>
  <si>
    <t>731</t>
  </si>
  <si>
    <t>732</t>
  </si>
  <si>
    <t>733</t>
  </si>
  <si>
    <t>734</t>
  </si>
  <si>
    <t>767</t>
  </si>
  <si>
    <t>783</t>
  </si>
  <si>
    <t>97</t>
  </si>
  <si>
    <t>H721</t>
  </si>
  <si>
    <t>H722</t>
  </si>
  <si>
    <t>H731</t>
  </si>
  <si>
    <t>H732</t>
  </si>
  <si>
    <t>H733</t>
  </si>
  <si>
    <t>H734</t>
  </si>
  <si>
    <t>M21</t>
  </si>
  <si>
    <t>Zkrácený popis</t>
  </si>
  <si>
    <t>Nezařazeno</t>
  </si>
  <si>
    <t>Hloubené vykopávky</t>
  </si>
  <si>
    <t>Základy</t>
  </si>
  <si>
    <t>Zdi podpěrné a volné</t>
  </si>
  <si>
    <t>Stropy a stropní konstrukce (pro pozemní stavby)</t>
  </si>
  <si>
    <t>Podlahy a podlahové konstrukce</t>
  </si>
  <si>
    <t>Vnitřní kanalizace</t>
  </si>
  <si>
    <t>Vnitřní vodovod</t>
  </si>
  <si>
    <t>Kotelny</t>
  </si>
  <si>
    <t>Strojovny</t>
  </si>
  <si>
    <t>Rozvod potrubí</t>
  </si>
  <si>
    <t>Armatury</t>
  </si>
  <si>
    <t>Konstrukce doplňkové stavební (zámečnické)</t>
  </si>
  <si>
    <t>Nátěry</t>
  </si>
  <si>
    <t>Prorážení otvorů a ostatní bourací práce</t>
  </si>
  <si>
    <t>Elektromontáže</t>
  </si>
  <si>
    <t>Doba výstavby:</t>
  </si>
  <si>
    <t>Zpracováno dne:</t>
  </si>
  <si>
    <t>Náklady (Kč)</t>
  </si>
  <si>
    <t>Dodávka</t>
  </si>
  <si>
    <t>Celkem:</t>
  </si>
  <si>
    <t>Celkem</t>
  </si>
  <si>
    <t>Hmotnost (t)</t>
  </si>
  <si>
    <t>F</t>
  </si>
  <si>
    <t>T</t>
  </si>
  <si>
    <t>Slepý stavební rozpočet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</si>
  <si>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</si>
  <si>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</si>
  <si>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</si>
  <si>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</si>
  <si>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</si>
  <si>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</si>
  <si>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</si>
  <si>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</si>
  <si>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</si>
  <si>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</si>
  <si>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</si>
  <si>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</si>
  <si>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</si>
  <si>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</si>
  <si>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</si>
  <si>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</si>
  <si>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</si>
  <si>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</si>
  <si>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</si>
  <si>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</si>
  <si>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</si>
  <si>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</si>
  <si>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</si>
  <si>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</si>
  <si>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</si>
  <si>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</si>
  <si>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</si>
  <si>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</si>
  <si>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</si>
  <si>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</si>
  <si>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</si>
  <si>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</si>
  <si>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</si>
  <si>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</si>
  <si>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</si>
  <si>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</si>
  <si>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</si>
  <si>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</si>
  <si>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</si>
  <si>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</si>
  <si>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</si>
  <si>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</si>
  <si>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</si>
  <si>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</si>
  <si>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</si>
  <si>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</si>
  <si>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</si>
  <si>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</si>
  <si>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</si>
  <si>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</si>
  <si>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</si>
  <si>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</si>
  <si>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</si>
  <si>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</si>
  <si>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</si>
  <si>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</si>
  <si>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</si>
  <si>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</si>
  <si>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</si>
  <si>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</si>
  <si>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</si>
  <si>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</si>
  <si>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</si>
  <si>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</si>
  <si>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</si>
  <si>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</si>
  <si>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</si>
  <si>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</si>
  <si>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</si>
  <si>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</si>
  <si>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</si>
  <si>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</si>
  <si>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</si>
  <si>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</si>
  <si>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</si>
  <si>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</si>
  <si>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</si>
  <si>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</si>
  <si>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</si>
  <si>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</si>
  <si>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</si>
  <si>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</si>
  <si>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</si>
  <si>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</si>
  <si>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</si>
  <si>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</si>
  <si>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</si>
  <si>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</si>
  <si>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</si>
  <si>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132200020RAB</t>
  </si>
  <si>
    <t>274320030RAB</t>
  </si>
  <si>
    <t>311112130RT3</t>
  </si>
  <si>
    <t>317941714RA0</t>
  </si>
  <si>
    <t>314259827R00</t>
  </si>
  <si>
    <t>314259847R00</t>
  </si>
  <si>
    <t>314259817R00</t>
  </si>
  <si>
    <t>314259867RT3</t>
  </si>
  <si>
    <t>314259877R00</t>
  </si>
  <si>
    <t>54171570</t>
  </si>
  <si>
    <t>905      R01</t>
  </si>
  <si>
    <t>411127350R00</t>
  </si>
  <si>
    <t>411121015R00</t>
  </si>
  <si>
    <t>630900020RAC</t>
  </si>
  <si>
    <t>632450026RA0</t>
  </si>
  <si>
    <t>721176101R00</t>
  </si>
  <si>
    <t>721176102R00</t>
  </si>
  <si>
    <t>721176103R00</t>
  </si>
  <si>
    <t>721194103R00</t>
  </si>
  <si>
    <t>721194104R00</t>
  </si>
  <si>
    <t>721290111R00</t>
  </si>
  <si>
    <t>722172312R00</t>
  </si>
  <si>
    <t>722172313R00</t>
  </si>
  <si>
    <t>722181222RT8</t>
  </si>
  <si>
    <t>722181222RU1</t>
  </si>
  <si>
    <t>722190402R00</t>
  </si>
  <si>
    <t>722190403R00</t>
  </si>
  <si>
    <t>722191136R00</t>
  </si>
  <si>
    <t>722237122R00</t>
  </si>
  <si>
    <t>722237123R00</t>
  </si>
  <si>
    <t>722290226R00</t>
  </si>
  <si>
    <t>722290234R00</t>
  </si>
  <si>
    <t>731.2</t>
  </si>
  <si>
    <t>731.3</t>
  </si>
  <si>
    <t>731.4</t>
  </si>
  <si>
    <t>731.5</t>
  </si>
  <si>
    <t>731.6</t>
  </si>
  <si>
    <t>731.7</t>
  </si>
  <si>
    <t>731.8</t>
  </si>
  <si>
    <t>731.9</t>
  </si>
  <si>
    <t>731.11</t>
  </si>
  <si>
    <t>731.12</t>
  </si>
  <si>
    <t>42610997.A</t>
  </si>
  <si>
    <t>732429115R00</t>
  </si>
  <si>
    <t>732331212R00</t>
  </si>
  <si>
    <t>733121214R00</t>
  </si>
  <si>
    <t>733121228R00</t>
  </si>
  <si>
    <t>733121232R00</t>
  </si>
  <si>
    <t>631547326</t>
  </si>
  <si>
    <t>631547324</t>
  </si>
  <si>
    <t>631547115</t>
  </si>
  <si>
    <t>722182011RT1</t>
  </si>
  <si>
    <t>722182018RT1</t>
  </si>
  <si>
    <t>722182018RT2</t>
  </si>
  <si>
    <t>733123114R00</t>
  </si>
  <si>
    <t>733123128R00</t>
  </si>
  <si>
    <t>733123132R00</t>
  </si>
  <si>
    <t>735191910R00</t>
  </si>
  <si>
    <t>733190106R00</t>
  </si>
  <si>
    <t>733190232R00</t>
  </si>
  <si>
    <t>904      R02</t>
  </si>
  <si>
    <t>734215133R00</t>
  </si>
  <si>
    <t>734235123R00</t>
  </si>
  <si>
    <t>734255142R00</t>
  </si>
  <si>
    <t>734265314R00</t>
  </si>
  <si>
    <t>734295321R00</t>
  </si>
  <si>
    <t>734415113R00</t>
  </si>
  <si>
    <t>734421160R00</t>
  </si>
  <si>
    <t>734111418R00</t>
  </si>
  <si>
    <t>734111421R00</t>
  </si>
  <si>
    <t>734121618R00</t>
  </si>
  <si>
    <t>734163119R00</t>
  </si>
  <si>
    <t>734173218R00</t>
  </si>
  <si>
    <t>734173221R00</t>
  </si>
  <si>
    <t>734191717R00</t>
  </si>
  <si>
    <t>1920752T</t>
  </si>
  <si>
    <t>5534451050</t>
  </si>
  <si>
    <t>767651240R00</t>
  </si>
  <si>
    <t>783424340R00</t>
  </si>
  <si>
    <t>783425350R00</t>
  </si>
  <si>
    <t>783426360R00</t>
  </si>
  <si>
    <t>971100021RAA</t>
  </si>
  <si>
    <t>998721201R00</t>
  </si>
  <si>
    <t>998722201R00</t>
  </si>
  <si>
    <t>998731201R00</t>
  </si>
  <si>
    <t>998732201R00</t>
  </si>
  <si>
    <t>998733201R00</t>
  </si>
  <si>
    <t>998734201R00</t>
  </si>
  <si>
    <t>210810057RT1</t>
  </si>
  <si>
    <t>222281501R00</t>
  </si>
  <si>
    <t>210020303R00</t>
  </si>
  <si>
    <t>210100002R00</t>
  </si>
  <si>
    <t>35822002416</t>
  </si>
  <si>
    <t>220890202R00</t>
  </si>
  <si>
    <t>Kotelna na biomasu</t>
  </si>
  <si>
    <t>Kotelna na biomasu, vč. skladu paliva a příslušenství</t>
  </si>
  <si>
    <t>Velké Hamry - Bohdalovice 76, PSČ 468 45</t>
  </si>
  <si>
    <t>Zkrácený popis / Varianta</t>
  </si>
  <si>
    <t>Rozměry</t>
  </si>
  <si>
    <t>Hloubení nezapaž. rýh šířky do 60 cm v hornině 5-7</t>
  </si>
  <si>
    <t>odvoz do 5 km, uložení na skládku</t>
  </si>
  <si>
    <t>Základový pas ŽB z betonu C 16/20, vč. bednění</t>
  </si>
  <si>
    <t>výztuž 120 kg/m3, štěrkopískový podklad 10 cm</t>
  </si>
  <si>
    <t>Stěna z tvárnic ztraceného bednění, tl. 30 cm</t>
  </si>
  <si>
    <t>zalití tvárnic betonem C 20/25</t>
  </si>
  <si>
    <t>Překlad z nosníků I č. 200, dl.4,0 m, zdivo 300 mm</t>
  </si>
  <si>
    <t>Komínové těleso, DN 450 mm</t>
  </si>
  <si>
    <t>Třívrstvý nerezový komín s izolační vrstvou 50 mm</t>
  </si>
  <si>
    <t>Kónická hlavice pro, DN 450 mm</t>
  </si>
  <si>
    <t>Pata komínu, DN 450 mm</t>
  </si>
  <si>
    <t>Prostup střechou, sklon střechy 16°-25° komínu, DN 450 mm</t>
  </si>
  <si>
    <t>Připojovací sopouch komínu, 450 mm</t>
  </si>
  <si>
    <t>Roura kouřovodu ocel 1000/350 mm</t>
  </si>
  <si>
    <t>Revize komínu</t>
  </si>
  <si>
    <t>Panel stropní š. 900 mm, dl. 5000 mm</t>
  </si>
  <si>
    <t>Osazování stropních povalů dl. do 600 cm</t>
  </si>
  <si>
    <t>Vybourání betonové mazaniny</t>
  </si>
  <si>
    <t>tloušťka 15 cm</t>
  </si>
  <si>
    <t>Vyrovnávací potěr          tl. 50mm</t>
  </si>
  <si>
    <t>Potrubí HT připojovací D 32 x 1,8 mm</t>
  </si>
  <si>
    <t>Potrubí HT připojovací D 40 x 1,8 mm</t>
  </si>
  <si>
    <t>Potrubí HT připojovací D 50 x 1,8 mm</t>
  </si>
  <si>
    <t>Vyvedení odpadních výpustek D 32 x 1,8</t>
  </si>
  <si>
    <t>Vyvedení odpadních výpustek D 40 x 1,8</t>
  </si>
  <si>
    <t>Zkouška těsnosti kanalizace vodou DN 125</t>
  </si>
  <si>
    <t>Potrubí z PPR, studená, D 25x3,5 mm, vč.zed.výpom.</t>
  </si>
  <si>
    <t>Potrubí z PPR, studená, D 32x4,4 mm, vč.zed.výpom.</t>
  </si>
  <si>
    <t>Izolace návleková tl. stěny 9 mm</t>
  </si>
  <si>
    <t>vnitřní průměr 25 mm</t>
  </si>
  <si>
    <t>vnitřní průměr 32 mm</t>
  </si>
  <si>
    <t>Vyvedení a upevnění výpustek DN 20</t>
  </si>
  <si>
    <t>Vyvedení a upevnění výpustek DN 25</t>
  </si>
  <si>
    <t>Hadice sanitární flexibilní, DN 15, délka 1,0 m</t>
  </si>
  <si>
    <t>Kohout vod.kul.,2xvnitř.záv. DN 20</t>
  </si>
  <si>
    <t>Kohout vod.kul.,2xvnitř.záv. DN 25</t>
  </si>
  <si>
    <t>Zkouška tlaku potrubí závitového DN 50</t>
  </si>
  <si>
    <t>Proplach a dezinfekce vodovod.potrubí DN 80</t>
  </si>
  <si>
    <t>Šnekový dopravník včetně pohonu D 4000 mm</t>
  </si>
  <si>
    <t>– podlahový kloubový podavač s automatickou detekcí zaseknutí a automatickým reverzem pr.4m</t>
  </si>
  <si>
    <t>Dvoukomorová rotační protipožární klapka</t>
  </si>
  <si>
    <t>– garantuje bezpečný provoz proti zpětnému prohoření</t>
  </si>
  <si>
    <t>– ze spalovací komory do popelníku</t>
  </si>
  <si>
    <t>– z výměníku do popelníku</t>
  </si>
  <si>
    <t>Druhý horkovzdušný přídavný zapalovač</t>
  </si>
  <si>
    <t>– pro nekvalitní palivo</t>
  </si>
  <si>
    <t>Chlazení přikladače</t>
  </si>
  <si>
    <t>Vzdálený přístup s možností napojení na PC</t>
  </si>
  <si>
    <t>– kontrola servisního technika a uživatele
- možnost nastavení základních veličin: např. teplot, chybové hlášení.
- zasílání chybových hlášení pomoci sms, případně emailem</t>
  </si>
  <si>
    <t>Akumulační nádrž 10 000 l</t>
  </si>
  <si>
    <t>- včetně izolace 100 mm a opláštění</t>
  </si>
  <si>
    <t>Doprava a montáž, uvedení do provozu</t>
  </si>
  <si>
    <t>Čerpadlo oběhové DN80, 30 m3/h, 5 m, 80-100</t>
  </si>
  <si>
    <t>Montáž čerpadel oběhových, DN 80</t>
  </si>
  <si>
    <t>Nádoby expanzní tlak. Vse-12, PN 0,6, do 800 l</t>
  </si>
  <si>
    <t>Potrubí hladké bezešvé v kotelnách D 31,8 x 2,6 mm</t>
  </si>
  <si>
    <t>Potrubí hladké bezešvé v kotelnách D 108 x 4,0 mm</t>
  </si>
  <si>
    <t>Potrubí hladké bezešvé v kotelnách D 133 x 4,5 mm</t>
  </si>
  <si>
    <t>Pouzdro potrubní izolační 133/50 mm</t>
  </si>
  <si>
    <t>Pouzdro potrubní izolační 108/50 mm</t>
  </si>
  <si>
    <t>Pouzdro potrubní izolační 35/30 mm</t>
  </si>
  <si>
    <t>Montáž izolač.skruží na potrubí přímé DN 25,páska</t>
  </si>
  <si>
    <t>lepicí páska, sponky ve specifikaci</t>
  </si>
  <si>
    <t>Montáž izolač.skruží na potrubí přímé DN 100,páska</t>
  </si>
  <si>
    <t>lepicí páska a sponky ve specifikaci</t>
  </si>
  <si>
    <t>Montáž izolač.skruží na potrubí přímé DN 125,páska</t>
  </si>
  <si>
    <t>Příplatek za zhotovení přípojek D 31,8 x 2,6 mm</t>
  </si>
  <si>
    <t>Příplatek za zhotovení přípojek D 108 x 4,0 mm</t>
  </si>
  <si>
    <t>Příplatek za zhotovení přípojek D 133 4,5 mm</t>
  </si>
  <si>
    <t>Napuštění vody do otopného systému</t>
  </si>
  <si>
    <t>Tlaková zkouška potrubí  DN 32</t>
  </si>
  <si>
    <t>Tlaková zkouška ocelového hladkého potrubí D 133</t>
  </si>
  <si>
    <t>Hzs-zkousky v ramci montaz.praci</t>
  </si>
  <si>
    <t>Topná zkouška</t>
  </si>
  <si>
    <t>Ventil odvzdušňovací automat. DN 15</t>
  </si>
  <si>
    <t>Kohout kulový,2xvnitřní záv. DN 25</t>
  </si>
  <si>
    <t>Ventil pojistný, DN 32 x 3,0 bar</t>
  </si>
  <si>
    <t>Šroubení topenářské, přímé, DN 25</t>
  </si>
  <si>
    <t>Kohout kul.vypouštěcí,komplet, DN 15</t>
  </si>
  <si>
    <t>Teploměr s jímkou D 63 mm, DN 15</t>
  </si>
  <si>
    <t>Tlakoměr deformační 0-10 MPa, D 100</t>
  </si>
  <si>
    <t>Ventily uzavírací, DN 100</t>
  </si>
  <si>
    <t>Ventily uzavírací, DN 125</t>
  </si>
  <si>
    <t>Ventily zpětné přírubové, DN 100</t>
  </si>
  <si>
    <t>Filtr přírubový, DN100 s nav.přírub</t>
  </si>
  <si>
    <t>Přírubové spoje PN 0,6/I MPa, DN 100</t>
  </si>
  <si>
    <t>Přírubové spoje PN 0,6/I MPa, DN 125</t>
  </si>
  <si>
    <t>Třícestný směšovací ventil, DN 80, kvs 150 m3/h</t>
  </si>
  <si>
    <t>Servopohon ke směšovacím ventil 15 Nm, 230 V, 120 s</t>
  </si>
  <si>
    <t>Vrata ocelová dvoukřídlá, š 3550, h 4000 mm</t>
  </si>
  <si>
    <t>Montáž vrat otočných do ocel.zárubně, pl.nad 13 m2</t>
  </si>
  <si>
    <t>Nátěr syntet. potrubí do DN 50 mm  Z+2x +1x email</t>
  </si>
  <si>
    <t>Nátěr syntet. potrubí do DN 100 mm Z +2x +1x email</t>
  </si>
  <si>
    <t>Nátěr syntet. potrubí do DN 150 mm Z +2x +1x email</t>
  </si>
  <si>
    <t>Vybourání otvorů ve zdivu cihelném</t>
  </si>
  <si>
    <t>tloušťka 30 cm</t>
  </si>
  <si>
    <t>Přesun hmot pro vnitřní kanalizaci, výšky do 6 m</t>
  </si>
  <si>
    <t>Přesun hmot pro vnitřní vodovod, výšky do 6 m</t>
  </si>
  <si>
    <t>Přesun hmot pro kotelny, výšky do 6 m</t>
  </si>
  <si>
    <t>Přesun hmot pro strojovny, výšky do 6 m</t>
  </si>
  <si>
    <t>Přesun hmot pro rozvody potrubí, výšky do 6 m</t>
  </si>
  <si>
    <t>Přesun hmot pro armatury, výšky do 6 m</t>
  </si>
  <si>
    <t>Kabel CYKY-m 750 V 5 žil 4 až 16 mm pevně uložený</t>
  </si>
  <si>
    <t>včetně dodávky kabelu 5x4 mm2</t>
  </si>
  <si>
    <t>JYTY 1 mm-CYKY do 2,5 mm, 2-5 žil, vyváz.ve žlabu</t>
  </si>
  <si>
    <t>Žlab kabelový s příslušenstvím, 62/50 mm s víkem</t>
  </si>
  <si>
    <t>Ukončení vodičů v rozvaděči + zapojení do 6 mm2</t>
  </si>
  <si>
    <t>Jistič do 80 A 3 pól. charakterist. B, LTN-32B-3N</t>
  </si>
  <si>
    <t>Revize</t>
  </si>
  <si>
    <t>M.j.</t>
  </si>
  <si>
    <t>m3</t>
  </si>
  <si>
    <t>m2</t>
  </si>
  <si>
    <t>kus</t>
  </si>
  <si>
    <t>m</t>
  </si>
  <si>
    <t>h</t>
  </si>
  <si>
    <t>soubor</t>
  </si>
  <si>
    <t>Množství</t>
  </si>
  <si>
    <t>07.09.2018</t>
  </si>
  <si>
    <t>Jednot.</t>
  </si>
  <si>
    <t>cena (Kč)</t>
  </si>
  <si>
    <t>GOLEM Velké Hamry, a.s., Velké Hamry - Bohdalovice</t>
  </si>
  <si>
    <t>Ing. Michal Podešva</t>
  </si>
  <si>
    <t>LOMANETA s.r.o., Kouty 26, 757 01 Valašské Meziříč</t>
  </si>
  <si>
    <t>Cenová</t>
  </si>
  <si>
    <t>soustava</t>
  </si>
  <si>
    <t>RTS 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</si>
  <si>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</si>
  <si>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</si>
  <si>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</si>
  <si>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</si>
  <si>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</si>
  <si>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</si>
  <si>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</si>
  <si>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</si>
  <si>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</si>
  <si>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</si>
  <si>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27_</t>
  </si>
  <si>
    <t>31_</t>
  </si>
  <si>
    <t>41_</t>
  </si>
  <si>
    <t>63_</t>
  </si>
  <si>
    <t>721_</t>
  </si>
  <si>
    <t>722_</t>
  </si>
  <si>
    <t>731_</t>
  </si>
  <si>
    <t>732_</t>
  </si>
  <si>
    <t>733_</t>
  </si>
  <si>
    <t>734_</t>
  </si>
  <si>
    <t>767_</t>
  </si>
  <si>
    <t>783_</t>
  </si>
  <si>
    <t>97_</t>
  </si>
  <si>
    <t>H721_</t>
  </si>
  <si>
    <t>H722_</t>
  </si>
  <si>
    <t>H731_</t>
  </si>
  <si>
    <t>H732_</t>
  </si>
  <si>
    <t>H733_</t>
  </si>
  <si>
    <t>H734_</t>
  </si>
  <si>
    <t>M21_</t>
  </si>
  <si>
    <t>_1_</t>
  </si>
  <si>
    <t>_2_</t>
  </si>
  <si>
    <t>_3_</t>
  </si>
  <si>
    <t>_4_</t>
  </si>
  <si>
    <t>_6_</t>
  </si>
  <si>
    <t>_72_</t>
  </si>
  <si>
    <t>_73_</t>
  </si>
  <si>
    <t>_76_</t>
  </si>
  <si>
    <t>_78_</t>
  </si>
  <si>
    <t>_9_</t>
  </si>
  <si>
    <t>_</t>
  </si>
  <si>
    <t>Automatický kotel na tuhá paliva - biomasu (dřevní štěpku) 499 kW (podrobnější specifikace viz příloha 5 zadávací dokumentace)</t>
  </si>
  <si>
    <t>Plně automatické vynášení popela min. 290 l</t>
  </si>
  <si>
    <t>Plně automatické vynášení popela min. 2 x 20l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</si>
</sst>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0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49" fontId="5" fillId="0" borderId="40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left" vertical="center"/>
      <protection/>
    </xf>
    <xf numFmtId="49" fontId="4" fillId="33" borderId="42" xfId="0" applyNumberFormat="1" applyFont="1" applyFill="1" applyBorder="1" applyAlignment="1" applyProtection="1">
      <alignment horizontal="left" vertical="center"/>
      <protection/>
    </xf>
    <xf numFmtId="0" fontId="4" fillId="33" borderId="43" xfId="0" applyNumberFormat="1" applyFont="1" applyFill="1" applyBorder="1" applyAlignment="1" applyProtection="1">
      <alignment horizontal="left" vertical="center"/>
      <protection/>
    </xf>
    <xf numFmtId="49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42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1" xfId="0" applyNumberFormat="1" applyFont="1" applyFill="1" applyBorder="1" applyAlignment="1" applyProtection="1">
      <alignment horizontal="left" vertical="center"/>
      <protection/>
    </xf>
    <xf numFmtId="49" fontId="4" fillId="0" borderId="5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1" xfId="0" applyNumberFormat="1" applyFont="1" applyFill="1" applyBorder="1" applyAlignment="1" applyProtection="1">
      <alignment horizontal="left" vertical="center"/>
      <protection/>
    </xf>
    <xf numFmtId="4" fontId="4" fillId="0" borderId="50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1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2" xfId="0" applyNumberFormat="1" applyFont="1" applyFill="1" applyBorder="1" applyAlignment="1" applyProtection="1">
      <alignment horizontal="left" vertical="center"/>
      <protection/>
    </xf>
    <xf numFmtId="0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56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2"/>
      <c r="B1" s="1"/>
      <c r="C1" s="103" t="s">
        <v>22</v>
      </c>
      <c r="D1" s="104"/>
      <c r="E1" s="104"/>
      <c r="F1" s="104"/>
      <c r="G1" s="104"/>
      <c r="H1" s="104"/>
      <c r="I1" s="104"/>
    </row>
    <row r="2" spans="1:10" ht="12.75">
      <c r="A2" s="105" t="s">
        <v>0</v>
      </c>
      <c r="B2" s="106"/>
      <c r="C2" s="107" t="str">
        <f>'Stavební rozpočet'!D2</f>
        <v>Kotelna na biomasu</v>
      </c>
      <c r="D2" s="108"/>
      <c r="E2" s="110" t="s">
        <v>32</v>
      </c>
      <c r="F2" s="110" t="str">
        <f>'Stavební rozpočet'!J2</f>
        <v>GOLEM Velké Hamry, a.s., Velké Hamry - Bohdalovice</v>
      </c>
      <c r="G2" s="106"/>
      <c r="H2" s="110" t="s">
        <v>52</v>
      </c>
      <c r="I2" s="111"/>
      <c r="J2" s="18"/>
    </row>
    <row r="3" spans="1:10" ht="12.75">
      <c r="A3" s="100"/>
      <c r="B3" s="74"/>
      <c r="C3" s="109"/>
      <c r="D3" s="109"/>
      <c r="E3" s="74"/>
      <c r="F3" s="74"/>
      <c r="G3" s="74"/>
      <c r="H3" s="74"/>
      <c r="I3" s="102"/>
      <c r="J3" s="18"/>
    </row>
    <row r="4" spans="1:10" ht="12.75">
      <c r="A4" s="94" t="s">
        <v>1</v>
      </c>
      <c r="B4" s="74"/>
      <c r="C4" s="73" t="str">
        <f>'Stavební rozpočet'!D4</f>
        <v>Kotelna na biomasu, vč. skladu paliva a příslušenství</v>
      </c>
      <c r="D4" s="74"/>
      <c r="E4" s="73" t="s">
        <v>33</v>
      </c>
      <c r="F4" s="73" t="str">
        <f>'Stavební rozpočet'!J4</f>
        <v>Ing. Michal Podešva</v>
      </c>
      <c r="G4" s="74"/>
      <c r="H4" s="73" t="s">
        <v>52</v>
      </c>
      <c r="I4" s="101"/>
      <c r="J4" s="18"/>
    </row>
    <row r="5" spans="1:10" ht="12.75">
      <c r="A5" s="100"/>
      <c r="B5" s="74"/>
      <c r="C5" s="74"/>
      <c r="D5" s="74"/>
      <c r="E5" s="74"/>
      <c r="F5" s="74"/>
      <c r="G5" s="74"/>
      <c r="H5" s="74"/>
      <c r="I5" s="102"/>
      <c r="J5" s="18"/>
    </row>
    <row r="6" spans="1:10" ht="12.75">
      <c r="A6" s="94" t="s">
        <v>2</v>
      </c>
      <c r="B6" s="74"/>
      <c r="C6" s="73" t="str">
        <f>'Stavební rozpočet'!D6</f>
        <v>Velké Hamry - Bohdalovice 76, PSČ 468 45</v>
      </c>
      <c r="D6" s="74"/>
      <c r="E6" s="73" t="s">
        <v>34</v>
      </c>
      <c r="F6" s="73" t="str">
        <f>'Stavební rozpočet'!J6</f>
        <v>LOMANETA s.r.o., Kouty 26, 757 01 Valašské Meziříč</v>
      </c>
      <c r="G6" s="74"/>
      <c r="H6" s="73" t="s">
        <v>52</v>
      </c>
      <c r="I6" s="101"/>
      <c r="J6" s="18"/>
    </row>
    <row r="7" spans="1:10" ht="12.75">
      <c r="A7" s="100"/>
      <c r="B7" s="74"/>
      <c r="C7" s="74"/>
      <c r="D7" s="74"/>
      <c r="E7" s="74"/>
      <c r="F7" s="74"/>
      <c r="G7" s="74"/>
      <c r="H7" s="74"/>
      <c r="I7" s="102"/>
      <c r="J7" s="18"/>
    </row>
    <row r="8" spans="1:10" ht="12.75">
      <c r="A8" s="94" t="s">
        <v>3</v>
      </c>
      <c r="B8" s="74"/>
      <c r="C8" s="73" t="str">
        <f>'Stavební rozpočet'!G4</f>
        <v>07.09.2018</v>
      </c>
      <c r="D8" s="74"/>
      <c r="E8" s="73" t="s">
        <v>35</v>
      </c>
      <c r="F8" s="73" t="str">
        <f>'Stavební rozpočet'!G6</f>
        <v> </v>
      </c>
      <c r="G8" s="74"/>
      <c r="H8" s="97" t="s">
        <v>53</v>
      </c>
      <c r="I8" s="101" t="s">
        <v>56</v>
      </c>
      <c r="J8" s="18"/>
    </row>
    <row r="9" spans="1:10" ht="12.75">
      <c r="A9" s="100"/>
      <c r="B9" s="74"/>
      <c r="C9" s="74"/>
      <c r="D9" s="74"/>
      <c r="E9" s="74"/>
      <c r="F9" s="74"/>
      <c r="G9" s="74"/>
      <c r="H9" s="74"/>
      <c r="I9" s="102"/>
      <c r="J9" s="18"/>
    </row>
    <row r="10" spans="1:10" ht="12.75">
      <c r="A10" s="94" t="s">
        <v>4</v>
      </c>
      <c r="B10" s="74"/>
      <c r="C10" s="73" t="str">
        <f>'Stavební rozpočet'!D8</f>
        <v> </v>
      </c>
      <c r="D10" s="74"/>
      <c r="E10" s="73" t="s">
        <v>36</v>
      </c>
      <c r="F10" s="73" t="str">
        <f>'Stavební rozpočet'!J8</f>
        <v> </v>
      </c>
      <c r="G10" s="74"/>
      <c r="H10" s="97" t="s">
        <v>54</v>
      </c>
      <c r="I10" s="98" t="str">
        <f>'Stavební rozpočet'!G8</f>
        <v>07.09.2018</v>
      </c>
      <c r="J10" s="18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9"/>
      <c r="J11" s="18"/>
    </row>
    <row r="12" spans="1:9" ht="23.25" customHeight="1">
      <c r="A12" s="90" t="s">
        <v>5</v>
      </c>
      <c r="B12" s="91"/>
      <c r="C12" s="91"/>
      <c r="D12" s="91"/>
      <c r="E12" s="91"/>
      <c r="F12" s="91"/>
      <c r="G12" s="91"/>
      <c r="H12" s="91"/>
      <c r="I12" s="91"/>
    </row>
    <row r="13" spans="1:10" ht="26.25" customHeight="1">
      <c r="A13" s="2" t="s">
        <v>6</v>
      </c>
      <c r="B13" s="92" t="s">
        <v>19</v>
      </c>
      <c r="C13" s="93"/>
      <c r="D13" s="2" t="s">
        <v>23</v>
      </c>
      <c r="E13" s="92" t="s">
        <v>37</v>
      </c>
      <c r="F13" s="93"/>
      <c r="G13" s="2" t="s">
        <v>38</v>
      </c>
      <c r="H13" s="92" t="s">
        <v>55</v>
      </c>
      <c r="I13" s="93"/>
      <c r="J13" s="18"/>
    </row>
    <row r="14" spans="1:10" ht="15" customHeight="1">
      <c r="A14" s="3" t="s">
        <v>7</v>
      </c>
      <c r="B14" s="8" t="s">
        <v>20</v>
      </c>
      <c r="C14" s="12">
        <f>SUM('Stavební rozpočet'!R12:R152)</f>
        <v>0</v>
      </c>
      <c r="D14" s="88" t="s">
        <v>24</v>
      </c>
      <c r="E14" s="89"/>
      <c r="F14" s="12">
        <f>VORN!I15</f>
        <v>0</v>
      </c>
      <c r="G14" s="88" t="s">
        <v>39</v>
      </c>
      <c r="H14" s="89"/>
      <c r="I14" s="12">
        <f>VORN!I21</f>
        <v>0</v>
      </c>
      <c r="J14" s="18"/>
    </row>
    <row r="15" spans="1:10" ht="15" customHeight="1">
      <c r="A15" s="4"/>
      <c r="B15" s="8" t="s">
        <v>21</v>
      </c>
      <c r="C15" s="12">
        <f>SUM('Stavební rozpočet'!S12:S152)</f>
        <v>0</v>
      </c>
      <c r="D15" s="88" t="s">
        <v>25</v>
      </c>
      <c r="E15" s="89"/>
      <c r="F15" s="12">
        <f>VORN!I16</f>
        <v>0</v>
      </c>
      <c r="G15" s="88" t="s">
        <v>40</v>
      </c>
      <c r="H15" s="89"/>
      <c r="I15" s="12">
        <f>VORN!I22</f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rozpočet'!T12:T152)</f>
        <v>0</v>
      </c>
      <c r="D16" s="88" t="s">
        <v>26</v>
      </c>
      <c r="E16" s="89"/>
      <c r="F16" s="12">
        <f>VORN!I17</f>
        <v>0</v>
      </c>
      <c r="G16" s="88" t="s">
        <v>41</v>
      </c>
      <c r="H16" s="89"/>
      <c r="I16" s="12">
        <f>VORN!I23</f>
        <v>0</v>
      </c>
      <c r="J16" s="18"/>
    </row>
    <row r="17" spans="1:10" ht="15" customHeight="1">
      <c r="A17" s="4"/>
      <c r="B17" s="8" t="s">
        <v>21</v>
      </c>
      <c r="C17" s="12">
        <f>SUM('Stavební rozpočet'!U12:U152)</f>
        <v>0</v>
      </c>
      <c r="D17" s="88"/>
      <c r="E17" s="89"/>
      <c r="F17" s="13"/>
      <c r="G17" s="88" t="s">
        <v>42</v>
      </c>
      <c r="H17" s="89"/>
      <c r="I17" s="12">
        <f>VORN!I24</f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rozpočet'!V12:V152)</f>
        <v>0</v>
      </c>
      <c r="D18" s="88"/>
      <c r="E18" s="89"/>
      <c r="F18" s="13"/>
      <c r="G18" s="88" t="s">
        <v>43</v>
      </c>
      <c r="H18" s="89"/>
      <c r="I18" s="12">
        <f>VORN!I25</f>
        <v>0</v>
      </c>
      <c r="J18" s="18"/>
    </row>
    <row r="19" spans="1:10" ht="15" customHeight="1">
      <c r="A19" s="4"/>
      <c r="B19" s="8" t="s">
        <v>21</v>
      </c>
      <c r="C19" s="12">
        <f>SUM('Stavební rozpočet'!W12:W152)</f>
        <v>0</v>
      </c>
      <c r="D19" s="88"/>
      <c r="E19" s="89"/>
      <c r="F19" s="13"/>
      <c r="G19" s="88" t="s">
        <v>44</v>
      </c>
      <c r="H19" s="89"/>
      <c r="I19" s="12">
        <f>VORN!I26</f>
        <v>0</v>
      </c>
      <c r="J19" s="18"/>
    </row>
    <row r="20" spans="1:10" ht="15" customHeight="1">
      <c r="A20" s="86" t="s">
        <v>10</v>
      </c>
      <c r="B20" s="87"/>
      <c r="C20" s="12">
        <f>SUM('Stavební rozpočet'!X12:X152)</f>
        <v>0</v>
      </c>
      <c r="D20" s="88"/>
      <c r="E20" s="89"/>
      <c r="F20" s="13"/>
      <c r="G20" s="88"/>
      <c r="H20" s="89"/>
      <c r="I20" s="13"/>
      <c r="J20" s="18"/>
    </row>
    <row r="21" spans="1:10" ht="15" customHeight="1">
      <c r="A21" s="86" t="s">
        <v>11</v>
      </c>
      <c r="B21" s="87"/>
      <c r="C21" s="12">
        <f>SUM('Stavební rozpočet'!P12:P152)</f>
        <v>0</v>
      </c>
      <c r="D21" s="88"/>
      <c r="E21" s="89"/>
      <c r="F21" s="13"/>
      <c r="G21" s="88"/>
      <c r="H21" s="89"/>
      <c r="I21" s="13"/>
      <c r="J21" s="18"/>
    </row>
    <row r="22" spans="1:10" ht="16.5" customHeight="1">
      <c r="A22" s="86" t="s">
        <v>12</v>
      </c>
      <c r="B22" s="87"/>
      <c r="C22" s="12">
        <f>SUM(C14:C21)</f>
        <v>0</v>
      </c>
      <c r="D22" s="86" t="s">
        <v>27</v>
      </c>
      <c r="E22" s="87"/>
      <c r="F22" s="12">
        <f>SUM(F14:F21)</f>
        <v>0</v>
      </c>
      <c r="G22" s="86" t="s">
        <v>45</v>
      </c>
      <c r="H22" s="87"/>
      <c r="I22" s="12">
        <f>SUM(I14:I21)</f>
        <v>0</v>
      </c>
      <c r="J22" s="18"/>
    </row>
    <row r="23" spans="1:10" ht="15" customHeight="1">
      <c r="A23" s="5"/>
      <c r="B23" s="5"/>
      <c r="C23" s="10"/>
      <c r="D23" s="86" t="s">
        <v>28</v>
      </c>
      <c r="E23" s="87"/>
      <c r="F23" s="14">
        <v>0</v>
      </c>
      <c r="G23" s="86" t="s">
        <v>46</v>
      </c>
      <c r="H23" s="87"/>
      <c r="I23" s="12">
        <v>0</v>
      </c>
      <c r="J23" s="18"/>
    </row>
    <row r="24" spans="4:10" ht="15" customHeight="1">
      <c r="D24" s="5"/>
      <c r="E24" s="5"/>
      <c r="F24" s="15"/>
      <c r="G24" s="86" t="s">
        <v>47</v>
      </c>
      <c r="H24" s="87"/>
      <c r="I24" s="12">
        <f>vorn_sum</f>
        <v>0</v>
      </c>
      <c r="J24" s="18"/>
    </row>
    <row r="25" spans="6:10" ht="15" customHeight="1">
      <c r="F25" s="16"/>
      <c r="G25" s="86" t="s">
        <v>48</v>
      </c>
      <c r="H25" s="87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81" t="s">
        <v>13</v>
      </c>
      <c r="B27" s="82"/>
      <c r="C27" s="20">
        <f>SUM('Stavební rozpočet'!Z12:Z152)</f>
        <v>0</v>
      </c>
      <c r="D27" s="11"/>
      <c r="E27" s="1"/>
      <c r="F27" s="1"/>
      <c r="G27" s="1"/>
      <c r="H27" s="1"/>
      <c r="I27" s="1"/>
    </row>
    <row r="28" spans="1:10" ht="15" customHeight="1">
      <c r="A28" s="81" t="s">
        <v>14</v>
      </c>
      <c r="B28" s="82"/>
      <c r="C28" s="20">
        <f>SUM('Stavební rozpočet'!AA12:AA152)</f>
        <v>0</v>
      </c>
      <c r="D28" s="81" t="s">
        <v>29</v>
      </c>
      <c r="E28" s="82"/>
      <c r="F28" s="20">
        <f>ROUND(C28*(15/100),2)</f>
        <v>0</v>
      </c>
      <c r="G28" s="81" t="s">
        <v>49</v>
      </c>
      <c r="H28" s="82"/>
      <c r="I28" s="20">
        <f>SUM(C27:C29)</f>
        <v>0</v>
      </c>
      <c r="J28" s="18"/>
    </row>
    <row r="29" spans="1:10" ht="15" customHeight="1">
      <c r="A29" s="81" t="s">
        <v>15</v>
      </c>
      <c r="B29" s="82"/>
      <c r="C29" s="20">
        <f>SUM('Stavební rozpočet'!AB12:AB152)+(F22+I22+F23+I23+I24+I25)</f>
        <v>0</v>
      </c>
      <c r="D29" s="81" t="s">
        <v>30</v>
      </c>
      <c r="E29" s="82"/>
      <c r="F29" s="20">
        <f>ROUND(C29*(21/100),2)</f>
        <v>0</v>
      </c>
      <c r="G29" s="81" t="s">
        <v>50</v>
      </c>
      <c r="H29" s="82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83" t="s">
        <v>16</v>
      </c>
      <c r="B31" s="84"/>
      <c r="C31" s="85"/>
      <c r="D31" s="83" t="s">
        <v>31</v>
      </c>
      <c r="E31" s="84"/>
      <c r="F31" s="85"/>
      <c r="G31" s="83" t="s">
        <v>51</v>
      </c>
      <c r="H31" s="84"/>
      <c r="I31" s="85"/>
      <c r="J31" s="19"/>
    </row>
    <row r="32" spans="1:10" ht="14.25" customHeight="1">
      <c r="A32" s="75"/>
      <c r="B32" s="76"/>
      <c r="C32" s="77"/>
      <c r="D32" s="75"/>
      <c r="E32" s="76"/>
      <c r="F32" s="77"/>
      <c r="G32" s="75"/>
      <c r="H32" s="76"/>
      <c r="I32" s="77"/>
      <c r="J32" s="19"/>
    </row>
    <row r="33" spans="1:10" ht="14.25" customHeight="1">
      <c r="A33" s="75"/>
      <c r="B33" s="76"/>
      <c r="C33" s="77"/>
      <c r="D33" s="75"/>
      <c r="E33" s="76"/>
      <c r="F33" s="77"/>
      <c r="G33" s="75"/>
      <c r="H33" s="76"/>
      <c r="I33" s="77"/>
      <c r="J33" s="19"/>
    </row>
    <row r="34" spans="1:10" ht="14.25" customHeight="1">
      <c r="A34" s="75"/>
      <c r="B34" s="76"/>
      <c r="C34" s="77"/>
      <c r="D34" s="75"/>
      <c r="E34" s="76"/>
      <c r="F34" s="77"/>
      <c r="G34" s="75"/>
      <c r="H34" s="76"/>
      <c r="I34" s="77"/>
      <c r="J34" s="19"/>
    </row>
    <row r="35" spans="1:10" ht="14.25" customHeight="1">
      <c r="A35" s="78" t="s">
        <v>17</v>
      </c>
      <c r="B35" s="79"/>
      <c r="C35" s="80"/>
      <c r="D35" s="78" t="s">
        <v>17</v>
      </c>
      <c r="E35" s="79"/>
      <c r="F35" s="80"/>
      <c r="G35" s="78" t="s">
        <v>17</v>
      </c>
      <c r="H35" s="79"/>
      <c r="I35" s="80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73"/>
      <c r="B37" s="74"/>
      <c r="C37" s="74"/>
      <c r="D37" s="74"/>
      <c r="E37" s="74"/>
      <c r="F37" s="74"/>
      <c r="G37" s="74"/>
      <c r="H37" s="74"/>
      <c r="I37" s="74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2"/>
      <c r="B1" s="1"/>
      <c r="C1" s="103" t="s">
        <v>69</v>
      </c>
      <c r="D1" s="104"/>
      <c r="E1" s="104"/>
      <c r="F1" s="104"/>
      <c r="G1" s="104"/>
      <c r="H1" s="104"/>
      <c r="I1" s="104"/>
    </row>
    <row r="2" spans="1:10" ht="12.75">
      <c r="A2" s="105" t="s">
        <v>0</v>
      </c>
      <c r="B2" s="106"/>
      <c r="C2" s="107" t="str">
        <f>'Stavební rozpočet'!D2</f>
        <v>Kotelna na biomasu</v>
      </c>
      <c r="D2" s="108"/>
      <c r="E2" s="110" t="s">
        <v>32</v>
      </c>
      <c r="F2" s="110" t="str">
        <f>'Stavební rozpočet'!J2</f>
        <v>GOLEM Velké Hamry, a.s., Velké Hamry - Bohdalovice</v>
      </c>
      <c r="G2" s="106"/>
      <c r="H2" s="110" t="s">
        <v>52</v>
      </c>
      <c r="I2" s="111"/>
      <c r="J2" s="18"/>
    </row>
    <row r="3" spans="1:10" ht="12.75">
      <c r="A3" s="100"/>
      <c r="B3" s="74"/>
      <c r="C3" s="109"/>
      <c r="D3" s="109"/>
      <c r="E3" s="74"/>
      <c r="F3" s="74"/>
      <c r="G3" s="74"/>
      <c r="H3" s="74"/>
      <c r="I3" s="102"/>
      <c r="J3" s="18"/>
    </row>
    <row r="4" spans="1:10" ht="12.75">
      <c r="A4" s="94" t="s">
        <v>1</v>
      </c>
      <c r="B4" s="74"/>
      <c r="C4" s="73" t="str">
        <f>'Stavební rozpočet'!D4</f>
        <v>Kotelna na biomasu, vč. skladu paliva a příslušenství</v>
      </c>
      <c r="D4" s="74"/>
      <c r="E4" s="73" t="s">
        <v>33</v>
      </c>
      <c r="F4" s="73" t="str">
        <f>'Stavební rozpočet'!J4</f>
        <v>Ing. Michal Podešva</v>
      </c>
      <c r="G4" s="74"/>
      <c r="H4" s="73" t="s">
        <v>52</v>
      </c>
      <c r="I4" s="101"/>
      <c r="J4" s="18"/>
    </row>
    <row r="5" spans="1:10" ht="12.75">
      <c r="A5" s="100"/>
      <c r="B5" s="74"/>
      <c r="C5" s="74"/>
      <c r="D5" s="74"/>
      <c r="E5" s="74"/>
      <c r="F5" s="74"/>
      <c r="G5" s="74"/>
      <c r="H5" s="74"/>
      <c r="I5" s="102"/>
      <c r="J5" s="18"/>
    </row>
    <row r="6" spans="1:10" ht="12.75">
      <c r="A6" s="94" t="s">
        <v>2</v>
      </c>
      <c r="B6" s="74"/>
      <c r="C6" s="73" t="str">
        <f>'Stavební rozpočet'!D6</f>
        <v>Velké Hamry - Bohdalovice 76, PSČ 468 45</v>
      </c>
      <c r="D6" s="74"/>
      <c r="E6" s="73" t="s">
        <v>34</v>
      </c>
      <c r="F6" s="73" t="str">
        <f>'Stavební rozpočet'!J6</f>
        <v>LOMANETA s.r.o., Kouty 26, 757 01 Valašské Meziříč</v>
      </c>
      <c r="G6" s="74"/>
      <c r="H6" s="73" t="s">
        <v>52</v>
      </c>
      <c r="I6" s="101"/>
      <c r="J6" s="18"/>
    </row>
    <row r="7" spans="1:10" ht="12.75">
      <c r="A7" s="100"/>
      <c r="B7" s="74"/>
      <c r="C7" s="74"/>
      <c r="D7" s="74"/>
      <c r="E7" s="74"/>
      <c r="F7" s="74"/>
      <c r="G7" s="74"/>
      <c r="H7" s="74"/>
      <c r="I7" s="102"/>
      <c r="J7" s="18"/>
    </row>
    <row r="8" spans="1:10" ht="12.75">
      <c r="A8" s="94" t="s">
        <v>3</v>
      </c>
      <c r="B8" s="74"/>
      <c r="C8" s="73" t="str">
        <f>'Stavební rozpočet'!G4</f>
        <v>07.09.2018</v>
      </c>
      <c r="D8" s="74"/>
      <c r="E8" s="73" t="s">
        <v>35</v>
      </c>
      <c r="F8" s="73" t="str">
        <f>'Stavební rozpočet'!G6</f>
        <v> </v>
      </c>
      <c r="G8" s="74"/>
      <c r="H8" s="97" t="s">
        <v>53</v>
      </c>
      <c r="I8" s="101" t="s">
        <v>56</v>
      </c>
      <c r="J8" s="18"/>
    </row>
    <row r="9" spans="1:10" ht="12.75">
      <c r="A9" s="100"/>
      <c r="B9" s="74"/>
      <c r="C9" s="74"/>
      <c r="D9" s="74"/>
      <c r="E9" s="74"/>
      <c r="F9" s="74"/>
      <c r="G9" s="74"/>
      <c r="H9" s="74"/>
      <c r="I9" s="102"/>
      <c r="J9" s="18"/>
    </row>
    <row r="10" spans="1:10" ht="12.75">
      <c r="A10" s="94" t="s">
        <v>4</v>
      </c>
      <c r="B10" s="74"/>
      <c r="C10" s="73" t="str">
        <f>'Stavební rozpočet'!D8</f>
        <v> </v>
      </c>
      <c r="D10" s="74"/>
      <c r="E10" s="73" t="s">
        <v>36</v>
      </c>
      <c r="F10" s="73" t="str">
        <f>'Stavební rozpočet'!J8</f>
        <v> </v>
      </c>
      <c r="G10" s="74"/>
      <c r="H10" s="97" t="s">
        <v>54</v>
      </c>
      <c r="I10" s="98" t="str">
        <f>'Stavební rozpočet'!G8</f>
        <v>07.09.2018</v>
      </c>
      <c r="J10" s="18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9"/>
      <c r="J11" s="18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27" t="s">
        <v>57</v>
      </c>
      <c r="B13" s="128"/>
      <c r="C13" s="128"/>
      <c r="D13" s="128"/>
      <c r="E13" s="128"/>
      <c r="F13" s="22"/>
      <c r="G13" s="22"/>
      <c r="H13" s="22"/>
      <c r="I13" s="22"/>
    </row>
    <row r="14" spans="1:10" ht="12.75">
      <c r="A14" s="129" t="s">
        <v>58</v>
      </c>
      <c r="B14" s="130"/>
      <c r="C14" s="130"/>
      <c r="D14" s="130"/>
      <c r="E14" s="131"/>
      <c r="F14" s="23" t="s">
        <v>70</v>
      </c>
      <c r="G14" s="23" t="s">
        <v>71</v>
      </c>
      <c r="H14" s="23" t="s">
        <v>72</v>
      </c>
      <c r="I14" s="23" t="s">
        <v>70</v>
      </c>
      <c r="J14" s="19"/>
    </row>
    <row r="15" spans="1:10" ht="12.75">
      <c r="A15" s="112" t="s">
        <v>24</v>
      </c>
      <c r="B15" s="113"/>
      <c r="C15" s="113"/>
      <c r="D15" s="113"/>
      <c r="E15" s="114"/>
      <c r="F15" s="24">
        <v>0</v>
      </c>
      <c r="G15" s="27"/>
      <c r="H15" s="27"/>
      <c r="I15" s="24">
        <f>F15</f>
        <v>0</v>
      </c>
      <c r="J15" s="18"/>
    </row>
    <row r="16" spans="1:10" ht="12.75">
      <c r="A16" s="112" t="s">
        <v>25</v>
      </c>
      <c r="B16" s="113"/>
      <c r="C16" s="113"/>
      <c r="D16" s="113"/>
      <c r="E16" s="114"/>
      <c r="F16" s="24">
        <v>0</v>
      </c>
      <c r="G16" s="27"/>
      <c r="H16" s="27"/>
      <c r="I16" s="24">
        <f>F16</f>
        <v>0</v>
      </c>
      <c r="J16" s="18"/>
    </row>
    <row r="17" spans="1:10" ht="12.75">
      <c r="A17" s="115" t="s">
        <v>26</v>
      </c>
      <c r="B17" s="116"/>
      <c r="C17" s="116"/>
      <c r="D17" s="116"/>
      <c r="E17" s="117"/>
      <c r="F17" s="25">
        <v>0</v>
      </c>
      <c r="G17" s="28"/>
      <c r="H17" s="28"/>
      <c r="I17" s="25">
        <f>F17</f>
        <v>0</v>
      </c>
      <c r="J17" s="18"/>
    </row>
    <row r="18" spans="1:10" ht="12.75">
      <c r="A18" s="118" t="s">
        <v>59</v>
      </c>
      <c r="B18" s="119"/>
      <c r="C18" s="119"/>
      <c r="D18" s="119"/>
      <c r="E18" s="120"/>
      <c r="F18" s="26"/>
      <c r="G18" s="29"/>
      <c r="H18" s="29"/>
      <c r="I18" s="30">
        <f>SUM(I15:I17)</f>
        <v>0</v>
      </c>
      <c r="J18" s="19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10" ht="12.75">
      <c r="A20" s="129" t="s">
        <v>55</v>
      </c>
      <c r="B20" s="130"/>
      <c r="C20" s="130"/>
      <c r="D20" s="130"/>
      <c r="E20" s="131"/>
      <c r="F20" s="23" t="s">
        <v>70</v>
      </c>
      <c r="G20" s="23" t="s">
        <v>71</v>
      </c>
      <c r="H20" s="23" t="s">
        <v>72</v>
      </c>
      <c r="I20" s="23" t="s">
        <v>70</v>
      </c>
      <c r="J20" s="19"/>
    </row>
    <row r="21" spans="1:10" ht="12.75">
      <c r="A21" s="112" t="s">
        <v>39</v>
      </c>
      <c r="B21" s="113"/>
      <c r="C21" s="113"/>
      <c r="D21" s="113"/>
      <c r="E21" s="114"/>
      <c r="F21" s="24">
        <v>0</v>
      </c>
      <c r="G21" s="27"/>
      <c r="H21" s="27"/>
      <c r="I21" s="24">
        <f aca="true" t="shared" si="0" ref="I21:I26">F21</f>
        <v>0</v>
      </c>
      <c r="J21" s="18"/>
    </row>
    <row r="22" spans="1:10" ht="12.75">
      <c r="A22" s="112" t="s">
        <v>40</v>
      </c>
      <c r="B22" s="113"/>
      <c r="C22" s="113"/>
      <c r="D22" s="113"/>
      <c r="E22" s="114"/>
      <c r="F22" s="24">
        <v>0</v>
      </c>
      <c r="G22" s="27"/>
      <c r="H22" s="27"/>
      <c r="I22" s="24">
        <f t="shared" si="0"/>
        <v>0</v>
      </c>
      <c r="J22" s="18"/>
    </row>
    <row r="23" spans="1:10" ht="12.75">
      <c r="A23" s="112" t="s">
        <v>41</v>
      </c>
      <c r="B23" s="113"/>
      <c r="C23" s="113"/>
      <c r="D23" s="113"/>
      <c r="E23" s="114"/>
      <c r="F23" s="24">
        <v>0</v>
      </c>
      <c r="G23" s="27"/>
      <c r="H23" s="27"/>
      <c r="I23" s="24">
        <f t="shared" si="0"/>
        <v>0</v>
      </c>
      <c r="J23" s="18"/>
    </row>
    <row r="24" spans="1:10" ht="12.75">
      <c r="A24" s="112" t="s">
        <v>42</v>
      </c>
      <c r="B24" s="113"/>
      <c r="C24" s="113"/>
      <c r="D24" s="113"/>
      <c r="E24" s="114"/>
      <c r="F24" s="24">
        <v>0</v>
      </c>
      <c r="G24" s="27"/>
      <c r="H24" s="27"/>
      <c r="I24" s="24">
        <f t="shared" si="0"/>
        <v>0</v>
      </c>
      <c r="J24" s="18"/>
    </row>
    <row r="25" spans="1:10" ht="12.75">
      <c r="A25" s="112" t="s">
        <v>43</v>
      </c>
      <c r="B25" s="113"/>
      <c r="C25" s="113"/>
      <c r="D25" s="113"/>
      <c r="E25" s="114"/>
      <c r="F25" s="24">
        <v>0</v>
      </c>
      <c r="G25" s="27"/>
      <c r="H25" s="27"/>
      <c r="I25" s="24">
        <f t="shared" si="0"/>
        <v>0</v>
      </c>
      <c r="J25" s="18"/>
    </row>
    <row r="26" spans="1:10" ht="12.75">
      <c r="A26" s="115" t="s">
        <v>44</v>
      </c>
      <c r="B26" s="116"/>
      <c r="C26" s="116"/>
      <c r="D26" s="116"/>
      <c r="E26" s="117"/>
      <c r="F26" s="25">
        <v>0</v>
      </c>
      <c r="G26" s="28"/>
      <c r="H26" s="28"/>
      <c r="I26" s="25">
        <f t="shared" si="0"/>
        <v>0</v>
      </c>
      <c r="J26" s="18"/>
    </row>
    <row r="27" spans="1:10" ht="12.75">
      <c r="A27" s="118" t="s">
        <v>60</v>
      </c>
      <c r="B27" s="119"/>
      <c r="C27" s="119"/>
      <c r="D27" s="119"/>
      <c r="E27" s="120"/>
      <c r="F27" s="26"/>
      <c r="G27" s="29"/>
      <c r="H27" s="29"/>
      <c r="I27" s="30">
        <f>SUM(I21:I26)</f>
        <v>0</v>
      </c>
      <c r="J27" s="19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5" customHeight="1">
      <c r="A29" s="121" t="s">
        <v>61</v>
      </c>
      <c r="B29" s="122"/>
      <c r="C29" s="122"/>
      <c r="D29" s="122"/>
      <c r="E29" s="123"/>
      <c r="F29" s="124">
        <f>I18+I27</f>
        <v>0</v>
      </c>
      <c r="G29" s="125"/>
      <c r="H29" s="125"/>
      <c r="I29" s="126"/>
      <c r="J29" s="1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27" t="s">
        <v>62</v>
      </c>
      <c r="B33" s="128"/>
      <c r="C33" s="128"/>
      <c r="D33" s="128"/>
      <c r="E33" s="128"/>
      <c r="F33" s="22"/>
      <c r="G33" s="22"/>
      <c r="H33" s="22"/>
      <c r="I33" s="22"/>
    </row>
    <row r="34" spans="1:10" ht="12.75">
      <c r="A34" s="129" t="s">
        <v>63</v>
      </c>
      <c r="B34" s="130"/>
      <c r="C34" s="130"/>
      <c r="D34" s="130"/>
      <c r="E34" s="131"/>
      <c r="F34" s="23" t="s">
        <v>70</v>
      </c>
      <c r="G34" s="23" t="s">
        <v>71</v>
      </c>
      <c r="H34" s="23" t="s">
        <v>72</v>
      </c>
      <c r="I34" s="23" t="s">
        <v>70</v>
      </c>
      <c r="J34" s="19"/>
    </row>
    <row r="35" spans="1:10" ht="12.75">
      <c r="A35" s="112" t="s">
        <v>64</v>
      </c>
      <c r="B35" s="113"/>
      <c r="C35" s="113"/>
      <c r="D35" s="113"/>
      <c r="E35" s="114"/>
      <c r="F35" s="27"/>
      <c r="G35" s="24">
        <v>0.4</v>
      </c>
      <c r="H35" s="24">
        <f>'Krycí list rozpočtu'!C22</f>
        <v>0</v>
      </c>
      <c r="I35" s="24">
        <f>(G35/100)*H35</f>
        <v>0</v>
      </c>
      <c r="J35" s="18"/>
    </row>
    <row r="36" spans="1:10" ht="12.75">
      <c r="A36" s="112" t="s">
        <v>65</v>
      </c>
      <c r="B36" s="113"/>
      <c r="C36" s="113"/>
      <c r="D36" s="113"/>
      <c r="E36" s="114"/>
      <c r="F36" s="27"/>
      <c r="G36" s="24">
        <v>0.5</v>
      </c>
      <c r="H36" s="24">
        <f>'Krycí list rozpočtu'!C22</f>
        <v>0</v>
      </c>
      <c r="I36" s="24">
        <f>(G36/100)*H36</f>
        <v>0</v>
      </c>
      <c r="J36" s="18"/>
    </row>
    <row r="37" spans="1:10" ht="12.75">
      <c r="A37" s="112" t="s">
        <v>66</v>
      </c>
      <c r="B37" s="113"/>
      <c r="C37" s="113"/>
      <c r="D37" s="113"/>
      <c r="E37" s="114"/>
      <c r="F37" s="27"/>
      <c r="G37" s="24">
        <v>0.8</v>
      </c>
      <c r="H37" s="24">
        <f>'Krycí list rozpočtu'!C22</f>
        <v>0</v>
      </c>
      <c r="I37" s="24">
        <f>(G37/100)*H37</f>
        <v>0</v>
      </c>
      <c r="J37" s="18"/>
    </row>
    <row r="38" spans="1:10" ht="12.75">
      <c r="A38" s="115" t="s">
        <v>67</v>
      </c>
      <c r="B38" s="116"/>
      <c r="C38" s="116"/>
      <c r="D38" s="116"/>
      <c r="E38" s="117"/>
      <c r="F38" s="28"/>
      <c r="G38" s="25">
        <v>0.2</v>
      </c>
      <c r="H38" s="25">
        <f>'Krycí list rozpočtu'!C22</f>
        <v>0</v>
      </c>
      <c r="I38" s="25">
        <f>(G38/100)*H38</f>
        <v>0</v>
      </c>
      <c r="J38" s="18"/>
    </row>
    <row r="39" spans="1:10" ht="12.75">
      <c r="A39" s="118" t="s">
        <v>68</v>
      </c>
      <c r="B39" s="119"/>
      <c r="C39" s="119"/>
      <c r="D39" s="119"/>
      <c r="E39" s="120"/>
      <c r="F39" s="26"/>
      <c r="G39" s="29"/>
      <c r="H39" s="29"/>
      <c r="I39" s="30">
        <f>SUM(I35:I38)</f>
        <v>0</v>
      </c>
      <c r="J39" s="19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</sheetData>
  <sheetProtection/>
  <mergeCells count="54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35:E35"/>
    <mergeCell ref="A36:E36"/>
    <mergeCell ref="A37:E37"/>
    <mergeCell ref="A38:E38"/>
    <mergeCell ref="A39:E39"/>
    <mergeCell ref="A26:E26"/>
    <mergeCell ref="A27:E27"/>
    <mergeCell ref="A29:E29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4" width="12.140625" style="0" hidden="1" customWidth="1"/>
  </cols>
  <sheetData>
    <row r="1" spans="1:12" ht="72.75" customHeight="1">
      <c r="A1" s="147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ht="12.75">
      <c r="A2" s="105" t="s">
        <v>0</v>
      </c>
      <c r="B2" s="106"/>
      <c r="C2" s="106"/>
      <c r="D2" s="107" t="str">
        <f>'Stavební rozpočet'!D2</f>
        <v>Kotelna na biomasu</v>
      </c>
      <c r="E2" s="110" t="s">
        <v>115</v>
      </c>
      <c r="F2" s="106"/>
      <c r="G2" s="110" t="str">
        <f>'Stavební rozpočet'!G2</f>
        <v> </v>
      </c>
      <c r="H2" s="106"/>
      <c r="I2" s="110" t="s">
        <v>32</v>
      </c>
      <c r="J2" s="110" t="str">
        <f>'Stavební rozpočet'!J2</f>
        <v>GOLEM Velké Hamry, a.s., Velké Hamry - Bohdalovice</v>
      </c>
      <c r="K2" s="106"/>
      <c r="L2" s="148"/>
      <c r="M2" s="18"/>
    </row>
    <row r="3" spans="1:13" ht="12.75">
      <c r="A3" s="100"/>
      <c r="B3" s="74"/>
      <c r="C3" s="74"/>
      <c r="D3" s="109"/>
      <c r="E3" s="74"/>
      <c r="F3" s="74"/>
      <c r="G3" s="74"/>
      <c r="H3" s="74"/>
      <c r="I3" s="74"/>
      <c r="J3" s="74"/>
      <c r="K3" s="74"/>
      <c r="L3" s="102"/>
      <c r="M3" s="18"/>
    </row>
    <row r="4" spans="1:13" ht="12.75">
      <c r="A4" s="94" t="s">
        <v>1</v>
      </c>
      <c r="B4" s="74"/>
      <c r="C4" s="74"/>
      <c r="D4" s="73" t="str">
        <f>'Stavební rozpočet'!D4</f>
        <v>Kotelna na biomasu, vč. skladu paliva a příslušenství</v>
      </c>
      <c r="E4" s="73" t="s">
        <v>3</v>
      </c>
      <c r="F4" s="74"/>
      <c r="G4" s="73" t="str">
        <f>'Stavební rozpočet'!G4</f>
        <v>07.09.2018</v>
      </c>
      <c r="H4" s="74"/>
      <c r="I4" s="73" t="s">
        <v>33</v>
      </c>
      <c r="J4" s="73" t="str">
        <f>'Stavební rozpočet'!J4</f>
        <v>Ing. Michal Podešva</v>
      </c>
      <c r="K4" s="74"/>
      <c r="L4" s="102"/>
      <c r="M4" s="18"/>
    </row>
    <row r="5" spans="1:13" ht="12.75">
      <c r="A5" s="100"/>
      <c r="B5" s="74"/>
      <c r="C5" s="74"/>
      <c r="D5" s="74"/>
      <c r="E5" s="74"/>
      <c r="F5" s="74"/>
      <c r="G5" s="74"/>
      <c r="H5" s="74"/>
      <c r="I5" s="74"/>
      <c r="J5" s="74"/>
      <c r="K5" s="74"/>
      <c r="L5" s="102"/>
      <c r="M5" s="18"/>
    </row>
    <row r="6" spans="1:13" ht="12.75">
      <c r="A6" s="94" t="s">
        <v>2</v>
      </c>
      <c r="B6" s="74"/>
      <c r="C6" s="74"/>
      <c r="D6" s="73" t="str">
        <f>'Stavební rozpočet'!D6</f>
        <v>Velké Hamry - Bohdalovice 76, PSČ 468 45</v>
      </c>
      <c r="E6" s="73" t="s">
        <v>35</v>
      </c>
      <c r="F6" s="74"/>
      <c r="G6" s="73" t="str">
        <f>'Stavební rozpočet'!G6</f>
        <v> </v>
      </c>
      <c r="H6" s="74"/>
      <c r="I6" s="73" t="s">
        <v>34</v>
      </c>
      <c r="J6" s="73" t="str">
        <f>'Stavební rozpočet'!J6</f>
        <v>LOMANETA s.r.o., Kouty 26, 757 01 Valašské Meziříč</v>
      </c>
      <c r="K6" s="74"/>
      <c r="L6" s="102"/>
      <c r="M6" s="18"/>
    </row>
    <row r="7" spans="1:13" ht="12.75">
      <c r="A7" s="100"/>
      <c r="B7" s="74"/>
      <c r="C7" s="74"/>
      <c r="D7" s="74"/>
      <c r="E7" s="74"/>
      <c r="F7" s="74"/>
      <c r="G7" s="74"/>
      <c r="H7" s="74"/>
      <c r="I7" s="74"/>
      <c r="J7" s="74"/>
      <c r="K7" s="74"/>
      <c r="L7" s="102"/>
      <c r="M7" s="18"/>
    </row>
    <row r="8" spans="1:13" ht="12.75">
      <c r="A8" s="94" t="s">
        <v>4</v>
      </c>
      <c r="B8" s="74"/>
      <c r="C8" s="74"/>
      <c r="D8" s="73" t="str">
        <f>'Stavební rozpočet'!D8</f>
        <v> </v>
      </c>
      <c r="E8" s="73" t="s">
        <v>116</v>
      </c>
      <c r="F8" s="74"/>
      <c r="G8" s="73" t="str">
        <f>'Stavební rozpočet'!G8</f>
        <v>07.09.2018</v>
      </c>
      <c r="H8" s="74"/>
      <c r="I8" s="73" t="s">
        <v>36</v>
      </c>
      <c r="J8" s="73" t="str">
        <f>'Stavební rozpočet'!J8</f>
        <v> </v>
      </c>
      <c r="K8" s="74"/>
      <c r="L8" s="102"/>
      <c r="M8" s="18"/>
    </row>
    <row r="9" spans="1:13" ht="12.75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6"/>
      <c r="M9" s="18"/>
    </row>
    <row r="10" spans="1:13" ht="12.75">
      <c r="A10" s="31" t="s">
        <v>74</v>
      </c>
      <c r="B10" s="31" t="s">
        <v>74</v>
      </c>
      <c r="C10" s="134" t="s">
        <v>74</v>
      </c>
      <c r="D10" s="135"/>
      <c r="E10" s="135"/>
      <c r="F10" s="135"/>
      <c r="G10" s="135"/>
      <c r="H10" s="136"/>
      <c r="I10" s="137" t="s">
        <v>117</v>
      </c>
      <c r="J10" s="138"/>
      <c r="K10" s="139"/>
      <c r="L10" s="38" t="s">
        <v>121</v>
      </c>
      <c r="M10" s="19"/>
    </row>
    <row r="11" spans="1:13" ht="12.75">
      <c r="A11" s="32" t="s">
        <v>75</v>
      </c>
      <c r="B11" s="32" t="s">
        <v>76</v>
      </c>
      <c r="C11" s="140" t="s">
        <v>98</v>
      </c>
      <c r="D11" s="141"/>
      <c r="E11" s="141"/>
      <c r="F11" s="141"/>
      <c r="G11" s="141"/>
      <c r="H11" s="142"/>
      <c r="I11" s="36" t="s">
        <v>118</v>
      </c>
      <c r="J11" s="37" t="s">
        <v>21</v>
      </c>
      <c r="K11" s="37" t="s">
        <v>120</v>
      </c>
      <c r="L11" s="39" t="s">
        <v>120</v>
      </c>
      <c r="M11" s="19"/>
    </row>
    <row r="12" spans="1:14" ht="12.75">
      <c r="A12" s="33"/>
      <c r="B12" s="33"/>
      <c r="C12" s="143" t="s">
        <v>99</v>
      </c>
      <c r="D12" s="135"/>
      <c r="E12" s="135"/>
      <c r="F12" s="135"/>
      <c r="G12" s="135"/>
      <c r="H12" s="135"/>
      <c r="I12" s="41">
        <f>'Stavební rozpočet'!H12</f>
        <v>0</v>
      </c>
      <c r="J12" s="41">
        <f>'Stavební rozpočet'!I12</f>
        <v>0</v>
      </c>
      <c r="K12" s="41">
        <f aca="true" t="shared" si="0" ref="K12:K33">I12+J12</f>
        <v>0</v>
      </c>
      <c r="L12" s="41">
        <f>'Stavební rozpočet'!L12</f>
        <v>196.52850999999995</v>
      </c>
      <c r="M12" s="40" t="s">
        <v>122</v>
      </c>
      <c r="N12" s="40">
        <f aca="true" t="shared" si="1" ref="N12:N33">IF(M12="F",0,K12)</f>
        <v>0</v>
      </c>
    </row>
    <row r="13" spans="1:14" ht="12.75">
      <c r="A13" s="17"/>
      <c r="B13" s="17" t="s">
        <v>77</v>
      </c>
      <c r="C13" s="97" t="s">
        <v>100</v>
      </c>
      <c r="D13" s="74"/>
      <c r="E13" s="74"/>
      <c r="F13" s="74"/>
      <c r="G13" s="74"/>
      <c r="H13" s="74"/>
      <c r="I13" s="40">
        <f>'Stavební rozpočet'!H13</f>
        <v>0</v>
      </c>
      <c r="J13" s="40">
        <f>'Stavební rozpočet'!I13</f>
        <v>0</v>
      </c>
      <c r="K13" s="40">
        <f t="shared" si="0"/>
        <v>0</v>
      </c>
      <c r="L13" s="40">
        <f>'Stavební rozpočet'!L13</f>
        <v>0</v>
      </c>
      <c r="M13" s="40" t="s">
        <v>123</v>
      </c>
      <c r="N13" s="40">
        <f t="shared" si="1"/>
        <v>0</v>
      </c>
    </row>
    <row r="14" spans="1:14" ht="12.75">
      <c r="A14" s="17"/>
      <c r="B14" s="17" t="s">
        <v>78</v>
      </c>
      <c r="C14" s="97" t="s">
        <v>101</v>
      </c>
      <c r="D14" s="74"/>
      <c r="E14" s="74"/>
      <c r="F14" s="74"/>
      <c r="G14" s="74"/>
      <c r="H14" s="74"/>
      <c r="I14" s="40">
        <f>'Stavební rozpočet'!H16</f>
        <v>0</v>
      </c>
      <c r="J14" s="40">
        <f>'Stavební rozpočet'!I16</f>
        <v>0</v>
      </c>
      <c r="K14" s="40">
        <f t="shared" si="0"/>
        <v>0</v>
      </c>
      <c r="L14" s="40">
        <f>'Stavební rozpočet'!L16</f>
        <v>32.193200000000004</v>
      </c>
      <c r="M14" s="40" t="s">
        <v>123</v>
      </c>
      <c r="N14" s="40">
        <f t="shared" si="1"/>
        <v>0</v>
      </c>
    </row>
    <row r="15" spans="1:14" ht="12.75">
      <c r="A15" s="17"/>
      <c r="B15" s="17" t="s">
        <v>79</v>
      </c>
      <c r="C15" s="97" t="s">
        <v>102</v>
      </c>
      <c r="D15" s="74"/>
      <c r="E15" s="74"/>
      <c r="F15" s="74"/>
      <c r="G15" s="74"/>
      <c r="H15" s="74"/>
      <c r="I15" s="40">
        <f>'Stavební rozpočet'!H19</f>
        <v>0</v>
      </c>
      <c r="J15" s="40">
        <f>'Stavební rozpočet'!I19</f>
        <v>0</v>
      </c>
      <c r="K15" s="40">
        <f t="shared" si="0"/>
        <v>0</v>
      </c>
      <c r="L15" s="40">
        <f>'Stavební rozpočet'!L19</f>
        <v>72.00625999999998</v>
      </c>
      <c r="M15" s="40" t="s">
        <v>123</v>
      </c>
      <c r="N15" s="40">
        <f t="shared" si="1"/>
        <v>0</v>
      </c>
    </row>
    <row r="16" spans="1:14" ht="12.75">
      <c r="A16" s="17"/>
      <c r="B16" s="17" t="s">
        <v>80</v>
      </c>
      <c r="C16" s="97" t="s">
        <v>103</v>
      </c>
      <c r="D16" s="74"/>
      <c r="E16" s="74"/>
      <c r="F16" s="74"/>
      <c r="G16" s="74"/>
      <c r="H16" s="74"/>
      <c r="I16" s="40">
        <f>'Stavební rozpočet'!H35</f>
        <v>0</v>
      </c>
      <c r="J16" s="40">
        <f>'Stavební rozpočet'!I35</f>
        <v>0</v>
      </c>
      <c r="K16" s="40">
        <f t="shared" si="0"/>
        <v>0</v>
      </c>
      <c r="L16" s="40">
        <f>'Stavební rozpočet'!L35</f>
        <v>23.456509999999998</v>
      </c>
      <c r="M16" s="40" t="s">
        <v>123</v>
      </c>
      <c r="N16" s="40">
        <f t="shared" si="1"/>
        <v>0</v>
      </c>
    </row>
    <row r="17" spans="1:14" ht="12.75">
      <c r="A17" s="17"/>
      <c r="B17" s="17" t="s">
        <v>81</v>
      </c>
      <c r="C17" s="97" t="s">
        <v>104</v>
      </c>
      <c r="D17" s="74"/>
      <c r="E17" s="74"/>
      <c r="F17" s="74"/>
      <c r="G17" s="74"/>
      <c r="H17" s="74"/>
      <c r="I17" s="40">
        <f>'Stavební rozpočet'!H38</f>
        <v>0</v>
      </c>
      <c r="J17" s="40">
        <f>'Stavební rozpočet'!I38</f>
        <v>0</v>
      </c>
      <c r="K17" s="40">
        <f t="shared" si="0"/>
        <v>0</v>
      </c>
      <c r="L17" s="40">
        <f>'Stavební rozpočet'!L38</f>
        <v>47.045</v>
      </c>
      <c r="M17" s="40" t="s">
        <v>123</v>
      </c>
      <c r="N17" s="40">
        <f t="shared" si="1"/>
        <v>0</v>
      </c>
    </row>
    <row r="18" spans="1:14" ht="12.75">
      <c r="A18" s="17"/>
      <c r="B18" s="17" t="s">
        <v>82</v>
      </c>
      <c r="C18" s="97" t="s">
        <v>105</v>
      </c>
      <c r="D18" s="74"/>
      <c r="E18" s="74"/>
      <c r="F18" s="74"/>
      <c r="G18" s="74"/>
      <c r="H18" s="74"/>
      <c r="I18" s="40">
        <f>'Stavební rozpočet'!H42</f>
        <v>0</v>
      </c>
      <c r="J18" s="40">
        <f>'Stavební rozpočet'!I42</f>
        <v>0</v>
      </c>
      <c r="K18" s="40">
        <f t="shared" si="0"/>
        <v>0</v>
      </c>
      <c r="L18" s="40">
        <f>'Stavební rozpočet'!L42</f>
        <v>0.015200000000000002</v>
      </c>
      <c r="M18" s="40" t="s">
        <v>123</v>
      </c>
      <c r="N18" s="40">
        <f t="shared" si="1"/>
        <v>0</v>
      </c>
    </row>
    <row r="19" spans="1:14" ht="12.75">
      <c r="A19" s="17"/>
      <c r="B19" s="17" t="s">
        <v>83</v>
      </c>
      <c r="C19" s="97" t="s">
        <v>106</v>
      </c>
      <c r="D19" s="74"/>
      <c r="E19" s="74"/>
      <c r="F19" s="74"/>
      <c r="G19" s="74"/>
      <c r="H19" s="74"/>
      <c r="I19" s="40">
        <f>'Stavební rozpočet'!H49</f>
        <v>0</v>
      </c>
      <c r="J19" s="40">
        <f>'Stavební rozpočet'!I49</f>
        <v>0</v>
      </c>
      <c r="K19" s="40">
        <f t="shared" si="0"/>
        <v>0</v>
      </c>
      <c r="L19" s="40">
        <f>'Stavební rozpočet'!L49</f>
        <v>0.18856</v>
      </c>
      <c r="M19" s="40" t="s">
        <v>123</v>
      </c>
      <c r="N19" s="40">
        <f t="shared" si="1"/>
        <v>0</v>
      </c>
    </row>
    <row r="20" spans="1:14" ht="12.75">
      <c r="A20" s="17"/>
      <c r="B20" s="17" t="s">
        <v>84</v>
      </c>
      <c r="C20" s="97" t="s">
        <v>107</v>
      </c>
      <c r="D20" s="74"/>
      <c r="E20" s="74"/>
      <c r="F20" s="74"/>
      <c r="G20" s="74"/>
      <c r="H20" s="74"/>
      <c r="I20" s="40">
        <f>'Stavební rozpočet'!H63</f>
        <v>0</v>
      </c>
      <c r="J20" s="40">
        <f>'Stavební rozpočet'!I63</f>
        <v>0</v>
      </c>
      <c r="K20" s="40">
        <f t="shared" si="0"/>
        <v>0</v>
      </c>
      <c r="L20" s="40">
        <f>'Stavební rozpočet'!L63</f>
        <v>0.17461000000000004</v>
      </c>
      <c r="M20" s="40" t="s">
        <v>123</v>
      </c>
      <c r="N20" s="40">
        <f t="shared" si="1"/>
        <v>0</v>
      </c>
    </row>
    <row r="21" spans="1:14" ht="12.75">
      <c r="A21" s="17"/>
      <c r="B21" s="17" t="s">
        <v>85</v>
      </c>
      <c r="C21" s="97" t="s">
        <v>108</v>
      </c>
      <c r="D21" s="74"/>
      <c r="E21" s="74"/>
      <c r="F21" s="74"/>
      <c r="G21" s="74"/>
      <c r="H21" s="74"/>
      <c r="I21" s="40">
        <f>'Stavební rozpočet'!H82</f>
        <v>0</v>
      </c>
      <c r="J21" s="40">
        <f>'Stavební rozpočet'!I82</f>
        <v>0</v>
      </c>
      <c r="K21" s="40">
        <f t="shared" si="0"/>
        <v>0</v>
      </c>
      <c r="L21" s="40">
        <f>'Stavební rozpočet'!L82</f>
        <v>0.6709</v>
      </c>
      <c r="M21" s="40" t="s">
        <v>123</v>
      </c>
      <c r="N21" s="40">
        <f t="shared" si="1"/>
        <v>0</v>
      </c>
    </row>
    <row r="22" spans="1:14" ht="12.75">
      <c r="A22" s="17"/>
      <c r="B22" s="17" t="s">
        <v>86</v>
      </c>
      <c r="C22" s="97" t="s">
        <v>109</v>
      </c>
      <c r="D22" s="74"/>
      <c r="E22" s="74"/>
      <c r="F22" s="74"/>
      <c r="G22" s="74"/>
      <c r="H22" s="74"/>
      <c r="I22" s="40">
        <f>'Stavební rozpočet'!H86</f>
        <v>0</v>
      </c>
      <c r="J22" s="40">
        <f>'Stavební rozpočet'!I86</f>
        <v>0</v>
      </c>
      <c r="K22" s="40">
        <f t="shared" si="0"/>
        <v>0</v>
      </c>
      <c r="L22" s="40">
        <f>'Stavební rozpočet'!L86</f>
        <v>1.7951399999999995</v>
      </c>
      <c r="M22" s="40" t="s">
        <v>123</v>
      </c>
      <c r="N22" s="40">
        <f t="shared" si="1"/>
        <v>0</v>
      </c>
    </row>
    <row r="23" spans="1:14" ht="12.75">
      <c r="A23" s="17"/>
      <c r="B23" s="17" t="s">
        <v>87</v>
      </c>
      <c r="C23" s="97" t="s">
        <v>110</v>
      </c>
      <c r="D23" s="74"/>
      <c r="E23" s="74"/>
      <c r="F23" s="74"/>
      <c r="G23" s="74"/>
      <c r="H23" s="74"/>
      <c r="I23" s="40">
        <f>'Stavební rozpočet'!H107</f>
        <v>0</v>
      </c>
      <c r="J23" s="40">
        <f>'Stavební rozpočet'!I107</f>
        <v>0</v>
      </c>
      <c r="K23" s="40">
        <f t="shared" si="0"/>
        <v>0</v>
      </c>
      <c r="L23" s="40">
        <f>'Stavební rozpočet'!L107</f>
        <v>1.2747700000000002</v>
      </c>
      <c r="M23" s="40" t="s">
        <v>123</v>
      </c>
      <c r="N23" s="40">
        <f t="shared" si="1"/>
        <v>0</v>
      </c>
    </row>
    <row r="24" spans="1:14" ht="12.75">
      <c r="A24" s="17"/>
      <c r="B24" s="17" t="s">
        <v>88</v>
      </c>
      <c r="C24" s="97" t="s">
        <v>111</v>
      </c>
      <c r="D24" s="74"/>
      <c r="E24" s="74"/>
      <c r="F24" s="74"/>
      <c r="G24" s="74"/>
      <c r="H24" s="74"/>
      <c r="I24" s="40">
        <f>'Stavební rozpočet'!H123</f>
        <v>0</v>
      </c>
      <c r="J24" s="40">
        <f>'Stavební rozpočet'!I123</f>
        <v>0</v>
      </c>
      <c r="K24" s="40">
        <f t="shared" si="0"/>
        <v>0</v>
      </c>
      <c r="L24" s="40">
        <f>'Stavební rozpočet'!L123</f>
        <v>0.34086000000000005</v>
      </c>
      <c r="M24" s="40" t="s">
        <v>123</v>
      </c>
      <c r="N24" s="40">
        <f t="shared" si="1"/>
        <v>0</v>
      </c>
    </row>
    <row r="25" spans="1:14" ht="12.75">
      <c r="A25" s="17"/>
      <c r="B25" s="17" t="s">
        <v>89</v>
      </c>
      <c r="C25" s="97" t="s">
        <v>112</v>
      </c>
      <c r="D25" s="74"/>
      <c r="E25" s="74"/>
      <c r="F25" s="74"/>
      <c r="G25" s="74"/>
      <c r="H25" s="74"/>
      <c r="I25" s="40">
        <f>'Stavební rozpočet'!H126</f>
        <v>0</v>
      </c>
      <c r="J25" s="40">
        <f>'Stavební rozpočet'!I126</f>
        <v>0</v>
      </c>
      <c r="K25" s="40">
        <f t="shared" si="0"/>
        <v>0</v>
      </c>
      <c r="L25" s="40">
        <f>'Stavební rozpočet'!L126</f>
        <v>0.013560000000000001</v>
      </c>
      <c r="M25" s="40" t="s">
        <v>123</v>
      </c>
      <c r="N25" s="40">
        <f t="shared" si="1"/>
        <v>0</v>
      </c>
    </row>
    <row r="26" spans="1:14" ht="12.75">
      <c r="A26" s="17"/>
      <c r="B26" s="17" t="s">
        <v>90</v>
      </c>
      <c r="C26" s="97" t="s">
        <v>113</v>
      </c>
      <c r="D26" s="74"/>
      <c r="E26" s="74"/>
      <c r="F26" s="74"/>
      <c r="G26" s="74"/>
      <c r="H26" s="74"/>
      <c r="I26" s="40">
        <f>'Stavební rozpočet'!H130</f>
        <v>0</v>
      </c>
      <c r="J26" s="40">
        <f>'Stavební rozpočet'!I130</f>
        <v>0</v>
      </c>
      <c r="K26" s="40">
        <f t="shared" si="0"/>
        <v>0</v>
      </c>
      <c r="L26" s="40">
        <f>'Stavební rozpočet'!L130</f>
        <v>17.2976</v>
      </c>
      <c r="M26" s="40" t="s">
        <v>123</v>
      </c>
      <c r="N26" s="40">
        <f t="shared" si="1"/>
        <v>0</v>
      </c>
    </row>
    <row r="27" spans="1:14" ht="12.75">
      <c r="A27" s="17"/>
      <c r="B27" s="17" t="s">
        <v>91</v>
      </c>
      <c r="C27" s="97" t="s">
        <v>105</v>
      </c>
      <c r="D27" s="74"/>
      <c r="E27" s="74"/>
      <c r="F27" s="74"/>
      <c r="G27" s="74"/>
      <c r="H27" s="74"/>
      <c r="I27" s="40">
        <f>'Stavební rozpočet'!H133</f>
        <v>0</v>
      </c>
      <c r="J27" s="40">
        <f>'Stavební rozpočet'!I133</f>
        <v>0</v>
      </c>
      <c r="K27" s="40">
        <f t="shared" si="0"/>
        <v>0</v>
      </c>
      <c r="L27" s="40">
        <f>'Stavební rozpočet'!L133</f>
        <v>0</v>
      </c>
      <c r="M27" s="40" t="s">
        <v>123</v>
      </c>
      <c r="N27" s="40">
        <f t="shared" si="1"/>
        <v>0</v>
      </c>
    </row>
    <row r="28" spans="1:14" ht="12.75">
      <c r="A28" s="17"/>
      <c r="B28" s="17" t="s">
        <v>92</v>
      </c>
      <c r="C28" s="97" t="s">
        <v>106</v>
      </c>
      <c r="D28" s="74"/>
      <c r="E28" s="74"/>
      <c r="F28" s="74"/>
      <c r="G28" s="74"/>
      <c r="H28" s="74"/>
      <c r="I28" s="40">
        <f>'Stavební rozpočet'!H135</f>
        <v>0</v>
      </c>
      <c r="J28" s="40">
        <f>'Stavební rozpočet'!I135</f>
        <v>0</v>
      </c>
      <c r="K28" s="40">
        <f t="shared" si="0"/>
        <v>0</v>
      </c>
      <c r="L28" s="40">
        <f>'Stavební rozpočet'!L135</f>
        <v>0</v>
      </c>
      <c r="M28" s="40" t="s">
        <v>123</v>
      </c>
      <c r="N28" s="40">
        <f t="shared" si="1"/>
        <v>0</v>
      </c>
    </row>
    <row r="29" spans="1:14" ht="12.75">
      <c r="A29" s="17"/>
      <c r="B29" s="17" t="s">
        <v>93</v>
      </c>
      <c r="C29" s="97" t="s">
        <v>107</v>
      </c>
      <c r="D29" s="74"/>
      <c r="E29" s="74"/>
      <c r="F29" s="74"/>
      <c r="G29" s="74"/>
      <c r="H29" s="74"/>
      <c r="I29" s="40">
        <f>'Stavební rozpočet'!H137</f>
        <v>0</v>
      </c>
      <c r="J29" s="40">
        <f>'Stavební rozpočet'!I137</f>
        <v>0</v>
      </c>
      <c r="K29" s="40">
        <f t="shared" si="0"/>
        <v>0</v>
      </c>
      <c r="L29" s="40">
        <f>'Stavební rozpočet'!L137</f>
        <v>0</v>
      </c>
      <c r="M29" s="40" t="s">
        <v>123</v>
      </c>
      <c r="N29" s="40">
        <f t="shared" si="1"/>
        <v>0</v>
      </c>
    </row>
    <row r="30" spans="1:14" ht="12.75">
      <c r="A30" s="17"/>
      <c r="B30" s="17" t="s">
        <v>94</v>
      </c>
      <c r="C30" s="97" t="s">
        <v>108</v>
      </c>
      <c r="D30" s="74"/>
      <c r="E30" s="74"/>
      <c r="F30" s="74"/>
      <c r="G30" s="74"/>
      <c r="H30" s="74"/>
      <c r="I30" s="40">
        <f>'Stavební rozpočet'!H139</f>
        <v>0</v>
      </c>
      <c r="J30" s="40">
        <f>'Stavební rozpočet'!I139</f>
        <v>0</v>
      </c>
      <c r="K30" s="40">
        <f t="shared" si="0"/>
        <v>0</v>
      </c>
      <c r="L30" s="40">
        <f>'Stavební rozpočet'!L139</f>
        <v>0</v>
      </c>
      <c r="M30" s="40" t="s">
        <v>123</v>
      </c>
      <c r="N30" s="40">
        <f t="shared" si="1"/>
        <v>0</v>
      </c>
    </row>
    <row r="31" spans="1:14" ht="12.75">
      <c r="A31" s="17"/>
      <c r="B31" s="17" t="s">
        <v>95</v>
      </c>
      <c r="C31" s="97" t="s">
        <v>109</v>
      </c>
      <c r="D31" s="74"/>
      <c r="E31" s="74"/>
      <c r="F31" s="74"/>
      <c r="G31" s="74"/>
      <c r="H31" s="74"/>
      <c r="I31" s="40">
        <f>'Stavební rozpočet'!H141</f>
        <v>0</v>
      </c>
      <c r="J31" s="40">
        <f>'Stavební rozpočet'!I141</f>
        <v>0</v>
      </c>
      <c r="K31" s="40">
        <f t="shared" si="0"/>
        <v>0</v>
      </c>
      <c r="L31" s="40">
        <f>'Stavební rozpočet'!L141</f>
        <v>0</v>
      </c>
      <c r="M31" s="40" t="s">
        <v>123</v>
      </c>
      <c r="N31" s="40">
        <f t="shared" si="1"/>
        <v>0</v>
      </c>
    </row>
    <row r="32" spans="1:14" ht="12.75">
      <c r="A32" s="17"/>
      <c r="B32" s="17" t="s">
        <v>96</v>
      </c>
      <c r="C32" s="97" t="s">
        <v>110</v>
      </c>
      <c r="D32" s="74"/>
      <c r="E32" s="74"/>
      <c r="F32" s="74"/>
      <c r="G32" s="74"/>
      <c r="H32" s="74"/>
      <c r="I32" s="40">
        <f>'Stavební rozpočet'!H143</f>
        <v>0</v>
      </c>
      <c r="J32" s="40">
        <f>'Stavební rozpočet'!I143</f>
        <v>0</v>
      </c>
      <c r="K32" s="40">
        <f t="shared" si="0"/>
        <v>0</v>
      </c>
      <c r="L32" s="40">
        <f>'Stavební rozpočet'!L143</f>
        <v>0</v>
      </c>
      <c r="M32" s="40" t="s">
        <v>123</v>
      </c>
      <c r="N32" s="40">
        <f t="shared" si="1"/>
        <v>0</v>
      </c>
    </row>
    <row r="33" spans="1:14" ht="12.75">
      <c r="A33" s="34"/>
      <c r="B33" s="34" t="s">
        <v>97</v>
      </c>
      <c r="C33" s="132" t="s">
        <v>114</v>
      </c>
      <c r="D33" s="96"/>
      <c r="E33" s="96"/>
      <c r="F33" s="96"/>
      <c r="G33" s="96"/>
      <c r="H33" s="96"/>
      <c r="I33" s="42">
        <f>'Stavební rozpočet'!H145</f>
        <v>0</v>
      </c>
      <c r="J33" s="42">
        <f>'Stavební rozpočet'!I145</f>
        <v>0</v>
      </c>
      <c r="K33" s="42">
        <f t="shared" si="0"/>
        <v>0</v>
      </c>
      <c r="L33" s="42">
        <f>'Stavební rozpočet'!L145</f>
        <v>0.05634</v>
      </c>
      <c r="M33" s="40" t="s">
        <v>123</v>
      </c>
      <c r="N33" s="40">
        <f t="shared" si="1"/>
        <v>0</v>
      </c>
    </row>
    <row r="34" spans="1:12" ht="12.75">
      <c r="A34" s="5"/>
      <c r="B34" s="5"/>
      <c r="C34" s="5"/>
      <c r="D34" s="5"/>
      <c r="E34" s="5"/>
      <c r="F34" s="5"/>
      <c r="G34" s="5"/>
      <c r="H34" s="5"/>
      <c r="I34" s="133" t="s">
        <v>119</v>
      </c>
      <c r="J34" s="108"/>
      <c r="K34" s="43">
        <f>SUM(N12:N33)</f>
        <v>0</v>
      </c>
      <c r="L34" s="5"/>
    </row>
    <row r="35" ht="11.25" customHeight="1">
      <c r="A35" s="35" t="s">
        <v>18</v>
      </c>
    </row>
    <row r="36" spans="1:11" ht="12.7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</row>
  </sheetData>
  <sheetProtection/>
  <mergeCells count="52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C10:H10"/>
    <mergeCell ref="I10:K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33:H33"/>
    <mergeCell ref="I34:J34"/>
    <mergeCell ref="A36:K36"/>
    <mergeCell ref="C27:H27"/>
    <mergeCell ref="C28:H28"/>
    <mergeCell ref="C29:H29"/>
    <mergeCell ref="C30:H30"/>
    <mergeCell ref="C31:H31"/>
    <mergeCell ref="C32:H32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5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73" sqref="D7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6.0039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147" t="s">
        <v>124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12.75">
      <c r="A2" s="105" t="s">
        <v>0</v>
      </c>
      <c r="B2" s="106"/>
      <c r="C2" s="106"/>
      <c r="D2" s="107" t="s">
        <v>308</v>
      </c>
      <c r="E2" s="149" t="s">
        <v>115</v>
      </c>
      <c r="F2" s="106"/>
      <c r="G2" s="149" t="s">
        <v>74</v>
      </c>
      <c r="H2" s="106"/>
      <c r="I2" s="110" t="s">
        <v>32</v>
      </c>
      <c r="J2" s="110" t="s">
        <v>433</v>
      </c>
      <c r="K2" s="106"/>
      <c r="L2" s="106"/>
      <c r="M2" s="148"/>
      <c r="N2" s="18"/>
    </row>
    <row r="3" spans="1:14" ht="12.75">
      <c r="A3" s="100"/>
      <c r="B3" s="74"/>
      <c r="C3" s="74"/>
      <c r="D3" s="109"/>
      <c r="E3" s="74"/>
      <c r="F3" s="74"/>
      <c r="G3" s="74"/>
      <c r="H3" s="74"/>
      <c r="I3" s="74"/>
      <c r="J3" s="74"/>
      <c r="K3" s="74"/>
      <c r="L3" s="74"/>
      <c r="M3" s="102"/>
      <c r="N3" s="18"/>
    </row>
    <row r="4" spans="1:14" ht="12.75">
      <c r="A4" s="94" t="s">
        <v>1</v>
      </c>
      <c r="B4" s="74"/>
      <c r="C4" s="74"/>
      <c r="D4" s="73" t="s">
        <v>309</v>
      </c>
      <c r="E4" s="97" t="s">
        <v>3</v>
      </c>
      <c r="F4" s="74"/>
      <c r="G4" s="97" t="s">
        <v>430</v>
      </c>
      <c r="H4" s="74"/>
      <c r="I4" s="73" t="s">
        <v>33</v>
      </c>
      <c r="J4" s="73" t="s">
        <v>434</v>
      </c>
      <c r="K4" s="74"/>
      <c r="L4" s="74"/>
      <c r="M4" s="102"/>
      <c r="N4" s="18"/>
    </row>
    <row r="5" spans="1:14" ht="12.75">
      <c r="A5" s="100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02"/>
      <c r="N5" s="18"/>
    </row>
    <row r="6" spans="1:14" ht="12.75">
      <c r="A6" s="94" t="s">
        <v>2</v>
      </c>
      <c r="B6" s="74"/>
      <c r="C6" s="74"/>
      <c r="D6" s="73" t="s">
        <v>310</v>
      </c>
      <c r="E6" s="97" t="s">
        <v>35</v>
      </c>
      <c r="F6" s="74"/>
      <c r="G6" s="97" t="s">
        <v>74</v>
      </c>
      <c r="H6" s="74"/>
      <c r="I6" s="73" t="s">
        <v>34</v>
      </c>
      <c r="J6" s="73" t="s">
        <v>435</v>
      </c>
      <c r="K6" s="74"/>
      <c r="L6" s="74"/>
      <c r="M6" s="102"/>
      <c r="N6" s="18"/>
    </row>
    <row r="7" spans="1:14" ht="12.75">
      <c r="A7" s="100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02"/>
      <c r="N7" s="18"/>
    </row>
    <row r="8" spans="1:14" ht="12.75">
      <c r="A8" s="94" t="s">
        <v>4</v>
      </c>
      <c r="B8" s="74"/>
      <c r="C8" s="74"/>
      <c r="D8" s="73" t="s">
        <v>74</v>
      </c>
      <c r="E8" s="97" t="s">
        <v>116</v>
      </c>
      <c r="F8" s="74"/>
      <c r="G8" s="97" t="s">
        <v>430</v>
      </c>
      <c r="H8" s="74"/>
      <c r="I8" s="73" t="s">
        <v>36</v>
      </c>
      <c r="J8" s="73" t="s">
        <v>74</v>
      </c>
      <c r="K8" s="74"/>
      <c r="L8" s="74"/>
      <c r="M8" s="102"/>
      <c r="N8" s="18"/>
    </row>
    <row r="9" spans="1:14" ht="12.75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  <c r="N9" s="18"/>
    </row>
    <row r="10" spans="1:14" ht="12.75">
      <c r="A10" s="44" t="s">
        <v>125</v>
      </c>
      <c r="B10" s="51" t="s">
        <v>75</v>
      </c>
      <c r="C10" s="51" t="s">
        <v>76</v>
      </c>
      <c r="D10" s="51" t="s">
        <v>311</v>
      </c>
      <c r="E10" s="51" t="s">
        <v>422</v>
      </c>
      <c r="F10" s="56" t="s">
        <v>429</v>
      </c>
      <c r="G10" s="60" t="s">
        <v>431</v>
      </c>
      <c r="H10" s="137" t="s">
        <v>117</v>
      </c>
      <c r="I10" s="138"/>
      <c r="J10" s="139"/>
      <c r="K10" s="137" t="s">
        <v>121</v>
      </c>
      <c r="L10" s="139"/>
      <c r="M10" s="64" t="s">
        <v>436</v>
      </c>
      <c r="N10" s="19"/>
    </row>
    <row r="11" spans="1:24" ht="12.75">
      <c r="A11" s="45" t="s">
        <v>74</v>
      </c>
      <c r="B11" s="52" t="s">
        <v>74</v>
      </c>
      <c r="C11" s="52" t="s">
        <v>74</v>
      </c>
      <c r="D11" s="32" t="s">
        <v>312</v>
      </c>
      <c r="E11" s="52" t="s">
        <v>74</v>
      </c>
      <c r="F11" s="52" t="s">
        <v>74</v>
      </c>
      <c r="G11" s="61" t="s">
        <v>432</v>
      </c>
      <c r="H11" s="36" t="s">
        <v>118</v>
      </c>
      <c r="I11" s="37" t="s">
        <v>21</v>
      </c>
      <c r="J11" s="39" t="s">
        <v>120</v>
      </c>
      <c r="K11" s="36" t="s">
        <v>431</v>
      </c>
      <c r="L11" s="39" t="s">
        <v>120</v>
      </c>
      <c r="M11" s="65" t="s">
        <v>437</v>
      </c>
      <c r="N11" s="19"/>
      <c r="P11" s="63" t="s">
        <v>439</v>
      </c>
      <c r="Q11" s="63" t="s">
        <v>440</v>
      </c>
      <c r="R11" s="63" t="s">
        <v>441</v>
      </c>
      <c r="S11" s="63" t="s">
        <v>442</v>
      </c>
      <c r="T11" s="63" t="s">
        <v>443</v>
      </c>
      <c r="U11" s="63" t="s">
        <v>444</v>
      </c>
      <c r="V11" s="63" t="s">
        <v>445</v>
      </c>
      <c r="W11" s="63" t="s">
        <v>446</v>
      </c>
      <c r="X11" s="63" t="s">
        <v>447</v>
      </c>
    </row>
    <row r="12" spans="1:13" ht="12.75">
      <c r="A12" s="46"/>
      <c r="B12" s="53"/>
      <c r="C12" s="53"/>
      <c r="D12" s="53" t="s">
        <v>99</v>
      </c>
      <c r="E12" s="46" t="s">
        <v>74</v>
      </c>
      <c r="F12" s="46" t="s">
        <v>74</v>
      </c>
      <c r="G12" s="46" t="s">
        <v>74</v>
      </c>
      <c r="H12" s="70">
        <f>H13+H16+H19+H35+H38+H42+H49+H63+H82+H86+H107+H123+H126+H130+H133+H135+H137+H139+H141+H143+H145</f>
        <v>0</v>
      </c>
      <c r="I12" s="70">
        <f>I13+I16+I19+I35+I38+I42+I49+I63+I82+I86+I107+I123+I126+I130+I133+I135+I137+I139+I141+I143+I145</f>
        <v>0</v>
      </c>
      <c r="J12" s="70">
        <f>H12+I12</f>
        <v>0</v>
      </c>
      <c r="K12" s="62"/>
      <c r="L12" s="70">
        <f>L13+L16+L19+L35+L38+L42+L49+L63+L82+L86+L107+L123+L126+L130+L133+L135+L137+L139+L141+L143+L145</f>
        <v>196.52850999999995</v>
      </c>
      <c r="M12" s="62"/>
    </row>
    <row r="13" spans="1:37" ht="12.75">
      <c r="A13" s="47"/>
      <c r="B13" s="54"/>
      <c r="C13" s="54" t="s">
        <v>77</v>
      </c>
      <c r="D13" s="54" t="s">
        <v>100</v>
      </c>
      <c r="E13" s="47" t="s">
        <v>74</v>
      </c>
      <c r="F13" s="47" t="s">
        <v>74</v>
      </c>
      <c r="G13" s="47" t="s">
        <v>74</v>
      </c>
      <c r="H13" s="71">
        <f>SUM(H14:H14)</f>
        <v>0</v>
      </c>
      <c r="I13" s="71">
        <f>SUM(I14:I14)</f>
        <v>0</v>
      </c>
      <c r="J13" s="71">
        <f>H13+I13</f>
        <v>0</v>
      </c>
      <c r="K13" s="63"/>
      <c r="L13" s="71">
        <f>SUM(L14:L14)</f>
        <v>0</v>
      </c>
      <c r="M13" s="63"/>
      <c r="Y13" s="63"/>
      <c r="AI13" s="71">
        <f>SUM(Z14:Z14)</f>
        <v>0</v>
      </c>
      <c r="AJ13" s="71">
        <f>SUM(AA14:AA14)</f>
        <v>0</v>
      </c>
      <c r="AK13" s="71">
        <f>SUM(AB14:AB14)</f>
        <v>0</v>
      </c>
    </row>
    <row r="14" spans="1:48" ht="12.75">
      <c r="A14" s="48" t="s">
        <v>126</v>
      </c>
      <c r="B14" s="48"/>
      <c r="C14" s="48" t="s">
        <v>214</v>
      </c>
      <c r="D14" s="48" t="s">
        <v>313</v>
      </c>
      <c r="E14" s="48" t="s">
        <v>423</v>
      </c>
      <c r="F14" s="57">
        <v>10</v>
      </c>
      <c r="G14" s="57">
        <v>0</v>
      </c>
      <c r="H14" s="57">
        <f>F14*AE14</f>
        <v>0</v>
      </c>
      <c r="I14" s="57">
        <f>J14-H14</f>
        <v>0</v>
      </c>
      <c r="J14" s="57">
        <f>F14*G14</f>
        <v>0</v>
      </c>
      <c r="K14" s="57">
        <v>0</v>
      </c>
      <c r="L14" s="57">
        <f>F14*K14</f>
        <v>0</v>
      </c>
      <c r="M14" s="66" t="s">
        <v>438</v>
      </c>
      <c r="P14" s="40">
        <f>IF(AG14="5",J14,0)</f>
        <v>0</v>
      </c>
      <c r="R14" s="40">
        <f>IF(AG14="1",H14,0)</f>
        <v>0</v>
      </c>
      <c r="S14" s="40">
        <f>IF(AG14="1",I14,0)</f>
        <v>0</v>
      </c>
      <c r="T14" s="40">
        <f>IF(AG14="7",H14,0)</f>
        <v>0</v>
      </c>
      <c r="U14" s="40">
        <f>IF(AG14="7",I14,0)</f>
        <v>0</v>
      </c>
      <c r="V14" s="40">
        <f>IF(AG14="2",H14,0)</f>
        <v>0</v>
      </c>
      <c r="W14" s="40">
        <f>IF(AG14="2",I14,0)</f>
        <v>0</v>
      </c>
      <c r="X14" s="40">
        <f>IF(AG14="0",J14,0)</f>
        <v>0</v>
      </c>
      <c r="Y14" s="63"/>
      <c r="Z14" s="57">
        <f>IF(AD14=0,J14,0)</f>
        <v>0</v>
      </c>
      <c r="AA14" s="57">
        <f>IF(AD14=15,J14,0)</f>
        <v>0</v>
      </c>
      <c r="AB14" s="57">
        <f>IF(AD14=21,J14,0)</f>
        <v>0</v>
      </c>
      <c r="AD14" s="40">
        <v>21</v>
      </c>
      <c r="AE14" s="40">
        <f>G14*0</f>
        <v>0</v>
      </c>
      <c r="AF14" s="40">
        <f>G14*(1-0)</f>
        <v>0</v>
      </c>
      <c r="AG14" s="66" t="s">
        <v>126</v>
      </c>
      <c r="AM14" s="40">
        <f>F14*AE14</f>
        <v>0</v>
      </c>
      <c r="AN14" s="40">
        <f>F14*AF14</f>
        <v>0</v>
      </c>
      <c r="AO14" s="69" t="s">
        <v>448</v>
      </c>
      <c r="AP14" s="69" t="s">
        <v>469</v>
      </c>
      <c r="AQ14" s="63" t="s">
        <v>479</v>
      </c>
      <c r="AS14" s="40">
        <f>AM14+AN14</f>
        <v>0</v>
      </c>
      <c r="AT14" s="40">
        <f>G14/(100-AU14)*100</f>
        <v>0</v>
      </c>
      <c r="AU14" s="40">
        <v>0</v>
      </c>
      <c r="AV14" s="40">
        <f>L14</f>
        <v>0</v>
      </c>
    </row>
    <row r="15" ht="12.75">
      <c r="D15" s="55" t="s">
        <v>314</v>
      </c>
    </row>
    <row r="16" spans="1:37" ht="12.75">
      <c r="A16" s="47"/>
      <c r="B16" s="54"/>
      <c r="C16" s="54" t="s">
        <v>78</v>
      </c>
      <c r="D16" s="54" t="s">
        <v>101</v>
      </c>
      <c r="E16" s="47" t="s">
        <v>74</v>
      </c>
      <c r="F16" s="47" t="s">
        <v>74</v>
      </c>
      <c r="G16" s="47" t="s">
        <v>74</v>
      </c>
      <c r="H16" s="71">
        <f>SUM(H17:H17)</f>
        <v>0</v>
      </c>
      <c r="I16" s="71">
        <f>SUM(I17:I17)</f>
        <v>0</v>
      </c>
      <c r="J16" s="71">
        <f>H16+I16</f>
        <v>0</v>
      </c>
      <c r="K16" s="63"/>
      <c r="L16" s="71">
        <f>SUM(L17:L17)</f>
        <v>32.193200000000004</v>
      </c>
      <c r="M16" s="63"/>
      <c r="Y16" s="63"/>
      <c r="AI16" s="71">
        <f>SUM(Z17:Z17)</f>
        <v>0</v>
      </c>
      <c r="AJ16" s="71">
        <f>SUM(AA17:AA17)</f>
        <v>0</v>
      </c>
      <c r="AK16" s="71">
        <f>SUM(AB17:AB17)</f>
        <v>0</v>
      </c>
    </row>
    <row r="17" spans="1:48" ht="12.75">
      <c r="A17" s="48" t="s">
        <v>127</v>
      </c>
      <c r="B17" s="48"/>
      <c r="C17" s="48" t="s">
        <v>215</v>
      </c>
      <c r="D17" s="48" t="s">
        <v>315</v>
      </c>
      <c r="E17" s="48" t="s">
        <v>423</v>
      </c>
      <c r="F17" s="57">
        <v>10</v>
      </c>
      <c r="G17" s="57">
        <v>0</v>
      </c>
      <c r="H17" s="57">
        <f>F17*AE17</f>
        <v>0</v>
      </c>
      <c r="I17" s="57">
        <f>J17-H17</f>
        <v>0</v>
      </c>
      <c r="J17" s="57">
        <f>F17*G17</f>
        <v>0</v>
      </c>
      <c r="K17" s="57">
        <v>3.21932</v>
      </c>
      <c r="L17" s="57">
        <f>F17*K17</f>
        <v>32.193200000000004</v>
      </c>
      <c r="M17" s="66" t="s">
        <v>438</v>
      </c>
      <c r="P17" s="40">
        <f>IF(AG17="5",J17,0)</f>
        <v>0</v>
      </c>
      <c r="R17" s="40">
        <f>IF(AG17="1",H17,0)</f>
        <v>0</v>
      </c>
      <c r="S17" s="40">
        <f>IF(AG17="1",I17,0)</f>
        <v>0</v>
      </c>
      <c r="T17" s="40">
        <f>IF(AG17="7",H17,0)</f>
        <v>0</v>
      </c>
      <c r="U17" s="40">
        <f>IF(AG17="7",I17,0)</f>
        <v>0</v>
      </c>
      <c r="V17" s="40">
        <f>IF(AG17="2",H17,0)</f>
        <v>0</v>
      </c>
      <c r="W17" s="40">
        <f>IF(AG17="2",I17,0)</f>
        <v>0</v>
      </c>
      <c r="X17" s="40">
        <f>IF(AG17="0",J17,0)</f>
        <v>0</v>
      </c>
      <c r="Y17" s="63"/>
      <c r="Z17" s="57">
        <f>IF(AD17=0,J17,0)</f>
        <v>0</v>
      </c>
      <c r="AA17" s="57">
        <f>IF(AD17=15,J17,0)</f>
        <v>0</v>
      </c>
      <c r="AB17" s="57">
        <f>IF(AD17=21,J17,0)</f>
        <v>0</v>
      </c>
      <c r="AD17" s="40">
        <v>21</v>
      </c>
      <c r="AE17" s="40">
        <f>G17*0.581517463854756</f>
        <v>0</v>
      </c>
      <c r="AF17" s="40">
        <f>G17*(1-0.581517463854756)</f>
        <v>0</v>
      </c>
      <c r="AG17" s="66" t="s">
        <v>126</v>
      </c>
      <c r="AM17" s="40">
        <f>F17*AE17</f>
        <v>0</v>
      </c>
      <c r="AN17" s="40">
        <f>F17*AF17</f>
        <v>0</v>
      </c>
      <c r="AO17" s="69" t="s">
        <v>449</v>
      </c>
      <c r="AP17" s="69" t="s">
        <v>470</v>
      </c>
      <c r="AQ17" s="63" t="s">
        <v>479</v>
      </c>
      <c r="AS17" s="40">
        <f>AM17+AN17</f>
        <v>0</v>
      </c>
      <c r="AT17" s="40">
        <f>G17/(100-AU17)*100</f>
        <v>0</v>
      </c>
      <c r="AU17" s="40">
        <v>0</v>
      </c>
      <c r="AV17" s="40">
        <f>L17</f>
        <v>32.193200000000004</v>
      </c>
    </row>
    <row r="18" ht="12.75">
      <c r="D18" s="55" t="s">
        <v>316</v>
      </c>
    </row>
    <row r="19" spans="1:37" ht="12.75">
      <c r="A19" s="47"/>
      <c r="B19" s="54"/>
      <c r="C19" s="54" t="s">
        <v>79</v>
      </c>
      <c r="D19" s="54" t="s">
        <v>102</v>
      </c>
      <c r="E19" s="47" t="s">
        <v>74</v>
      </c>
      <c r="F19" s="47" t="s">
        <v>74</v>
      </c>
      <c r="G19" s="47" t="s">
        <v>74</v>
      </c>
      <c r="H19" s="71">
        <f>SUM(H20:H34)</f>
        <v>0</v>
      </c>
      <c r="I19" s="71">
        <f>SUM(I20:I34)</f>
        <v>0</v>
      </c>
      <c r="J19" s="71">
        <f>H19+I19</f>
        <v>0</v>
      </c>
      <c r="K19" s="63"/>
      <c r="L19" s="71">
        <f>SUM(L20:L34)</f>
        <v>72.00625999999998</v>
      </c>
      <c r="M19" s="63"/>
      <c r="Y19" s="63"/>
      <c r="AI19" s="71">
        <f>SUM(Z20:Z34)</f>
        <v>0</v>
      </c>
      <c r="AJ19" s="71">
        <f>SUM(AA20:AA34)</f>
        <v>0</v>
      </c>
      <c r="AK19" s="71">
        <f>SUM(AB20:AB34)</f>
        <v>0</v>
      </c>
    </row>
    <row r="20" spans="1:48" ht="12.75">
      <c r="A20" s="48" t="s">
        <v>128</v>
      </c>
      <c r="B20" s="48"/>
      <c r="C20" s="48" t="s">
        <v>216</v>
      </c>
      <c r="D20" s="48" t="s">
        <v>317</v>
      </c>
      <c r="E20" s="48" t="s">
        <v>424</v>
      </c>
      <c r="F20" s="57">
        <v>90</v>
      </c>
      <c r="G20" s="57">
        <v>0</v>
      </c>
      <c r="H20" s="57">
        <f>F20*AE20</f>
        <v>0</v>
      </c>
      <c r="I20" s="57">
        <f>J20-H20</f>
        <v>0</v>
      </c>
      <c r="J20" s="57">
        <f>F20*G20</f>
        <v>0</v>
      </c>
      <c r="K20" s="57">
        <v>0.77123</v>
      </c>
      <c r="L20" s="57">
        <f>F20*K20</f>
        <v>69.41069999999999</v>
      </c>
      <c r="M20" s="66" t="s">
        <v>438</v>
      </c>
      <c r="P20" s="40">
        <f>IF(AG20="5",J20,0)</f>
        <v>0</v>
      </c>
      <c r="R20" s="40">
        <f>IF(AG20="1",H20,0)</f>
        <v>0</v>
      </c>
      <c r="S20" s="40">
        <f>IF(AG20="1",I20,0)</f>
        <v>0</v>
      </c>
      <c r="T20" s="40">
        <f>IF(AG20="7",H20,0)</f>
        <v>0</v>
      </c>
      <c r="U20" s="40">
        <f>IF(AG20="7",I20,0)</f>
        <v>0</v>
      </c>
      <c r="V20" s="40">
        <f>IF(AG20="2",H20,0)</f>
        <v>0</v>
      </c>
      <c r="W20" s="40">
        <f>IF(AG20="2",I20,0)</f>
        <v>0</v>
      </c>
      <c r="X20" s="40">
        <f>IF(AG20="0",J20,0)</f>
        <v>0</v>
      </c>
      <c r="Y20" s="63"/>
      <c r="Z20" s="57">
        <f>IF(AD20=0,J20,0)</f>
        <v>0</v>
      </c>
      <c r="AA20" s="57">
        <f>IF(AD20=15,J20,0)</f>
        <v>0</v>
      </c>
      <c r="AB20" s="57">
        <f>IF(AD20=21,J20,0)</f>
        <v>0</v>
      </c>
      <c r="AD20" s="40">
        <v>21</v>
      </c>
      <c r="AE20" s="40">
        <f>G20*0.715014792899408</f>
        <v>0</v>
      </c>
      <c r="AF20" s="40">
        <f>G20*(1-0.715014792899408)</f>
        <v>0</v>
      </c>
      <c r="AG20" s="66" t="s">
        <v>126</v>
      </c>
      <c r="AM20" s="40">
        <f>F20*AE20</f>
        <v>0</v>
      </c>
      <c r="AN20" s="40">
        <f>F20*AF20</f>
        <v>0</v>
      </c>
      <c r="AO20" s="69" t="s">
        <v>450</v>
      </c>
      <c r="AP20" s="69" t="s">
        <v>471</v>
      </c>
      <c r="AQ20" s="63" t="s">
        <v>479</v>
      </c>
      <c r="AS20" s="40">
        <f>AM20+AN20</f>
        <v>0</v>
      </c>
      <c r="AT20" s="40">
        <f>G20/(100-AU20)*100</f>
        <v>0</v>
      </c>
      <c r="AU20" s="40">
        <v>0</v>
      </c>
      <c r="AV20" s="40">
        <f>L20</f>
        <v>69.41069999999999</v>
      </c>
    </row>
    <row r="21" ht="12.75">
      <c r="D21" s="55" t="s">
        <v>318</v>
      </c>
    </row>
    <row r="22" spans="1:48" ht="12.75">
      <c r="A22" s="48" t="s">
        <v>129</v>
      </c>
      <c r="B22" s="48"/>
      <c r="C22" s="48" t="s">
        <v>217</v>
      </c>
      <c r="D22" s="48" t="s">
        <v>319</v>
      </c>
      <c r="E22" s="48" t="s">
        <v>425</v>
      </c>
      <c r="F22" s="57">
        <v>2</v>
      </c>
      <c r="G22" s="57">
        <v>0</v>
      </c>
      <c r="H22" s="57">
        <f>F22*AE22</f>
        <v>0</v>
      </c>
      <c r="I22" s="57">
        <f>J22-H22</f>
        <v>0</v>
      </c>
      <c r="J22" s="57">
        <f>F22*G22</f>
        <v>0</v>
      </c>
      <c r="K22" s="57">
        <v>1.06939</v>
      </c>
      <c r="L22" s="57">
        <f>F22*K22</f>
        <v>2.13878</v>
      </c>
      <c r="M22" s="66" t="s">
        <v>438</v>
      </c>
      <c r="P22" s="40">
        <f>IF(AG22="5",J22,0)</f>
        <v>0</v>
      </c>
      <c r="R22" s="40">
        <f>IF(AG22="1",H22,0)</f>
        <v>0</v>
      </c>
      <c r="S22" s="40">
        <f>IF(AG22="1",I22,0)</f>
        <v>0</v>
      </c>
      <c r="T22" s="40">
        <f>IF(AG22="7",H22,0)</f>
        <v>0</v>
      </c>
      <c r="U22" s="40">
        <f>IF(AG22="7",I22,0)</f>
        <v>0</v>
      </c>
      <c r="V22" s="40">
        <f>IF(AG22="2",H22,0)</f>
        <v>0</v>
      </c>
      <c r="W22" s="40">
        <f>IF(AG22="2",I22,0)</f>
        <v>0</v>
      </c>
      <c r="X22" s="40">
        <f>IF(AG22="0",J22,0)</f>
        <v>0</v>
      </c>
      <c r="Y22" s="63"/>
      <c r="Z22" s="57">
        <f>IF(AD22=0,J22,0)</f>
        <v>0</v>
      </c>
      <c r="AA22" s="57">
        <f>IF(AD22=15,J22,0)</f>
        <v>0</v>
      </c>
      <c r="AB22" s="57">
        <f>IF(AD22=21,J22,0)</f>
        <v>0</v>
      </c>
      <c r="AD22" s="40">
        <v>21</v>
      </c>
      <c r="AE22" s="40">
        <f>G22*0.490264983942378</f>
        <v>0</v>
      </c>
      <c r="AF22" s="40">
        <f>G22*(1-0.490264983942378)</f>
        <v>0</v>
      </c>
      <c r="AG22" s="66" t="s">
        <v>126</v>
      </c>
      <c r="AM22" s="40">
        <f>F22*AE22</f>
        <v>0</v>
      </c>
      <c r="AN22" s="40">
        <f>F22*AF22</f>
        <v>0</v>
      </c>
      <c r="AO22" s="69" t="s">
        <v>450</v>
      </c>
      <c r="AP22" s="69" t="s">
        <v>471</v>
      </c>
      <c r="AQ22" s="63" t="s">
        <v>479</v>
      </c>
      <c r="AS22" s="40">
        <f>AM22+AN22</f>
        <v>0</v>
      </c>
      <c r="AT22" s="40">
        <f>G22/(100-AU22)*100</f>
        <v>0</v>
      </c>
      <c r="AU22" s="40">
        <v>0</v>
      </c>
      <c r="AV22" s="40">
        <f>L22</f>
        <v>2.13878</v>
      </c>
    </row>
    <row r="23" spans="1:48" ht="12.75">
      <c r="A23" s="48" t="s">
        <v>130</v>
      </c>
      <c r="B23" s="48"/>
      <c r="C23" s="48" t="s">
        <v>218</v>
      </c>
      <c r="D23" s="48" t="s">
        <v>320</v>
      </c>
      <c r="E23" s="48" t="s">
        <v>426</v>
      </c>
      <c r="F23" s="57">
        <v>20</v>
      </c>
      <c r="G23" s="57">
        <v>0</v>
      </c>
      <c r="H23" s="57">
        <f>F23*AE23</f>
        <v>0</v>
      </c>
      <c r="I23" s="57">
        <f>J23-H23</f>
        <v>0</v>
      </c>
      <c r="J23" s="57">
        <f>F23*G23</f>
        <v>0</v>
      </c>
      <c r="K23" s="57">
        <v>0.01278</v>
      </c>
      <c r="L23" s="57">
        <f>F23*K23</f>
        <v>0.2556</v>
      </c>
      <c r="M23" s="66" t="s">
        <v>438</v>
      </c>
      <c r="P23" s="40">
        <f>IF(AG23="5",J23,0)</f>
        <v>0</v>
      </c>
      <c r="R23" s="40">
        <f>IF(AG23="1",H23,0)</f>
        <v>0</v>
      </c>
      <c r="S23" s="40">
        <f>IF(AG23="1",I23,0)</f>
        <v>0</v>
      </c>
      <c r="T23" s="40">
        <f>IF(AG23="7",H23,0)</f>
        <v>0</v>
      </c>
      <c r="U23" s="40">
        <f>IF(AG23="7",I23,0)</f>
        <v>0</v>
      </c>
      <c r="V23" s="40">
        <f>IF(AG23="2",H23,0)</f>
        <v>0</v>
      </c>
      <c r="W23" s="40">
        <f>IF(AG23="2",I23,0)</f>
        <v>0</v>
      </c>
      <c r="X23" s="40">
        <f>IF(AG23="0",J23,0)</f>
        <v>0</v>
      </c>
      <c r="Y23" s="63"/>
      <c r="Z23" s="57">
        <f>IF(AD23=0,J23,0)</f>
        <v>0</v>
      </c>
      <c r="AA23" s="57">
        <f>IF(AD23=15,J23,0)</f>
        <v>0</v>
      </c>
      <c r="AB23" s="57">
        <f>IF(AD23=21,J23,0)</f>
        <v>0</v>
      </c>
      <c r="AD23" s="40">
        <v>21</v>
      </c>
      <c r="AE23" s="40">
        <f>G23*0.934127740705434</f>
        <v>0</v>
      </c>
      <c r="AF23" s="40">
        <f>G23*(1-0.934127740705434)</f>
        <v>0</v>
      </c>
      <c r="AG23" s="66" t="s">
        <v>126</v>
      </c>
      <c r="AM23" s="40">
        <f>F23*AE23</f>
        <v>0</v>
      </c>
      <c r="AN23" s="40">
        <f>F23*AF23</f>
        <v>0</v>
      </c>
      <c r="AO23" s="69" t="s">
        <v>450</v>
      </c>
      <c r="AP23" s="69" t="s">
        <v>471</v>
      </c>
      <c r="AQ23" s="63" t="s">
        <v>479</v>
      </c>
      <c r="AS23" s="40">
        <f>AM23+AN23</f>
        <v>0</v>
      </c>
      <c r="AT23" s="40">
        <f>G23/(100-AU23)*100</f>
        <v>0</v>
      </c>
      <c r="AU23" s="40">
        <v>0</v>
      </c>
      <c r="AV23" s="40">
        <f>L23</f>
        <v>0.2556</v>
      </c>
    </row>
    <row r="24" ht="12.75">
      <c r="D24" s="55" t="s">
        <v>321</v>
      </c>
    </row>
    <row r="25" spans="1:48" ht="12.75">
      <c r="A25" s="48" t="s">
        <v>131</v>
      </c>
      <c r="B25" s="48"/>
      <c r="C25" s="48" t="s">
        <v>219</v>
      </c>
      <c r="D25" s="48" t="s">
        <v>322</v>
      </c>
      <c r="E25" s="48" t="s">
        <v>425</v>
      </c>
      <c r="F25" s="57">
        <v>2</v>
      </c>
      <c r="G25" s="57">
        <v>0</v>
      </c>
      <c r="H25" s="57">
        <f>F25*AE25</f>
        <v>0</v>
      </c>
      <c r="I25" s="57">
        <f>J25-H25</f>
        <v>0</v>
      </c>
      <c r="J25" s="57">
        <f>F25*G25</f>
        <v>0</v>
      </c>
      <c r="K25" s="57">
        <v>0.00724</v>
      </c>
      <c r="L25" s="57">
        <f>F25*K25</f>
        <v>0.01448</v>
      </c>
      <c r="M25" s="66" t="s">
        <v>438</v>
      </c>
      <c r="P25" s="40">
        <f>IF(AG25="5",J25,0)</f>
        <v>0</v>
      </c>
      <c r="R25" s="40">
        <f>IF(AG25="1",H25,0)</f>
        <v>0</v>
      </c>
      <c r="S25" s="40">
        <f>IF(AG25="1",I25,0)</f>
        <v>0</v>
      </c>
      <c r="T25" s="40">
        <f>IF(AG25="7",H25,0)</f>
        <v>0</v>
      </c>
      <c r="U25" s="40">
        <f>IF(AG25="7",I25,0)</f>
        <v>0</v>
      </c>
      <c r="V25" s="40">
        <f>IF(AG25="2",H25,0)</f>
        <v>0</v>
      </c>
      <c r="W25" s="40">
        <f>IF(AG25="2",I25,0)</f>
        <v>0</v>
      </c>
      <c r="X25" s="40">
        <f>IF(AG25="0",J25,0)</f>
        <v>0</v>
      </c>
      <c r="Y25" s="63"/>
      <c r="Z25" s="57">
        <f>IF(AD25=0,J25,0)</f>
        <v>0</v>
      </c>
      <c r="AA25" s="57">
        <f>IF(AD25=15,J25,0)</f>
        <v>0</v>
      </c>
      <c r="AB25" s="57">
        <f>IF(AD25=21,J25,0)</f>
        <v>0</v>
      </c>
      <c r="AD25" s="40">
        <v>21</v>
      </c>
      <c r="AE25" s="40">
        <f>G25*0.953498564593301</f>
        <v>0</v>
      </c>
      <c r="AF25" s="40">
        <f>G25*(1-0.953498564593301)</f>
        <v>0</v>
      </c>
      <c r="AG25" s="66" t="s">
        <v>126</v>
      </c>
      <c r="AM25" s="40">
        <f>F25*AE25</f>
        <v>0</v>
      </c>
      <c r="AN25" s="40">
        <f>F25*AF25</f>
        <v>0</v>
      </c>
      <c r="AO25" s="69" t="s">
        <v>450</v>
      </c>
      <c r="AP25" s="69" t="s">
        <v>471</v>
      </c>
      <c r="AQ25" s="63" t="s">
        <v>479</v>
      </c>
      <c r="AS25" s="40">
        <f>AM25+AN25</f>
        <v>0</v>
      </c>
      <c r="AT25" s="40">
        <f>G25/(100-AU25)*100</f>
        <v>0</v>
      </c>
      <c r="AU25" s="40">
        <v>0</v>
      </c>
      <c r="AV25" s="40">
        <f>L25</f>
        <v>0.01448</v>
      </c>
    </row>
    <row r="26" ht="12.75">
      <c r="D26" s="55" t="s">
        <v>321</v>
      </c>
    </row>
    <row r="27" spans="1:48" ht="12.75">
      <c r="A27" s="48" t="s">
        <v>132</v>
      </c>
      <c r="B27" s="48"/>
      <c r="C27" s="48" t="s">
        <v>220</v>
      </c>
      <c r="D27" s="48" t="s">
        <v>323</v>
      </c>
      <c r="E27" s="48" t="s">
        <v>425</v>
      </c>
      <c r="F27" s="57">
        <v>2</v>
      </c>
      <c r="G27" s="57">
        <v>0</v>
      </c>
      <c r="H27" s="57">
        <f>F27*AE27</f>
        <v>0</v>
      </c>
      <c r="I27" s="57">
        <f>J27-H27</f>
        <v>0</v>
      </c>
      <c r="J27" s="57">
        <f>F27*G27</f>
        <v>0</v>
      </c>
      <c r="K27" s="57">
        <v>0.03525</v>
      </c>
      <c r="L27" s="57">
        <f>F27*K27</f>
        <v>0.0705</v>
      </c>
      <c r="M27" s="66" t="s">
        <v>438</v>
      </c>
      <c r="P27" s="40">
        <f>IF(AG27="5",J27,0)</f>
        <v>0</v>
      </c>
      <c r="R27" s="40">
        <f>IF(AG27="1",H27,0)</f>
        <v>0</v>
      </c>
      <c r="S27" s="40">
        <f>IF(AG27="1",I27,0)</f>
        <v>0</v>
      </c>
      <c r="T27" s="40">
        <f>IF(AG27="7",H27,0)</f>
        <v>0</v>
      </c>
      <c r="U27" s="40">
        <f>IF(AG27="7",I27,0)</f>
        <v>0</v>
      </c>
      <c r="V27" s="40">
        <f>IF(AG27="2",H27,0)</f>
        <v>0</v>
      </c>
      <c r="W27" s="40">
        <f>IF(AG27="2",I27,0)</f>
        <v>0</v>
      </c>
      <c r="X27" s="40">
        <f>IF(AG27="0",J27,0)</f>
        <v>0</v>
      </c>
      <c r="Y27" s="63"/>
      <c r="Z27" s="57">
        <f>IF(AD27=0,J27,0)</f>
        <v>0</v>
      </c>
      <c r="AA27" s="57">
        <f>IF(AD27=15,J27,0)</f>
        <v>0</v>
      </c>
      <c r="AB27" s="57">
        <f>IF(AD27=21,J27,0)</f>
        <v>0</v>
      </c>
      <c r="AD27" s="40">
        <v>21</v>
      </c>
      <c r="AE27" s="40">
        <f>G27*0.971655648383582</f>
        <v>0</v>
      </c>
      <c r="AF27" s="40">
        <f>G27*(1-0.971655648383582)</f>
        <v>0</v>
      </c>
      <c r="AG27" s="66" t="s">
        <v>126</v>
      </c>
      <c r="AM27" s="40">
        <f>F27*AE27</f>
        <v>0</v>
      </c>
      <c r="AN27" s="40">
        <f>F27*AF27</f>
        <v>0</v>
      </c>
      <c r="AO27" s="69" t="s">
        <v>450</v>
      </c>
      <c r="AP27" s="69" t="s">
        <v>471</v>
      </c>
      <c r="AQ27" s="63" t="s">
        <v>479</v>
      </c>
      <c r="AS27" s="40">
        <f>AM27+AN27</f>
        <v>0</v>
      </c>
      <c r="AT27" s="40">
        <f>G27/(100-AU27)*100</f>
        <v>0</v>
      </c>
      <c r="AU27" s="40">
        <v>0</v>
      </c>
      <c r="AV27" s="40">
        <f>L27</f>
        <v>0.0705</v>
      </c>
    </row>
    <row r="28" ht="12.75">
      <c r="D28" s="55" t="s">
        <v>321</v>
      </c>
    </row>
    <row r="29" spans="1:48" ht="12.75">
      <c r="A29" s="48" t="s">
        <v>133</v>
      </c>
      <c r="B29" s="48"/>
      <c r="C29" s="48" t="s">
        <v>221</v>
      </c>
      <c r="D29" s="48" t="s">
        <v>324</v>
      </c>
      <c r="E29" s="48" t="s">
        <v>425</v>
      </c>
      <c r="F29" s="57">
        <v>2</v>
      </c>
      <c r="G29" s="57">
        <v>0</v>
      </c>
      <c r="H29" s="57">
        <f>F29*AE29</f>
        <v>0</v>
      </c>
      <c r="I29" s="57">
        <f>J29-H29</f>
        <v>0</v>
      </c>
      <c r="J29" s="57">
        <f>F29*G29</f>
        <v>0</v>
      </c>
      <c r="K29" s="57">
        <v>0.02583</v>
      </c>
      <c r="L29" s="57">
        <f>F29*K29</f>
        <v>0.05166</v>
      </c>
      <c r="M29" s="66" t="s">
        <v>438</v>
      </c>
      <c r="P29" s="40">
        <f>IF(AG29="5",J29,0)</f>
        <v>0</v>
      </c>
      <c r="R29" s="40">
        <f>IF(AG29="1",H29,0)</f>
        <v>0</v>
      </c>
      <c r="S29" s="40">
        <f>IF(AG29="1",I29,0)</f>
        <v>0</v>
      </c>
      <c r="T29" s="40">
        <f>IF(AG29="7",H29,0)</f>
        <v>0</v>
      </c>
      <c r="U29" s="40">
        <f>IF(AG29="7",I29,0)</f>
        <v>0</v>
      </c>
      <c r="V29" s="40">
        <f>IF(AG29="2",H29,0)</f>
        <v>0</v>
      </c>
      <c r="W29" s="40">
        <f>IF(AG29="2",I29,0)</f>
        <v>0</v>
      </c>
      <c r="X29" s="40">
        <f>IF(AG29="0",J29,0)</f>
        <v>0</v>
      </c>
      <c r="Y29" s="63"/>
      <c r="Z29" s="57">
        <f>IF(AD29=0,J29,0)</f>
        <v>0</v>
      </c>
      <c r="AA29" s="57">
        <f>IF(AD29=15,J29,0)</f>
        <v>0</v>
      </c>
      <c r="AB29" s="57">
        <f>IF(AD29=21,J29,0)</f>
        <v>0</v>
      </c>
      <c r="AD29" s="40">
        <v>21</v>
      </c>
      <c r="AE29" s="40">
        <f>G29*0.985491235535152</f>
        <v>0</v>
      </c>
      <c r="AF29" s="40">
        <f>G29*(1-0.985491235535152)</f>
        <v>0</v>
      </c>
      <c r="AG29" s="66" t="s">
        <v>126</v>
      </c>
      <c r="AM29" s="40">
        <f>F29*AE29</f>
        <v>0</v>
      </c>
      <c r="AN29" s="40">
        <f>F29*AF29</f>
        <v>0</v>
      </c>
      <c r="AO29" s="69" t="s">
        <v>450</v>
      </c>
      <c r="AP29" s="69" t="s">
        <v>471</v>
      </c>
      <c r="AQ29" s="63" t="s">
        <v>479</v>
      </c>
      <c r="AS29" s="40">
        <f>AM29+AN29</f>
        <v>0</v>
      </c>
      <c r="AT29" s="40">
        <f>G29/(100-AU29)*100</f>
        <v>0</v>
      </c>
      <c r="AU29" s="40">
        <v>0</v>
      </c>
      <c r="AV29" s="40">
        <f>L29</f>
        <v>0.05166</v>
      </c>
    </row>
    <row r="30" ht="12.75">
      <c r="D30" s="55" t="s">
        <v>321</v>
      </c>
    </row>
    <row r="31" spans="1:48" ht="12.75">
      <c r="A31" s="48" t="s">
        <v>134</v>
      </c>
      <c r="B31" s="48"/>
      <c r="C31" s="48" t="s">
        <v>222</v>
      </c>
      <c r="D31" s="48" t="s">
        <v>325</v>
      </c>
      <c r="E31" s="48" t="s">
        <v>425</v>
      </c>
      <c r="F31" s="57">
        <v>2</v>
      </c>
      <c r="G31" s="57">
        <v>0</v>
      </c>
      <c r="H31" s="57">
        <f>F31*AE31</f>
        <v>0</v>
      </c>
      <c r="I31" s="57">
        <f>J31-H31</f>
        <v>0</v>
      </c>
      <c r="J31" s="57">
        <f>F31*G31</f>
        <v>0</v>
      </c>
      <c r="K31" s="57">
        <v>0.02594</v>
      </c>
      <c r="L31" s="57">
        <f>F31*K31</f>
        <v>0.05188</v>
      </c>
      <c r="M31" s="66" t="s">
        <v>438</v>
      </c>
      <c r="P31" s="40">
        <f>IF(AG31="5",J31,0)</f>
        <v>0</v>
      </c>
      <c r="R31" s="40">
        <f>IF(AG31="1",H31,0)</f>
        <v>0</v>
      </c>
      <c r="S31" s="40">
        <f>IF(AG31="1",I31,0)</f>
        <v>0</v>
      </c>
      <c r="T31" s="40">
        <f>IF(AG31="7",H31,0)</f>
        <v>0</v>
      </c>
      <c r="U31" s="40">
        <f>IF(AG31="7",I31,0)</f>
        <v>0</v>
      </c>
      <c r="V31" s="40">
        <f>IF(AG31="2",H31,0)</f>
        <v>0</v>
      </c>
      <c r="W31" s="40">
        <f>IF(AG31="2",I31,0)</f>
        <v>0</v>
      </c>
      <c r="X31" s="40">
        <f>IF(AG31="0",J31,0)</f>
        <v>0</v>
      </c>
      <c r="Y31" s="63"/>
      <c r="Z31" s="57">
        <f>IF(AD31=0,J31,0)</f>
        <v>0</v>
      </c>
      <c r="AA31" s="57">
        <f>IF(AD31=15,J31,0)</f>
        <v>0</v>
      </c>
      <c r="AB31" s="57">
        <f>IF(AD31=21,J31,0)</f>
        <v>0</v>
      </c>
      <c r="AD31" s="40">
        <v>21</v>
      </c>
      <c r="AE31" s="40">
        <f>G31*0.993798356510746</f>
        <v>0</v>
      </c>
      <c r="AF31" s="40">
        <f>G31*(1-0.993798356510746)</f>
        <v>0</v>
      </c>
      <c r="AG31" s="66" t="s">
        <v>126</v>
      </c>
      <c r="AM31" s="40">
        <f>F31*AE31</f>
        <v>0</v>
      </c>
      <c r="AN31" s="40">
        <f>F31*AF31</f>
        <v>0</v>
      </c>
      <c r="AO31" s="69" t="s">
        <v>450</v>
      </c>
      <c r="AP31" s="69" t="s">
        <v>471</v>
      </c>
      <c r="AQ31" s="63" t="s">
        <v>479</v>
      </c>
      <c r="AS31" s="40">
        <f>AM31+AN31</f>
        <v>0</v>
      </c>
      <c r="AT31" s="40">
        <f>G31/(100-AU31)*100</f>
        <v>0</v>
      </c>
      <c r="AU31" s="40">
        <v>0</v>
      </c>
      <c r="AV31" s="40">
        <f>L31</f>
        <v>0.05188</v>
      </c>
    </row>
    <row r="32" ht="12.75">
      <c r="D32" s="55" t="s">
        <v>321</v>
      </c>
    </row>
    <row r="33" spans="1:48" ht="12.75">
      <c r="A33" s="49" t="s">
        <v>135</v>
      </c>
      <c r="B33" s="49"/>
      <c r="C33" s="49" t="s">
        <v>223</v>
      </c>
      <c r="D33" s="49" t="s">
        <v>326</v>
      </c>
      <c r="E33" s="49" t="s">
        <v>425</v>
      </c>
      <c r="F33" s="58">
        <v>6</v>
      </c>
      <c r="G33" s="58">
        <v>0</v>
      </c>
      <c r="H33" s="58">
        <f>F33*AE33</f>
        <v>0</v>
      </c>
      <c r="I33" s="58">
        <f>J33-H33</f>
        <v>0</v>
      </c>
      <c r="J33" s="58">
        <f>F33*G33</f>
        <v>0</v>
      </c>
      <c r="K33" s="58">
        <v>0.00211</v>
      </c>
      <c r="L33" s="58">
        <f>F33*K33</f>
        <v>0.01266</v>
      </c>
      <c r="M33" s="67" t="s">
        <v>438</v>
      </c>
      <c r="P33" s="40">
        <f>IF(AG33="5",J33,0)</f>
        <v>0</v>
      </c>
      <c r="R33" s="40">
        <f>IF(AG33="1",H33,0)</f>
        <v>0</v>
      </c>
      <c r="S33" s="40">
        <f>IF(AG33="1",I33,0)</f>
        <v>0</v>
      </c>
      <c r="T33" s="40">
        <f>IF(AG33="7",H33,0)</f>
        <v>0</v>
      </c>
      <c r="U33" s="40">
        <f>IF(AG33="7",I33,0)</f>
        <v>0</v>
      </c>
      <c r="V33" s="40">
        <f>IF(AG33="2",H33,0)</f>
        <v>0</v>
      </c>
      <c r="W33" s="40">
        <f>IF(AG33="2",I33,0)</f>
        <v>0</v>
      </c>
      <c r="X33" s="40">
        <f>IF(AG33="0",J33,0)</f>
        <v>0</v>
      </c>
      <c r="Y33" s="63"/>
      <c r="Z33" s="58">
        <f>IF(AD33=0,J33,0)</f>
        <v>0</v>
      </c>
      <c r="AA33" s="58">
        <f>IF(AD33=15,J33,0)</f>
        <v>0</v>
      </c>
      <c r="AB33" s="58">
        <f>IF(AD33=21,J33,0)</f>
        <v>0</v>
      </c>
      <c r="AD33" s="40">
        <v>21</v>
      </c>
      <c r="AE33" s="40">
        <f>G33*1</f>
        <v>0</v>
      </c>
      <c r="AF33" s="40">
        <f>G33*(1-1)</f>
        <v>0</v>
      </c>
      <c r="AG33" s="67" t="s">
        <v>126</v>
      </c>
      <c r="AM33" s="40">
        <f>F33*AE33</f>
        <v>0</v>
      </c>
      <c r="AN33" s="40">
        <f>F33*AF33</f>
        <v>0</v>
      </c>
      <c r="AO33" s="69" t="s">
        <v>450</v>
      </c>
      <c r="AP33" s="69" t="s">
        <v>471</v>
      </c>
      <c r="AQ33" s="63" t="s">
        <v>479</v>
      </c>
      <c r="AS33" s="40">
        <f>AM33+AN33</f>
        <v>0</v>
      </c>
      <c r="AT33" s="40">
        <f>G33/(100-AU33)*100</f>
        <v>0</v>
      </c>
      <c r="AU33" s="40">
        <v>0</v>
      </c>
      <c r="AV33" s="40">
        <f>L33</f>
        <v>0.01266</v>
      </c>
    </row>
    <row r="34" spans="1:48" ht="12.75">
      <c r="A34" s="48" t="s">
        <v>136</v>
      </c>
      <c r="B34" s="48"/>
      <c r="C34" s="48" t="s">
        <v>224</v>
      </c>
      <c r="D34" s="48" t="s">
        <v>327</v>
      </c>
      <c r="E34" s="48" t="s">
        <v>427</v>
      </c>
      <c r="F34" s="57">
        <v>8</v>
      </c>
      <c r="G34" s="57">
        <v>0</v>
      </c>
      <c r="H34" s="57">
        <f>F34*AE34</f>
        <v>0</v>
      </c>
      <c r="I34" s="57">
        <f>J34-H34</f>
        <v>0</v>
      </c>
      <c r="J34" s="57">
        <f>F34*G34</f>
        <v>0</v>
      </c>
      <c r="K34" s="57">
        <v>0</v>
      </c>
      <c r="L34" s="57">
        <f>F34*K34</f>
        <v>0</v>
      </c>
      <c r="M34" s="66" t="s">
        <v>438</v>
      </c>
      <c r="P34" s="40">
        <f>IF(AG34="5",J34,0)</f>
        <v>0</v>
      </c>
      <c r="R34" s="40">
        <f>IF(AG34="1",H34,0)</f>
        <v>0</v>
      </c>
      <c r="S34" s="40">
        <f>IF(AG34="1",I34,0)</f>
        <v>0</v>
      </c>
      <c r="T34" s="40">
        <f>IF(AG34="7",H34,0)</f>
        <v>0</v>
      </c>
      <c r="U34" s="40">
        <f>IF(AG34="7",I34,0)</f>
        <v>0</v>
      </c>
      <c r="V34" s="40">
        <f>IF(AG34="2",H34,0)</f>
        <v>0</v>
      </c>
      <c r="W34" s="40">
        <f>IF(AG34="2",I34,0)</f>
        <v>0</v>
      </c>
      <c r="X34" s="40">
        <f>IF(AG34="0",J34,0)</f>
        <v>0</v>
      </c>
      <c r="Y34" s="63"/>
      <c r="Z34" s="57">
        <f>IF(AD34=0,J34,0)</f>
        <v>0</v>
      </c>
      <c r="AA34" s="57">
        <f>IF(AD34=15,J34,0)</f>
        <v>0</v>
      </c>
      <c r="AB34" s="57">
        <f>IF(AD34=21,J34,0)</f>
        <v>0</v>
      </c>
      <c r="AD34" s="40">
        <v>21</v>
      </c>
      <c r="AE34" s="40">
        <f>G34*0</f>
        <v>0</v>
      </c>
      <c r="AF34" s="40">
        <f>G34*(1-0)</f>
        <v>0</v>
      </c>
      <c r="AG34" s="66" t="s">
        <v>126</v>
      </c>
      <c r="AM34" s="40">
        <f>F34*AE34</f>
        <v>0</v>
      </c>
      <c r="AN34" s="40">
        <f>F34*AF34</f>
        <v>0</v>
      </c>
      <c r="AO34" s="69" t="s">
        <v>450</v>
      </c>
      <c r="AP34" s="69" t="s">
        <v>471</v>
      </c>
      <c r="AQ34" s="63" t="s">
        <v>479</v>
      </c>
      <c r="AS34" s="40">
        <f>AM34+AN34</f>
        <v>0</v>
      </c>
      <c r="AT34" s="40">
        <f>G34/(100-AU34)*100</f>
        <v>0</v>
      </c>
      <c r="AU34" s="40">
        <v>0</v>
      </c>
      <c r="AV34" s="40">
        <f>L34</f>
        <v>0</v>
      </c>
    </row>
    <row r="35" spans="1:37" ht="12.75">
      <c r="A35" s="47"/>
      <c r="B35" s="54"/>
      <c r="C35" s="54" t="s">
        <v>80</v>
      </c>
      <c r="D35" s="54" t="s">
        <v>103</v>
      </c>
      <c r="E35" s="47" t="s">
        <v>74</v>
      </c>
      <c r="F35" s="47" t="s">
        <v>74</v>
      </c>
      <c r="G35" s="47" t="s">
        <v>74</v>
      </c>
      <c r="H35" s="71">
        <f>SUM(H36:H37)</f>
        <v>0</v>
      </c>
      <c r="I35" s="71">
        <f>SUM(I36:I37)</f>
        <v>0</v>
      </c>
      <c r="J35" s="71">
        <f>H35+I35</f>
        <v>0</v>
      </c>
      <c r="K35" s="63"/>
      <c r="L35" s="71">
        <f>SUM(L36:L37)</f>
        <v>23.456509999999998</v>
      </c>
      <c r="M35" s="63"/>
      <c r="Y35" s="63"/>
      <c r="AI35" s="71">
        <f>SUM(Z36:Z37)</f>
        <v>0</v>
      </c>
      <c r="AJ35" s="71">
        <f>SUM(AA36:AA37)</f>
        <v>0</v>
      </c>
      <c r="AK35" s="71">
        <f>SUM(AB36:AB37)</f>
        <v>0</v>
      </c>
    </row>
    <row r="36" spans="1:48" ht="12.75">
      <c r="A36" s="48" t="s">
        <v>137</v>
      </c>
      <c r="B36" s="48"/>
      <c r="C36" s="48" t="s">
        <v>225</v>
      </c>
      <c r="D36" s="48" t="s">
        <v>328</v>
      </c>
      <c r="E36" s="48" t="s">
        <v>425</v>
      </c>
      <c r="F36" s="57">
        <v>11</v>
      </c>
      <c r="G36" s="57">
        <v>0</v>
      </c>
      <c r="H36" s="57">
        <f>F36*AE36</f>
        <v>0</v>
      </c>
      <c r="I36" s="57">
        <f>J36-H36</f>
        <v>0</v>
      </c>
      <c r="J36" s="57">
        <f>F36*G36</f>
        <v>0</v>
      </c>
      <c r="K36" s="57">
        <v>1.93346</v>
      </c>
      <c r="L36" s="57">
        <f>F36*K36</f>
        <v>21.26806</v>
      </c>
      <c r="M36" s="66" t="s">
        <v>438</v>
      </c>
      <c r="P36" s="40">
        <f>IF(AG36="5",J36,0)</f>
        <v>0</v>
      </c>
      <c r="R36" s="40">
        <f>IF(AG36="1",H36,0)</f>
        <v>0</v>
      </c>
      <c r="S36" s="40">
        <f>IF(AG36="1",I36,0)</f>
        <v>0</v>
      </c>
      <c r="T36" s="40">
        <f>IF(AG36="7",H36,0)</f>
        <v>0</v>
      </c>
      <c r="U36" s="40">
        <f>IF(AG36="7",I36,0)</f>
        <v>0</v>
      </c>
      <c r="V36" s="40">
        <f>IF(AG36="2",H36,0)</f>
        <v>0</v>
      </c>
      <c r="W36" s="40">
        <f>IF(AG36="2",I36,0)</f>
        <v>0</v>
      </c>
      <c r="X36" s="40">
        <f>IF(AG36="0",J36,0)</f>
        <v>0</v>
      </c>
      <c r="Y36" s="63"/>
      <c r="Z36" s="57">
        <f>IF(AD36=0,J36,0)</f>
        <v>0</v>
      </c>
      <c r="AA36" s="57">
        <f>IF(AD36=15,J36,0)</f>
        <v>0</v>
      </c>
      <c r="AB36" s="57">
        <f>IF(AD36=21,J36,0)</f>
        <v>0</v>
      </c>
      <c r="AD36" s="40">
        <v>21</v>
      </c>
      <c r="AE36" s="40">
        <f>G36*0.91974314068885</f>
        <v>0</v>
      </c>
      <c r="AF36" s="40">
        <f>G36*(1-0.91974314068885)</f>
        <v>0</v>
      </c>
      <c r="AG36" s="66" t="s">
        <v>126</v>
      </c>
      <c r="AM36" s="40">
        <f>F36*AE36</f>
        <v>0</v>
      </c>
      <c r="AN36" s="40">
        <f>F36*AF36</f>
        <v>0</v>
      </c>
      <c r="AO36" s="69" t="s">
        <v>451</v>
      </c>
      <c r="AP36" s="69" t="s">
        <v>472</v>
      </c>
      <c r="AQ36" s="63" t="s">
        <v>479</v>
      </c>
      <c r="AS36" s="40">
        <f>AM36+AN36</f>
        <v>0</v>
      </c>
      <c r="AT36" s="40">
        <f>G36/(100-AU36)*100</f>
        <v>0</v>
      </c>
      <c r="AU36" s="40">
        <v>0</v>
      </c>
      <c r="AV36" s="40">
        <f>L36</f>
        <v>21.26806</v>
      </c>
    </row>
    <row r="37" spans="1:48" ht="12.75">
      <c r="A37" s="48" t="s">
        <v>77</v>
      </c>
      <c r="B37" s="48"/>
      <c r="C37" s="48" t="s">
        <v>226</v>
      </c>
      <c r="D37" s="48" t="s">
        <v>329</v>
      </c>
      <c r="E37" s="48" t="s">
        <v>425</v>
      </c>
      <c r="F37" s="57">
        <v>11</v>
      </c>
      <c r="G37" s="57">
        <v>0</v>
      </c>
      <c r="H37" s="57">
        <f>F37*AE37</f>
        <v>0</v>
      </c>
      <c r="I37" s="57">
        <f>J37-H37</f>
        <v>0</v>
      </c>
      <c r="J37" s="57">
        <f>F37*G37</f>
        <v>0</v>
      </c>
      <c r="K37" s="57">
        <v>0.19895</v>
      </c>
      <c r="L37" s="57">
        <f>F37*K37</f>
        <v>2.18845</v>
      </c>
      <c r="M37" s="66" t="s">
        <v>438</v>
      </c>
      <c r="P37" s="40">
        <f>IF(AG37="5",J37,0)</f>
        <v>0</v>
      </c>
      <c r="R37" s="40">
        <f>IF(AG37="1",H37,0)</f>
        <v>0</v>
      </c>
      <c r="S37" s="40">
        <f>IF(AG37="1",I37,0)</f>
        <v>0</v>
      </c>
      <c r="T37" s="40">
        <f>IF(AG37="7",H37,0)</f>
        <v>0</v>
      </c>
      <c r="U37" s="40">
        <f>IF(AG37="7",I37,0)</f>
        <v>0</v>
      </c>
      <c r="V37" s="40">
        <f>IF(AG37="2",H37,0)</f>
        <v>0</v>
      </c>
      <c r="W37" s="40">
        <f>IF(AG37="2",I37,0)</f>
        <v>0</v>
      </c>
      <c r="X37" s="40">
        <f>IF(AG37="0",J37,0)</f>
        <v>0</v>
      </c>
      <c r="Y37" s="63"/>
      <c r="Z37" s="57">
        <f>IF(AD37=0,J37,0)</f>
        <v>0</v>
      </c>
      <c r="AA37" s="57">
        <f>IF(AD37=15,J37,0)</f>
        <v>0</v>
      </c>
      <c r="AB37" s="57">
        <f>IF(AD37=21,J37,0)</f>
        <v>0</v>
      </c>
      <c r="AD37" s="40">
        <v>21</v>
      </c>
      <c r="AE37" s="40">
        <f>G37*0.166518818121476</f>
        <v>0</v>
      </c>
      <c r="AF37" s="40">
        <f>G37*(1-0.166518818121476)</f>
        <v>0</v>
      </c>
      <c r="AG37" s="66" t="s">
        <v>126</v>
      </c>
      <c r="AM37" s="40">
        <f>F37*AE37</f>
        <v>0</v>
      </c>
      <c r="AN37" s="40">
        <f>F37*AF37</f>
        <v>0</v>
      </c>
      <c r="AO37" s="69" t="s">
        <v>451</v>
      </c>
      <c r="AP37" s="69" t="s">
        <v>472</v>
      </c>
      <c r="AQ37" s="63" t="s">
        <v>479</v>
      </c>
      <c r="AS37" s="40">
        <f>AM37+AN37</f>
        <v>0</v>
      </c>
      <c r="AT37" s="40">
        <f>G37/(100-AU37)*100</f>
        <v>0</v>
      </c>
      <c r="AU37" s="40">
        <v>0</v>
      </c>
      <c r="AV37" s="40">
        <f>L37</f>
        <v>2.18845</v>
      </c>
    </row>
    <row r="38" spans="1:37" ht="12.75">
      <c r="A38" s="47"/>
      <c r="B38" s="54"/>
      <c r="C38" s="54" t="s">
        <v>81</v>
      </c>
      <c r="D38" s="54" t="s">
        <v>104</v>
      </c>
      <c r="E38" s="47" t="s">
        <v>74</v>
      </c>
      <c r="F38" s="47" t="s">
        <v>74</v>
      </c>
      <c r="G38" s="47" t="s">
        <v>74</v>
      </c>
      <c r="H38" s="71">
        <f>SUM(H39:H41)</f>
        <v>0</v>
      </c>
      <c r="I38" s="71">
        <f>SUM(I39:I41)</f>
        <v>0</v>
      </c>
      <c r="J38" s="71">
        <f>H38+I38</f>
        <v>0</v>
      </c>
      <c r="K38" s="63"/>
      <c r="L38" s="71">
        <f>SUM(L39:L41)</f>
        <v>47.045</v>
      </c>
      <c r="M38" s="63"/>
      <c r="Y38" s="63"/>
      <c r="AI38" s="71">
        <f>SUM(Z39:Z41)</f>
        <v>0</v>
      </c>
      <c r="AJ38" s="71">
        <f>SUM(AA39:AA41)</f>
        <v>0</v>
      </c>
      <c r="AK38" s="71">
        <f>SUM(AB39:AB41)</f>
        <v>0</v>
      </c>
    </row>
    <row r="39" spans="1:48" ht="12.75">
      <c r="A39" s="48" t="s">
        <v>138</v>
      </c>
      <c r="B39" s="48"/>
      <c r="C39" s="48" t="s">
        <v>227</v>
      </c>
      <c r="D39" s="48" t="s">
        <v>330</v>
      </c>
      <c r="E39" s="48" t="s">
        <v>424</v>
      </c>
      <c r="F39" s="57">
        <v>12</v>
      </c>
      <c r="G39" s="57">
        <v>0</v>
      </c>
      <c r="H39" s="57">
        <f>F39*AE39</f>
        <v>0</v>
      </c>
      <c r="I39" s="57">
        <f>J39-H39</f>
        <v>0</v>
      </c>
      <c r="J39" s="57">
        <f>F39*G39</f>
        <v>0</v>
      </c>
      <c r="K39" s="57">
        <v>0.33</v>
      </c>
      <c r="L39" s="57">
        <f>F39*K39</f>
        <v>3.96</v>
      </c>
      <c r="M39" s="66" t="s">
        <v>438</v>
      </c>
      <c r="P39" s="40">
        <f>IF(AG39="5",J39,0)</f>
        <v>0</v>
      </c>
      <c r="R39" s="40">
        <f>IF(AG39="1",H39,0)</f>
        <v>0</v>
      </c>
      <c r="S39" s="40">
        <f>IF(AG39="1",I39,0)</f>
        <v>0</v>
      </c>
      <c r="T39" s="40">
        <f>IF(AG39="7",H39,0)</f>
        <v>0</v>
      </c>
      <c r="U39" s="40">
        <f>IF(AG39="7",I39,0)</f>
        <v>0</v>
      </c>
      <c r="V39" s="40">
        <f>IF(AG39="2",H39,0)</f>
        <v>0</v>
      </c>
      <c r="W39" s="40">
        <f>IF(AG39="2",I39,0)</f>
        <v>0</v>
      </c>
      <c r="X39" s="40">
        <f>IF(AG39="0",J39,0)</f>
        <v>0</v>
      </c>
      <c r="Y39" s="63"/>
      <c r="Z39" s="57">
        <f>IF(AD39=0,J39,0)</f>
        <v>0</v>
      </c>
      <c r="AA39" s="57">
        <f>IF(AD39=15,J39,0)</f>
        <v>0</v>
      </c>
      <c r="AB39" s="57">
        <f>IF(AD39=21,J39,0)</f>
        <v>0</v>
      </c>
      <c r="AD39" s="40">
        <v>21</v>
      </c>
      <c r="AE39" s="40">
        <f>G39*0</f>
        <v>0</v>
      </c>
      <c r="AF39" s="40">
        <f>G39*(1-0)</f>
        <v>0</v>
      </c>
      <c r="AG39" s="66" t="s">
        <v>126</v>
      </c>
      <c r="AM39" s="40">
        <f>F39*AE39</f>
        <v>0</v>
      </c>
      <c r="AN39" s="40">
        <f>F39*AF39</f>
        <v>0</v>
      </c>
      <c r="AO39" s="69" t="s">
        <v>452</v>
      </c>
      <c r="AP39" s="69" t="s">
        <v>473</v>
      </c>
      <c r="AQ39" s="63" t="s">
        <v>479</v>
      </c>
      <c r="AS39" s="40">
        <f>AM39+AN39</f>
        <v>0</v>
      </c>
      <c r="AT39" s="40">
        <f>G39/(100-AU39)*100</f>
        <v>0</v>
      </c>
      <c r="AU39" s="40">
        <v>0</v>
      </c>
      <c r="AV39" s="40">
        <f>L39</f>
        <v>3.96</v>
      </c>
    </row>
    <row r="40" ht="12.75">
      <c r="D40" s="55" t="s">
        <v>331</v>
      </c>
    </row>
    <row r="41" spans="1:48" ht="12.75">
      <c r="A41" s="48" t="s">
        <v>139</v>
      </c>
      <c r="B41" s="48"/>
      <c r="C41" s="48" t="s">
        <v>228</v>
      </c>
      <c r="D41" s="48" t="s">
        <v>332</v>
      </c>
      <c r="E41" s="48" t="s">
        <v>424</v>
      </c>
      <c r="F41" s="57">
        <v>350</v>
      </c>
      <c r="G41" s="57">
        <v>0</v>
      </c>
      <c r="H41" s="57">
        <f>F41*AE41</f>
        <v>0</v>
      </c>
      <c r="I41" s="57">
        <f>J41-H41</f>
        <v>0</v>
      </c>
      <c r="J41" s="57">
        <f>F41*G41</f>
        <v>0</v>
      </c>
      <c r="K41" s="57">
        <v>0.1231</v>
      </c>
      <c r="L41" s="57">
        <f>F41*K41</f>
        <v>43.085</v>
      </c>
      <c r="M41" s="66" t="s">
        <v>438</v>
      </c>
      <c r="P41" s="40">
        <f>IF(AG41="5",J41,0)</f>
        <v>0</v>
      </c>
      <c r="R41" s="40">
        <f>IF(AG41="1",H41,0)</f>
        <v>0</v>
      </c>
      <c r="S41" s="40">
        <f>IF(AG41="1",I41,0)</f>
        <v>0</v>
      </c>
      <c r="T41" s="40">
        <f>IF(AG41="7",H41,0)</f>
        <v>0</v>
      </c>
      <c r="U41" s="40">
        <f>IF(AG41="7",I41,0)</f>
        <v>0</v>
      </c>
      <c r="V41" s="40">
        <f>IF(AG41="2",H41,0)</f>
        <v>0</v>
      </c>
      <c r="W41" s="40">
        <f>IF(AG41="2",I41,0)</f>
        <v>0</v>
      </c>
      <c r="X41" s="40">
        <f>IF(AG41="0",J41,0)</f>
        <v>0</v>
      </c>
      <c r="Y41" s="63"/>
      <c r="Z41" s="57">
        <f>IF(AD41=0,J41,0)</f>
        <v>0</v>
      </c>
      <c r="AA41" s="57">
        <f>IF(AD41=15,J41,0)</f>
        <v>0</v>
      </c>
      <c r="AB41" s="57">
        <f>IF(AD41=21,J41,0)</f>
        <v>0</v>
      </c>
      <c r="AD41" s="40">
        <v>21</v>
      </c>
      <c r="AE41" s="40">
        <f>G41*0.466528662420382</f>
        <v>0</v>
      </c>
      <c r="AF41" s="40">
        <f>G41*(1-0.466528662420382)</f>
        <v>0</v>
      </c>
      <c r="AG41" s="66" t="s">
        <v>126</v>
      </c>
      <c r="AM41" s="40">
        <f>F41*AE41</f>
        <v>0</v>
      </c>
      <c r="AN41" s="40">
        <f>F41*AF41</f>
        <v>0</v>
      </c>
      <c r="AO41" s="69" t="s">
        <v>452</v>
      </c>
      <c r="AP41" s="69" t="s">
        <v>473</v>
      </c>
      <c r="AQ41" s="63" t="s">
        <v>479</v>
      </c>
      <c r="AS41" s="40">
        <f>AM41+AN41</f>
        <v>0</v>
      </c>
      <c r="AT41" s="40">
        <f>G41/(100-AU41)*100</f>
        <v>0</v>
      </c>
      <c r="AU41" s="40">
        <v>0</v>
      </c>
      <c r="AV41" s="40">
        <f>L41</f>
        <v>43.085</v>
      </c>
    </row>
    <row r="42" spans="1:37" ht="12.75">
      <c r="A42" s="47"/>
      <c r="B42" s="54"/>
      <c r="C42" s="54" t="s">
        <v>82</v>
      </c>
      <c r="D42" s="54" t="s">
        <v>105</v>
      </c>
      <c r="E42" s="47" t="s">
        <v>74</v>
      </c>
      <c r="F42" s="47" t="s">
        <v>74</v>
      </c>
      <c r="G42" s="47" t="s">
        <v>74</v>
      </c>
      <c r="H42" s="71">
        <f>SUM(H43:H48)</f>
        <v>0</v>
      </c>
      <c r="I42" s="71">
        <f>SUM(I43:I48)</f>
        <v>0</v>
      </c>
      <c r="J42" s="71">
        <f>H42+I42</f>
        <v>0</v>
      </c>
      <c r="K42" s="63"/>
      <c r="L42" s="71">
        <f>SUM(L43:L48)</f>
        <v>0.015200000000000002</v>
      </c>
      <c r="M42" s="63"/>
      <c r="Y42" s="63"/>
      <c r="AI42" s="71">
        <f>SUM(Z43:Z48)</f>
        <v>0</v>
      </c>
      <c r="AJ42" s="71">
        <f>SUM(AA43:AA48)</f>
        <v>0</v>
      </c>
      <c r="AK42" s="71">
        <f>SUM(AB43:AB48)</f>
        <v>0</v>
      </c>
    </row>
    <row r="43" spans="1:48" ht="12.75">
      <c r="A43" s="48" t="s">
        <v>140</v>
      </c>
      <c r="B43" s="48"/>
      <c r="C43" s="48" t="s">
        <v>229</v>
      </c>
      <c r="D43" s="48" t="s">
        <v>333</v>
      </c>
      <c r="E43" s="48" t="s">
        <v>426</v>
      </c>
      <c r="F43" s="57">
        <v>8</v>
      </c>
      <c r="G43" s="57">
        <v>0</v>
      </c>
      <c r="H43" s="57">
        <f aca="true" t="shared" si="0" ref="H43:H48">F43*AE43</f>
        <v>0</v>
      </c>
      <c r="I43" s="57">
        <f aca="true" t="shared" si="1" ref="I43:I48">J43-H43</f>
        <v>0</v>
      </c>
      <c r="J43" s="57">
        <f aca="true" t="shared" si="2" ref="J43:J48">F43*G43</f>
        <v>0</v>
      </c>
      <c r="K43" s="57">
        <v>0.00034</v>
      </c>
      <c r="L43" s="57">
        <f aca="true" t="shared" si="3" ref="L43:L48">F43*K43</f>
        <v>0.00272</v>
      </c>
      <c r="M43" s="66" t="s">
        <v>438</v>
      </c>
      <c r="P43" s="40">
        <f aca="true" t="shared" si="4" ref="P43:P48">IF(AG43="5",J43,0)</f>
        <v>0</v>
      </c>
      <c r="R43" s="40">
        <f aca="true" t="shared" si="5" ref="R43:R48">IF(AG43="1",H43,0)</f>
        <v>0</v>
      </c>
      <c r="S43" s="40">
        <f aca="true" t="shared" si="6" ref="S43:S48">IF(AG43="1",I43,0)</f>
        <v>0</v>
      </c>
      <c r="T43" s="40">
        <f aca="true" t="shared" si="7" ref="T43:T48">IF(AG43="7",H43,0)</f>
        <v>0</v>
      </c>
      <c r="U43" s="40">
        <f aca="true" t="shared" si="8" ref="U43:U48">IF(AG43="7",I43,0)</f>
        <v>0</v>
      </c>
      <c r="V43" s="40">
        <f aca="true" t="shared" si="9" ref="V43:V48">IF(AG43="2",H43,0)</f>
        <v>0</v>
      </c>
      <c r="W43" s="40">
        <f aca="true" t="shared" si="10" ref="W43:W48">IF(AG43="2",I43,0)</f>
        <v>0</v>
      </c>
      <c r="X43" s="40">
        <f aca="true" t="shared" si="11" ref="X43:X48">IF(AG43="0",J43,0)</f>
        <v>0</v>
      </c>
      <c r="Y43" s="63"/>
      <c r="Z43" s="57">
        <f aca="true" t="shared" si="12" ref="Z43:Z48">IF(AD43=0,J43,0)</f>
        <v>0</v>
      </c>
      <c r="AA43" s="57">
        <f aca="true" t="shared" si="13" ref="AA43:AA48">IF(AD43=15,J43,0)</f>
        <v>0</v>
      </c>
      <c r="AB43" s="57">
        <f aca="true" t="shared" si="14" ref="AB43:AB48">IF(AD43=21,J43,0)</f>
        <v>0</v>
      </c>
      <c r="AD43" s="40">
        <v>21</v>
      </c>
      <c r="AE43" s="40">
        <f>G43*0.390436781609195</f>
        <v>0</v>
      </c>
      <c r="AF43" s="40">
        <f>G43*(1-0.390436781609195)</f>
        <v>0</v>
      </c>
      <c r="AG43" s="66" t="s">
        <v>132</v>
      </c>
      <c r="AM43" s="40">
        <f aca="true" t="shared" si="15" ref="AM43:AM48">F43*AE43</f>
        <v>0</v>
      </c>
      <c r="AN43" s="40">
        <f aca="true" t="shared" si="16" ref="AN43:AN48">F43*AF43</f>
        <v>0</v>
      </c>
      <c r="AO43" s="69" t="s">
        <v>453</v>
      </c>
      <c r="AP43" s="69" t="s">
        <v>474</v>
      </c>
      <c r="AQ43" s="63" t="s">
        <v>479</v>
      </c>
      <c r="AS43" s="40">
        <f aca="true" t="shared" si="17" ref="AS43:AS48">AM43+AN43</f>
        <v>0</v>
      </c>
      <c r="AT43" s="40">
        <f aca="true" t="shared" si="18" ref="AT43:AT48">G43/(100-AU43)*100</f>
        <v>0</v>
      </c>
      <c r="AU43" s="40">
        <v>0</v>
      </c>
      <c r="AV43" s="40">
        <f aca="true" t="shared" si="19" ref="AV43:AV48">L43</f>
        <v>0.00272</v>
      </c>
    </row>
    <row r="44" spans="1:48" ht="12.75">
      <c r="A44" s="48" t="s">
        <v>141</v>
      </c>
      <c r="B44" s="48"/>
      <c r="C44" s="48" t="s">
        <v>230</v>
      </c>
      <c r="D44" s="48" t="s">
        <v>334</v>
      </c>
      <c r="E44" s="48" t="s">
        <v>426</v>
      </c>
      <c r="F44" s="57">
        <v>18</v>
      </c>
      <c r="G44" s="57">
        <v>0</v>
      </c>
      <c r="H44" s="57">
        <f t="shared" si="0"/>
        <v>0</v>
      </c>
      <c r="I44" s="57">
        <f t="shared" si="1"/>
        <v>0</v>
      </c>
      <c r="J44" s="57">
        <f t="shared" si="2"/>
        <v>0</v>
      </c>
      <c r="K44" s="57">
        <v>0.00038</v>
      </c>
      <c r="L44" s="57">
        <f t="shared" si="3"/>
        <v>0.006840000000000001</v>
      </c>
      <c r="M44" s="66" t="s">
        <v>438</v>
      </c>
      <c r="P44" s="40">
        <f t="shared" si="4"/>
        <v>0</v>
      </c>
      <c r="R44" s="40">
        <f t="shared" si="5"/>
        <v>0</v>
      </c>
      <c r="S44" s="40">
        <f t="shared" si="6"/>
        <v>0</v>
      </c>
      <c r="T44" s="40">
        <f t="shared" si="7"/>
        <v>0</v>
      </c>
      <c r="U44" s="40">
        <f t="shared" si="8"/>
        <v>0</v>
      </c>
      <c r="V44" s="40">
        <f t="shared" si="9"/>
        <v>0</v>
      </c>
      <c r="W44" s="40">
        <f t="shared" si="10"/>
        <v>0</v>
      </c>
      <c r="X44" s="40">
        <f t="shared" si="11"/>
        <v>0</v>
      </c>
      <c r="Y44" s="63"/>
      <c r="Z44" s="57">
        <f t="shared" si="12"/>
        <v>0</v>
      </c>
      <c r="AA44" s="57">
        <f t="shared" si="13"/>
        <v>0</v>
      </c>
      <c r="AB44" s="57">
        <f t="shared" si="14"/>
        <v>0</v>
      </c>
      <c r="AD44" s="40">
        <v>21</v>
      </c>
      <c r="AE44" s="40">
        <f>G44*0.335438596491228</f>
        <v>0</v>
      </c>
      <c r="AF44" s="40">
        <f>G44*(1-0.335438596491228)</f>
        <v>0</v>
      </c>
      <c r="AG44" s="66" t="s">
        <v>132</v>
      </c>
      <c r="AM44" s="40">
        <f t="shared" si="15"/>
        <v>0</v>
      </c>
      <c r="AN44" s="40">
        <f t="shared" si="16"/>
        <v>0</v>
      </c>
      <c r="AO44" s="69" t="s">
        <v>453</v>
      </c>
      <c r="AP44" s="69" t="s">
        <v>474</v>
      </c>
      <c r="AQ44" s="63" t="s">
        <v>479</v>
      </c>
      <c r="AS44" s="40">
        <f t="shared" si="17"/>
        <v>0</v>
      </c>
      <c r="AT44" s="40">
        <f t="shared" si="18"/>
        <v>0</v>
      </c>
      <c r="AU44" s="40">
        <v>0</v>
      </c>
      <c r="AV44" s="40">
        <f t="shared" si="19"/>
        <v>0.006840000000000001</v>
      </c>
    </row>
    <row r="45" spans="1:48" ht="12.75">
      <c r="A45" s="48" t="s">
        <v>142</v>
      </c>
      <c r="B45" s="48"/>
      <c r="C45" s="48" t="s">
        <v>231</v>
      </c>
      <c r="D45" s="48" t="s">
        <v>335</v>
      </c>
      <c r="E45" s="48" t="s">
        <v>426</v>
      </c>
      <c r="F45" s="57">
        <v>12</v>
      </c>
      <c r="G45" s="57">
        <v>0</v>
      </c>
      <c r="H45" s="57">
        <f t="shared" si="0"/>
        <v>0</v>
      </c>
      <c r="I45" s="57">
        <f t="shared" si="1"/>
        <v>0</v>
      </c>
      <c r="J45" s="57">
        <f t="shared" si="2"/>
        <v>0</v>
      </c>
      <c r="K45" s="57">
        <v>0.00047</v>
      </c>
      <c r="L45" s="57">
        <f t="shared" si="3"/>
        <v>0.00564</v>
      </c>
      <c r="M45" s="66" t="s">
        <v>438</v>
      </c>
      <c r="P45" s="40">
        <f t="shared" si="4"/>
        <v>0</v>
      </c>
      <c r="R45" s="40">
        <f t="shared" si="5"/>
        <v>0</v>
      </c>
      <c r="S45" s="40">
        <f t="shared" si="6"/>
        <v>0</v>
      </c>
      <c r="T45" s="40">
        <f t="shared" si="7"/>
        <v>0</v>
      </c>
      <c r="U45" s="40">
        <f t="shared" si="8"/>
        <v>0</v>
      </c>
      <c r="V45" s="40">
        <f t="shared" si="9"/>
        <v>0</v>
      </c>
      <c r="W45" s="40">
        <f t="shared" si="10"/>
        <v>0</v>
      </c>
      <c r="X45" s="40">
        <f t="shared" si="11"/>
        <v>0</v>
      </c>
      <c r="Y45" s="63"/>
      <c r="Z45" s="57">
        <f t="shared" si="12"/>
        <v>0</v>
      </c>
      <c r="AA45" s="57">
        <f t="shared" si="13"/>
        <v>0</v>
      </c>
      <c r="AB45" s="57">
        <f t="shared" si="14"/>
        <v>0</v>
      </c>
      <c r="AD45" s="40">
        <v>21</v>
      </c>
      <c r="AE45" s="40">
        <f>G45*0.319267734553776</f>
        <v>0</v>
      </c>
      <c r="AF45" s="40">
        <f>G45*(1-0.319267734553776)</f>
        <v>0</v>
      </c>
      <c r="AG45" s="66" t="s">
        <v>132</v>
      </c>
      <c r="AM45" s="40">
        <f t="shared" si="15"/>
        <v>0</v>
      </c>
      <c r="AN45" s="40">
        <f t="shared" si="16"/>
        <v>0</v>
      </c>
      <c r="AO45" s="69" t="s">
        <v>453</v>
      </c>
      <c r="AP45" s="69" t="s">
        <v>474</v>
      </c>
      <c r="AQ45" s="63" t="s">
        <v>479</v>
      </c>
      <c r="AS45" s="40">
        <f t="shared" si="17"/>
        <v>0</v>
      </c>
      <c r="AT45" s="40">
        <f t="shared" si="18"/>
        <v>0</v>
      </c>
      <c r="AU45" s="40">
        <v>0</v>
      </c>
      <c r="AV45" s="40">
        <f t="shared" si="19"/>
        <v>0.00564</v>
      </c>
    </row>
    <row r="46" spans="1:48" ht="12.75">
      <c r="A46" s="48" t="s">
        <v>143</v>
      </c>
      <c r="B46" s="48"/>
      <c r="C46" s="48" t="s">
        <v>232</v>
      </c>
      <c r="D46" s="48" t="s">
        <v>336</v>
      </c>
      <c r="E46" s="48" t="s">
        <v>425</v>
      </c>
      <c r="F46" s="57">
        <v>2</v>
      </c>
      <c r="G46" s="57">
        <v>0</v>
      </c>
      <c r="H46" s="57">
        <f t="shared" si="0"/>
        <v>0</v>
      </c>
      <c r="I46" s="57">
        <f t="shared" si="1"/>
        <v>0</v>
      </c>
      <c r="J46" s="57">
        <f t="shared" si="2"/>
        <v>0</v>
      </c>
      <c r="K46" s="57">
        <v>0</v>
      </c>
      <c r="L46" s="57">
        <f t="shared" si="3"/>
        <v>0</v>
      </c>
      <c r="M46" s="66" t="s">
        <v>438</v>
      </c>
      <c r="P46" s="40">
        <f t="shared" si="4"/>
        <v>0</v>
      </c>
      <c r="R46" s="40">
        <f t="shared" si="5"/>
        <v>0</v>
      </c>
      <c r="S46" s="40">
        <f t="shared" si="6"/>
        <v>0</v>
      </c>
      <c r="T46" s="40">
        <f t="shared" si="7"/>
        <v>0</v>
      </c>
      <c r="U46" s="40">
        <f t="shared" si="8"/>
        <v>0</v>
      </c>
      <c r="V46" s="40">
        <f t="shared" si="9"/>
        <v>0</v>
      </c>
      <c r="W46" s="40">
        <f t="shared" si="10"/>
        <v>0</v>
      </c>
      <c r="X46" s="40">
        <f t="shared" si="11"/>
        <v>0</v>
      </c>
      <c r="Y46" s="63"/>
      <c r="Z46" s="57">
        <f t="shared" si="12"/>
        <v>0</v>
      </c>
      <c r="AA46" s="57">
        <f t="shared" si="13"/>
        <v>0</v>
      </c>
      <c r="AB46" s="57">
        <f t="shared" si="14"/>
        <v>0</v>
      </c>
      <c r="AD46" s="40">
        <v>21</v>
      </c>
      <c r="AE46" s="40">
        <f>G46*0</f>
        <v>0</v>
      </c>
      <c r="AF46" s="40">
        <f>G46*(1-0)</f>
        <v>0</v>
      </c>
      <c r="AG46" s="66" t="s">
        <v>132</v>
      </c>
      <c r="AM46" s="40">
        <f t="shared" si="15"/>
        <v>0</v>
      </c>
      <c r="AN46" s="40">
        <f t="shared" si="16"/>
        <v>0</v>
      </c>
      <c r="AO46" s="69" t="s">
        <v>453</v>
      </c>
      <c r="AP46" s="69" t="s">
        <v>474</v>
      </c>
      <c r="AQ46" s="63" t="s">
        <v>479</v>
      </c>
      <c r="AS46" s="40">
        <f t="shared" si="17"/>
        <v>0</v>
      </c>
      <c r="AT46" s="40">
        <f t="shared" si="18"/>
        <v>0</v>
      </c>
      <c r="AU46" s="40">
        <v>0</v>
      </c>
      <c r="AV46" s="40">
        <f t="shared" si="19"/>
        <v>0</v>
      </c>
    </row>
    <row r="47" spans="1:48" ht="12.75">
      <c r="A47" s="48" t="s">
        <v>144</v>
      </c>
      <c r="B47" s="48"/>
      <c r="C47" s="48" t="s">
        <v>233</v>
      </c>
      <c r="D47" s="48" t="s">
        <v>337</v>
      </c>
      <c r="E47" s="48" t="s">
        <v>425</v>
      </c>
      <c r="F47" s="57">
        <v>2</v>
      </c>
      <c r="G47" s="57">
        <v>0</v>
      </c>
      <c r="H47" s="57">
        <f t="shared" si="0"/>
        <v>0</v>
      </c>
      <c r="I47" s="57">
        <f t="shared" si="1"/>
        <v>0</v>
      </c>
      <c r="J47" s="57">
        <f t="shared" si="2"/>
        <v>0</v>
      </c>
      <c r="K47" s="57">
        <v>0</v>
      </c>
      <c r="L47" s="57">
        <f t="shared" si="3"/>
        <v>0</v>
      </c>
      <c r="M47" s="66" t="s">
        <v>438</v>
      </c>
      <c r="P47" s="40">
        <f t="shared" si="4"/>
        <v>0</v>
      </c>
      <c r="R47" s="40">
        <f t="shared" si="5"/>
        <v>0</v>
      </c>
      <c r="S47" s="40">
        <f t="shared" si="6"/>
        <v>0</v>
      </c>
      <c r="T47" s="40">
        <f t="shared" si="7"/>
        <v>0</v>
      </c>
      <c r="U47" s="40">
        <f t="shared" si="8"/>
        <v>0</v>
      </c>
      <c r="V47" s="40">
        <f t="shared" si="9"/>
        <v>0</v>
      </c>
      <c r="W47" s="40">
        <f t="shared" si="10"/>
        <v>0</v>
      </c>
      <c r="X47" s="40">
        <f t="shared" si="11"/>
        <v>0</v>
      </c>
      <c r="Y47" s="63"/>
      <c r="Z47" s="57">
        <f t="shared" si="12"/>
        <v>0</v>
      </c>
      <c r="AA47" s="57">
        <f t="shared" si="13"/>
        <v>0</v>
      </c>
      <c r="AB47" s="57">
        <f t="shared" si="14"/>
        <v>0</v>
      </c>
      <c r="AD47" s="40">
        <v>21</v>
      </c>
      <c r="AE47" s="40">
        <f>G47*0</f>
        <v>0</v>
      </c>
      <c r="AF47" s="40">
        <f>G47*(1-0)</f>
        <v>0</v>
      </c>
      <c r="AG47" s="66" t="s">
        <v>132</v>
      </c>
      <c r="AM47" s="40">
        <f t="shared" si="15"/>
        <v>0</v>
      </c>
      <c r="AN47" s="40">
        <f t="shared" si="16"/>
        <v>0</v>
      </c>
      <c r="AO47" s="69" t="s">
        <v>453</v>
      </c>
      <c r="AP47" s="69" t="s">
        <v>474</v>
      </c>
      <c r="AQ47" s="63" t="s">
        <v>479</v>
      </c>
      <c r="AS47" s="40">
        <f t="shared" si="17"/>
        <v>0</v>
      </c>
      <c r="AT47" s="40">
        <f t="shared" si="18"/>
        <v>0</v>
      </c>
      <c r="AU47" s="40">
        <v>0</v>
      </c>
      <c r="AV47" s="40">
        <f t="shared" si="19"/>
        <v>0</v>
      </c>
    </row>
    <row r="48" spans="1:48" ht="12.75">
      <c r="A48" s="48" t="s">
        <v>145</v>
      </c>
      <c r="B48" s="48"/>
      <c r="C48" s="48" t="s">
        <v>234</v>
      </c>
      <c r="D48" s="48" t="s">
        <v>338</v>
      </c>
      <c r="E48" s="48" t="s">
        <v>426</v>
      </c>
      <c r="F48" s="57">
        <v>38</v>
      </c>
      <c r="G48" s="57">
        <v>0</v>
      </c>
      <c r="H48" s="57">
        <f t="shared" si="0"/>
        <v>0</v>
      </c>
      <c r="I48" s="57">
        <f t="shared" si="1"/>
        <v>0</v>
      </c>
      <c r="J48" s="57">
        <f t="shared" si="2"/>
        <v>0</v>
      </c>
      <c r="K48" s="57">
        <v>0</v>
      </c>
      <c r="L48" s="57">
        <f t="shared" si="3"/>
        <v>0</v>
      </c>
      <c r="M48" s="66" t="s">
        <v>438</v>
      </c>
      <c r="P48" s="40">
        <f t="shared" si="4"/>
        <v>0</v>
      </c>
      <c r="R48" s="40">
        <f t="shared" si="5"/>
        <v>0</v>
      </c>
      <c r="S48" s="40">
        <f t="shared" si="6"/>
        <v>0</v>
      </c>
      <c r="T48" s="40">
        <f t="shared" si="7"/>
        <v>0</v>
      </c>
      <c r="U48" s="40">
        <f t="shared" si="8"/>
        <v>0</v>
      </c>
      <c r="V48" s="40">
        <f t="shared" si="9"/>
        <v>0</v>
      </c>
      <c r="W48" s="40">
        <f t="shared" si="10"/>
        <v>0</v>
      </c>
      <c r="X48" s="40">
        <f t="shared" si="11"/>
        <v>0</v>
      </c>
      <c r="Y48" s="63"/>
      <c r="Z48" s="57">
        <f t="shared" si="12"/>
        <v>0</v>
      </c>
      <c r="AA48" s="57">
        <f t="shared" si="13"/>
        <v>0</v>
      </c>
      <c r="AB48" s="57">
        <f t="shared" si="14"/>
        <v>0</v>
      </c>
      <c r="AD48" s="40">
        <v>21</v>
      </c>
      <c r="AE48" s="40">
        <f>G48*0.0273170731707317</f>
        <v>0</v>
      </c>
      <c r="AF48" s="40">
        <f>G48*(1-0.0273170731707317)</f>
        <v>0</v>
      </c>
      <c r="AG48" s="66" t="s">
        <v>132</v>
      </c>
      <c r="AM48" s="40">
        <f t="shared" si="15"/>
        <v>0</v>
      </c>
      <c r="AN48" s="40">
        <f t="shared" si="16"/>
        <v>0</v>
      </c>
      <c r="AO48" s="69" t="s">
        <v>453</v>
      </c>
      <c r="AP48" s="69" t="s">
        <v>474</v>
      </c>
      <c r="AQ48" s="63" t="s">
        <v>479</v>
      </c>
      <c r="AS48" s="40">
        <f t="shared" si="17"/>
        <v>0</v>
      </c>
      <c r="AT48" s="40">
        <f t="shared" si="18"/>
        <v>0</v>
      </c>
      <c r="AU48" s="40">
        <v>0</v>
      </c>
      <c r="AV48" s="40">
        <f t="shared" si="19"/>
        <v>0</v>
      </c>
    </row>
    <row r="49" spans="1:37" ht="12.75">
      <c r="A49" s="47"/>
      <c r="B49" s="54"/>
      <c r="C49" s="54" t="s">
        <v>83</v>
      </c>
      <c r="D49" s="54" t="s">
        <v>106</v>
      </c>
      <c r="E49" s="47" t="s">
        <v>74</v>
      </c>
      <c r="F49" s="47" t="s">
        <v>74</v>
      </c>
      <c r="G49" s="47" t="s">
        <v>74</v>
      </c>
      <c r="H49" s="71">
        <f>SUM(H50:H62)</f>
        <v>0</v>
      </c>
      <c r="I49" s="71">
        <f>SUM(I50:I62)</f>
        <v>0</v>
      </c>
      <c r="J49" s="71">
        <f>H49+I49</f>
        <v>0</v>
      </c>
      <c r="K49" s="63"/>
      <c r="L49" s="71">
        <f>SUM(L50:L62)</f>
        <v>0.18856</v>
      </c>
      <c r="M49" s="63"/>
      <c r="Y49" s="63"/>
      <c r="AI49" s="71">
        <f>SUM(Z50:Z62)</f>
        <v>0</v>
      </c>
      <c r="AJ49" s="71">
        <f>SUM(AA50:AA62)</f>
        <v>0</v>
      </c>
      <c r="AK49" s="71">
        <f>SUM(AB50:AB62)</f>
        <v>0</v>
      </c>
    </row>
    <row r="50" spans="1:48" ht="12.75">
      <c r="A50" s="48" t="s">
        <v>146</v>
      </c>
      <c r="B50" s="48"/>
      <c r="C50" s="48" t="s">
        <v>235</v>
      </c>
      <c r="D50" s="48" t="s">
        <v>339</v>
      </c>
      <c r="E50" s="48" t="s">
        <v>426</v>
      </c>
      <c r="F50" s="57">
        <v>16</v>
      </c>
      <c r="G50" s="57">
        <v>0</v>
      </c>
      <c r="H50" s="57">
        <f>F50*AE50</f>
        <v>0</v>
      </c>
      <c r="I50" s="57">
        <f>J50-H50</f>
        <v>0</v>
      </c>
      <c r="J50" s="57">
        <f>F50*G50</f>
        <v>0</v>
      </c>
      <c r="K50" s="57">
        <v>0.00518</v>
      </c>
      <c r="L50" s="57">
        <f>F50*K50</f>
        <v>0.08288</v>
      </c>
      <c r="M50" s="66" t="s">
        <v>438</v>
      </c>
      <c r="P50" s="40">
        <f>IF(AG50="5",J50,0)</f>
        <v>0</v>
      </c>
      <c r="R50" s="40">
        <f>IF(AG50="1",H50,0)</f>
        <v>0</v>
      </c>
      <c r="S50" s="40">
        <f>IF(AG50="1",I50,0)</f>
        <v>0</v>
      </c>
      <c r="T50" s="40">
        <f>IF(AG50="7",H50,0)</f>
        <v>0</v>
      </c>
      <c r="U50" s="40">
        <f>IF(AG50="7",I50,0)</f>
        <v>0</v>
      </c>
      <c r="V50" s="40">
        <f>IF(AG50="2",H50,0)</f>
        <v>0</v>
      </c>
      <c r="W50" s="40">
        <f>IF(AG50="2",I50,0)</f>
        <v>0</v>
      </c>
      <c r="X50" s="40">
        <f>IF(AG50="0",J50,0)</f>
        <v>0</v>
      </c>
      <c r="Y50" s="63"/>
      <c r="Z50" s="57">
        <f>IF(AD50=0,J50,0)</f>
        <v>0</v>
      </c>
      <c r="AA50" s="57">
        <f>IF(AD50=15,J50,0)</f>
        <v>0</v>
      </c>
      <c r="AB50" s="57">
        <f>IF(AD50=21,J50,0)</f>
        <v>0</v>
      </c>
      <c r="AD50" s="40">
        <v>21</v>
      </c>
      <c r="AE50" s="40">
        <f>G50*0.241586932546425</f>
        <v>0</v>
      </c>
      <c r="AF50" s="40">
        <f>G50*(1-0.241586932546425)</f>
        <v>0</v>
      </c>
      <c r="AG50" s="66" t="s">
        <v>132</v>
      </c>
      <c r="AM50" s="40">
        <f>F50*AE50</f>
        <v>0</v>
      </c>
      <c r="AN50" s="40">
        <f>F50*AF50</f>
        <v>0</v>
      </c>
      <c r="AO50" s="69" t="s">
        <v>454</v>
      </c>
      <c r="AP50" s="69" t="s">
        <v>474</v>
      </c>
      <c r="AQ50" s="63" t="s">
        <v>479</v>
      </c>
      <c r="AS50" s="40">
        <f>AM50+AN50</f>
        <v>0</v>
      </c>
      <c r="AT50" s="40">
        <f>G50/(100-AU50)*100</f>
        <v>0</v>
      </c>
      <c r="AU50" s="40">
        <v>0</v>
      </c>
      <c r="AV50" s="40">
        <f>L50</f>
        <v>0.08288</v>
      </c>
    </row>
    <row r="51" spans="1:48" ht="12.75">
      <c r="A51" s="48" t="s">
        <v>147</v>
      </c>
      <c r="B51" s="48"/>
      <c r="C51" s="48" t="s">
        <v>236</v>
      </c>
      <c r="D51" s="48" t="s">
        <v>340</v>
      </c>
      <c r="E51" s="48" t="s">
        <v>426</v>
      </c>
      <c r="F51" s="57">
        <v>18</v>
      </c>
      <c r="G51" s="57">
        <v>0</v>
      </c>
      <c r="H51" s="57">
        <f>F51*AE51</f>
        <v>0</v>
      </c>
      <c r="I51" s="57">
        <f>J51-H51</f>
        <v>0</v>
      </c>
      <c r="J51" s="57">
        <f>F51*G51</f>
        <v>0</v>
      </c>
      <c r="K51" s="57">
        <v>0.00535</v>
      </c>
      <c r="L51" s="57">
        <f>F51*K51</f>
        <v>0.0963</v>
      </c>
      <c r="M51" s="66" t="s">
        <v>438</v>
      </c>
      <c r="P51" s="40">
        <f>IF(AG51="5",J51,0)</f>
        <v>0</v>
      </c>
      <c r="R51" s="40">
        <f>IF(AG51="1",H51,0)</f>
        <v>0</v>
      </c>
      <c r="S51" s="40">
        <f>IF(AG51="1",I51,0)</f>
        <v>0</v>
      </c>
      <c r="T51" s="40">
        <f>IF(AG51="7",H51,0)</f>
        <v>0</v>
      </c>
      <c r="U51" s="40">
        <f>IF(AG51="7",I51,0)</f>
        <v>0</v>
      </c>
      <c r="V51" s="40">
        <f>IF(AG51="2",H51,0)</f>
        <v>0</v>
      </c>
      <c r="W51" s="40">
        <f>IF(AG51="2",I51,0)</f>
        <v>0</v>
      </c>
      <c r="X51" s="40">
        <f>IF(AG51="0",J51,0)</f>
        <v>0</v>
      </c>
      <c r="Y51" s="63"/>
      <c r="Z51" s="57">
        <f>IF(AD51=0,J51,0)</f>
        <v>0</v>
      </c>
      <c r="AA51" s="57">
        <f>IF(AD51=15,J51,0)</f>
        <v>0</v>
      </c>
      <c r="AB51" s="57">
        <f>IF(AD51=21,J51,0)</f>
        <v>0</v>
      </c>
      <c r="AD51" s="40">
        <v>21</v>
      </c>
      <c r="AE51" s="40">
        <f>G51*0.317673267326733</f>
        <v>0</v>
      </c>
      <c r="AF51" s="40">
        <f>G51*(1-0.317673267326733)</f>
        <v>0</v>
      </c>
      <c r="AG51" s="66" t="s">
        <v>132</v>
      </c>
      <c r="AM51" s="40">
        <f>F51*AE51</f>
        <v>0</v>
      </c>
      <c r="AN51" s="40">
        <f>F51*AF51</f>
        <v>0</v>
      </c>
      <c r="AO51" s="69" t="s">
        <v>454</v>
      </c>
      <c r="AP51" s="69" t="s">
        <v>474</v>
      </c>
      <c r="AQ51" s="63" t="s">
        <v>479</v>
      </c>
      <c r="AS51" s="40">
        <f>AM51+AN51</f>
        <v>0</v>
      </c>
      <c r="AT51" s="40">
        <f>G51/(100-AU51)*100</f>
        <v>0</v>
      </c>
      <c r="AU51" s="40">
        <v>0</v>
      </c>
      <c r="AV51" s="40">
        <f>L51</f>
        <v>0.0963</v>
      </c>
    </row>
    <row r="52" spans="1:48" ht="12.75">
      <c r="A52" s="48" t="s">
        <v>148</v>
      </c>
      <c r="B52" s="48"/>
      <c r="C52" s="48" t="s">
        <v>237</v>
      </c>
      <c r="D52" s="48" t="s">
        <v>341</v>
      </c>
      <c r="E52" s="48" t="s">
        <v>426</v>
      </c>
      <c r="F52" s="57">
        <v>16</v>
      </c>
      <c r="G52" s="57">
        <v>0</v>
      </c>
      <c r="H52" s="57">
        <f>F52*AE52</f>
        <v>0</v>
      </c>
      <c r="I52" s="57">
        <f>J52-H52</f>
        <v>0</v>
      </c>
      <c r="J52" s="57">
        <f>F52*G52</f>
        <v>0</v>
      </c>
      <c r="K52" s="57">
        <v>3E-05</v>
      </c>
      <c r="L52" s="57">
        <f>F52*K52</f>
        <v>0.00048</v>
      </c>
      <c r="M52" s="66" t="s">
        <v>438</v>
      </c>
      <c r="P52" s="40">
        <f>IF(AG52="5",J52,0)</f>
        <v>0</v>
      </c>
      <c r="R52" s="40">
        <f>IF(AG52="1",H52,0)</f>
        <v>0</v>
      </c>
      <c r="S52" s="40">
        <f>IF(AG52="1",I52,0)</f>
        <v>0</v>
      </c>
      <c r="T52" s="40">
        <f>IF(AG52="7",H52,0)</f>
        <v>0</v>
      </c>
      <c r="U52" s="40">
        <f>IF(AG52="7",I52,0)</f>
        <v>0</v>
      </c>
      <c r="V52" s="40">
        <f>IF(AG52="2",H52,0)</f>
        <v>0</v>
      </c>
      <c r="W52" s="40">
        <f>IF(AG52="2",I52,0)</f>
        <v>0</v>
      </c>
      <c r="X52" s="40">
        <f>IF(AG52="0",J52,0)</f>
        <v>0</v>
      </c>
      <c r="Y52" s="63"/>
      <c r="Z52" s="57">
        <f>IF(AD52=0,J52,0)</f>
        <v>0</v>
      </c>
      <c r="AA52" s="57">
        <f>IF(AD52=15,J52,0)</f>
        <v>0</v>
      </c>
      <c r="AB52" s="57">
        <f>IF(AD52=21,J52,0)</f>
        <v>0</v>
      </c>
      <c r="AD52" s="40">
        <v>21</v>
      </c>
      <c r="AE52" s="40">
        <f>G52*0.457321225879682</f>
        <v>0</v>
      </c>
      <c r="AF52" s="40">
        <f>G52*(1-0.457321225879682)</f>
        <v>0</v>
      </c>
      <c r="AG52" s="66" t="s">
        <v>132</v>
      </c>
      <c r="AM52" s="40">
        <f>F52*AE52</f>
        <v>0</v>
      </c>
      <c r="AN52" s="40">
        <f>F52*AF52</f>
        <v>0</v>
      </c>
      <c r="AO52" s="69" t="s">
        <v>454</v>
      </c>
      <c r="AP52" s="69" t="s">
        <v>474</v>
      </c>
      <c r="AQ52" s="63" t="s">
        <v>479</v>
      </c>
      <c r="AS52" s="40">
        <f>AM52+AN52</f>
        <v>0</v>
      </c>
      <c r="AT52" s="40">
        <f>G52/(100-AU52)*100</f>
        <v>0</v>
      </c>
      <c r="AU52" s="40">
        <v>0</v>
      </c>
      <c r="AV52" s="40">
        <f>L52</f>
        <v>0.00048</v>
      </c>
    </row>
    <row r="53" ht="12.75">
      <c r="D53" s="55" t="s">
        <v>342</v>
      </c>
    </row>
    <row r="54" spans="1:48" ht="12.75">
      <c r="A54" s="48" t="s">
        <v>149</v>
      </c>
      <c r="B54" s="48"/>
      <c r="C54" s="48" t="s">
        <v>238</v>
      </c>
      <c r="D54" s="48" t="s">
        <v>341</v>
      </c>
      <c r="E54" s="48" t="s">
        <v>426</v>
      </c>
      <c r="F54" s="57">
        <v>18</v>
      </c>
      <c r="G54" s="57">
        <v>0</v>
      </c>
      <c r="H54" s="57">
        <f>F54*AE54</f>
        <v>0</v>
      </c>
      <c r="I54" s="57">
        <f>J54-H54</f>
        <v>0</v>
      </c>
      <c r="J54" s="57">
        <f>F54*G54</f>
        <v>0</v>
      </c>
      <c r="K54" s="57">
        <v>4E-05</v>
      </c>
      <c r="L54" s="57">
        <f>F54*K54</f>
        <v>0.00072</v>
      </c>
      <c r="M54" s="66" t="s">
        <v>438</v>
      </c>
      <c r="P54" s="40">
        <f>IF(AG54="5",J54,0)</f>
        <v>0</v>
      </c>
      <c r="R54" s="40">
        <f>IF(AG54="1",H54,0)</f>
        <v>0</v>
      </c>
      <c r="S54" s="40">
        <f>IF(AG54="1",I54,0)</f>
        <v>0</v>
      </c>
      <c r="T54" s="40">
        <f>IF(AG54="7",H54,0)</f>
        <v>0</v>
      </c>
      <c r="U54" s="40">
        <f>IF(AG54="7",I54,0)</f>
        <v>0</v>
      </c>
      <c r="V54" s="40">
        <f>IF(AG54="2",H54,0)</f>
        <v>0</v>
      </c>
      <c r="W54" s="40">
        <f>IF(AG54="2",I54,0)</f>
        <v>0</v>
      </c>
      <c r="X54" s="40">
        <f>IF(AG54="0",J54,0)</f>
        <v>0</v>
      </c>
      <c r="Y54" s="63"/>
      <c r="Z54" s="57">
        <f>IF(AD54=0,J54,0)</f>
        <v>0</v>
      </c>
      <c r="AA54" s="57">
        <f>IF(AD54=15,J54,0)</f>
        <v>0</v>
      </c>
      <c r="AB54" s="57">
        <f>IF(AD54=21,J54,0)</f>
        <v>0</v>
      </c>
      <c r="AD54" s="40">
        <v>21</v>
      </c>
      <c r="AE54" s="40">
        <f>G54*0.464202057235971</f>
        <v>0</v>
      </c>
      <c r="AF54" s="40">
        <f>G54*(1-0.464202057235971)</f>
        <v>0</v>
      </c>
      <c r="AG54" s="66" t="s">
        <v>132</v>
      </c>
      <c r="AM54" s="40">
        <f>F54*AE54</f>
        <v>0</v>
      </c>
      <c r="AN54" s="40">
        <f>F54*AF54</f>
        <v>0</v>
      </c>
      <c r="AO54" s="69" t="s">
        <v>454</v>
      </c>
      <c r="AP54" s="69" t="s">
        <v>474</v>
      </c>
      <c r="AQ54" s="63" t="s">
        <v>479</v>
      </c>
      <c r="AS54" s="40">
        <f>AM54+AN54</f>
        <v>0</v>
      </c>
      <c r="AT54" s="40">
        <f>G54/(100-AU54)*100</f>
        <v>0</v>
      </c>
      <c r="AU54" s="40">
        <v>0</v>
      </c>
      <c r="AV54" s="40">
        <f>L54</f>
        <v>0.00072</v>
      </c>
    </row>
    <row r="55" ht="12.75">
      <c r="D55" s="55" t="s">
        <v>343</v>
      </c>
    </row>
    <row r="56" spans="1:48" ht="12.75">
      <c r="A56" s="48" t="s">
        <v>150</v>
      </c>
      <c r="B56" s="48"/>
      <c r="C56" s="48" t="s">
        <v>239</v>
      </c>
      <c r="D56" s="48" t="s">
        <v>344</v>
      </c>
      <c r="E56" s="48" t="s">
        <v>425</v>
      </c>
      <c r="F56" s="57">
        <v>4</v>
      </c>
      <c r="G56" s="57">
        <v>0</v>
      </c>
      <c r="H56" s="57">
        <f aca="true" t="shared" si="20" ref="H56:H62">F56*AE56</f>
        <v>0</v>
      </c>
      <c r="I56" s="57">
        <f aca="true" t="shared" si="21" ref="I56:I62">J56-H56</f>
        <v>0</v>
      </c>
      <c r="J56" s="57">
        <f aca="true" t="shared" si="22" ref="J56:J62">F56*G56</f>
        <v>0</v>
      </c>
      <c r="K56" s="57">
        <v>0</v>
      </c>
      <c r="L56" s="57">
        <f aca="true" t="shared" si="23" ref="L56:L62">F56*K56</f>
        <v>0</v>
      </c>
      <c r="M56" s="66" t="s">
        <v>438</v>
      </c>
      <c r="P56" s="40">
        <f aca="true" t="shared" si="24" ref="P56:P62">IF(AG56="5",J56,0)</f>
        <v>0</v>
      </c>
      <c r="R56" s="40">
        <f aca="true" t="shared" si="25" ref="R56:R62">IF(AG56="1",H56,0)</f>
        <v>0</v>
      </c>
      <c r="S56" s="40">
        <f aca="true" t="shared" si="26" ref="S56:S62">IF(AG56="1",I56,0)</f>
        <v>0</v>
      </c>
      <c r="T56" s="40">
        <f aca="true" t="shared" si="27" ref="T56:T62">IF(AG56="7",H56,0)</f>
        <v>0</v>
      </c>
      <c r="U56" s="40">
        <f aca="true" t="shared" si="28" ref="U56:U62">IF(AG56="7",I56,0)</f>
        <v>0</v>
      </c>
      <c r="V56" s="40">
        <f aca="true" t="shared" si="29" ref="V56:V62">IF(AG56="2",H56,0)</f>
        <v>0</v>
      </c>
      <c r="W56" s="40">
        <f aca="true" t="shared" si="30" ref="W56:W62">IF(AG56="2",I56,0)</f>
        <v>0</v>
      </c>
      <c r="X56" s="40">
        <f aca="true" t="shared" si="31" ref="X56:X62">IF(AG56="0",J56,0)</f>
        <v>0</v>
      </c>
      <c r="Y56" s="63"/>
      <c r="Z56" s="57">
        <f aca="true" t="shared" si="32" ref="Z56:Z62">IF(AD56=0,J56,0)</f>
        <v>0</v>
      </c>
      <c r="AA56" s="57">
        <f aca="true" t="shared" si="33" ref="AA56:AA62">IF(AD56=15,J56,0)</f>
        <v>0</v>
      </c>
      <c r="AB56" s="57">
        <f aca="true" t="shared" si="34" ref="AB56:AB62">IF(AD56=21,J56,0)</f>
        <v>0</v>
      </c>
      <c r="AD56" s="40">
        <v>21</v>
      </c>
      <c r="AE56" s="40">
        <f>G56*0</f>
        <v>0</v>
      </c>
      <c r="AF56" s="40">
        <f>G56*(1-0)</f>
        <v>0</v>
      </c>
      <c r="AG56" s="66" t="s">
        <v>132</v>
      </c>
      <c r="AM56" s="40">
        <f aca="true" t="shared" si="35" ref="AM56:AM62">F56*AE56</f>
        <v>0</v>
      </c>
      <c r="AN56" s="40">
        <f aca="true" t="shared" si="36" ref="AN56:AN62">F56*AF56</f>
        <v>0</v>
      </c>
      <c r="AO56" s="69" t="s">
        <v>454</v>
      </c>
      <c r="AP56" s="69" t="s">
        <v>474</v>
      </c>
      <c r="AQ56" s="63" t="s">
        <v>479</v>
      </c>
      <c r="AS56" s="40">
        <f aca="true" t="shared" si="37" ref="AS56:AS62">AM56+AN56</f>
        <v>0</v>
      </c>
      <c r="AT56" s="40">
        <f aca="true" t="shared" si="38" ref="AT56:AT62">G56/(100-AU56)*100</f>
        <v>0</v>
      </c>
      <c r="AU56" s="40">
        <v>0</v>
      </c>
      <c r="AV56" s="40">
        <f aca="true" t="shared" si="39" ref="AV56:AV62">L56</f>
        <v>0</v>
      </c>
    </row>
    <row r="57" spans="1:48" ht="12.75">
      <c r="A57" s="48" t="s">
        <v>78</v>
      </c>
      <c r="B57" s="48"/>
      <c r="C57" s="48" t="s">
        <v>240</v>
      </c>
      <c r="D57" s="48" t="s">
        <v>345</v>
      </c>
      <c r="E57" s="48" t="s">
        <v>425</v>
      </c>
      <c r="F57" s="57">
        <v>1</v>
      </c>
      <c r="G57" s="57">
        <v>0</v>
      </c>
      <c r="H57" s="57">
        <f t="shared" si="20"/>
        <v>0</v>
      </c>
      <c r="I57" s="57">
        <f t="shared" si="21"/>
        <v>0</v>
      </c>
      <c r="J57" s="57">
        <f t="shared" si="22"/>
        <v>0</v>
      </c>
      <c r="K57" s="57">
        <v>0</v>
      </c>
      <c r="L57" s="57">
        <f t="shared" si="23"/>
        <v>0</v>
      </c>
      <c r="M57" s="66" t="s">
        <v>438</v>
      </c>
      <c r="P57" s="40">
        <f t="shared" si="24"/>
        <v>0</v>
      </c>
      <c r="R57" s="40">
        <f t="shared" si="25"/>
        <v>0</v>
      </c>
      <c r="S57" s="40">
        <f t="shared" si="26"/>
        <v>0</v>
      </c>
      <c r="T57" s="40">
        <f t="shared" si="27"/>
        <v>0</v>
      </c>
      <c r="U57" s="40">
        <f t="shared" si="28"/>
        <v>0</v>
      </c>
      <c r="V57" s="40">
        <f t="shared" si="29"/>
        <v>0</v>
      </c>
      <c r="W57" s="40">
        <f t="shared" si="30"/>
        <v>0</v>
      </c>
      <c r="X57" s="40">
        <f t="shared" si="31"/>
        <v>0</v>
      </c>
      <c r="Y57" s="63"/>
      <c r="Z57" s="57">
        <f t="shared" si="32"/>
        <v>0</v>
      </c>
      <c r="AA57" s="57">
        <f t="shared" si="33"/>
        <v>0</v>
      </c>
      <c r="AB57" s="57">
        <f t="shared" si="34"/>
        <v>0</v>
      </c>
      <c r="AD57" s="40">
        <v>21</v>
      </c>
      <c r="AE57" s="40">
        <f>G57*0</f>
        <v>0</v>
      </c>
      <c r="AF57" s="40">
        <f>G57*(1-0)</f>
        <v>0</v>
      </c>
      <c r="AG57" s="66" t="s">
        <v>132</v>
      </c>
      <c r="AM57" s="40">
        <f t="shared" si="35"/>
        <v>0</v>
      </c>
      <c r="AN57" s="40">
        <f t="shared" si="36"/>
        <v>0</v>
      </c>
      <c r="AO57" s="69" t="s">
        <v>454</v>
      </c>
      <c r="AP57" s="69" t="s">
        <v>474</v>
      </c>
      <c r="AQ57" s="63" t="s">
        <v>479</v>
      </c>
      <c r="AS57" s="40">
        <f t="shared" si="37"/>
        <v>0</v>
      </c>
      <c r="AT57" s="40">
        <f t="shared" si="38"/>
        <v>0</v>
      </c>
      <c r="AU57" s="40">
        <v>0</v>
      </c>
      <c r="AV57" s="40">
        <f t="shared" si="39"/>
        <v>0</v>
      </c>
    </row>
    <row r="58" spans="1:48" ht="12.75">
      <c r="A58" s="48" t="s">
        <v>151</v>
      </c>
      <c r="B58" s="48"/>
      <c r="C58" s="48" t="s">
        <v>241</v>
      </c>
      <c r="D58" s="48" t="s">
        <v>346</v>
      </c>
      <c r="E58" s="48" t="s">
        <v>428</v>
      </c>
      <c r="F58" s="57">
        <v>4</v>
      </c>
      <c r="G58" s="57">
        <v>0</v>
      </c>
      <c r="H58" s="57">
        <f t="shared" si="20"/>
        <v>0</v>
      </c>
      <c r="I58" s="57">
        <f t="shared" si="21"/>
        <v>0</v>
      </c>
      <c r="J58" s="57">
        <f t="shared" si="22"/>
        <v>0</v>
      </c>
      <c r="K58" s="57">
        <v>0</v>
      </c>
      <c r="L58" s="57">
        <f t="shared" si="23"/>
        <v>0</v>
      </c>
      <c r="M58" s="66" t="s">
        <v>438</v>
      </c>
      <c r="P58" s="40">
        <f t="shared" si="24"/>
        <v>0</v>
      </c>
      <c r="R58" s="40">
        <f t="shared" si="25"/>
        <v>0</v>
      </c>
      <c r="S58" s="40">
        <f t="shared" si="26"/>
        <v>0</v>
      </c>
      <c r="T58" s="40">
        <f t="shared" si="27"/>
        <v>0</v>
      </c>
      <c r="U58" s="40">
        <f t="shared" si="28"/>
        <v>0</v>
      </c>
      <c r="V58" s="40">
        <f t="shared" si="29"/>
        <v>0</v>
      </c>
      <c r="W58" s="40">
        <f t="shared" si="30"/>
        <v>0</v>
      </c>
      <c r="X58" s="40">
        <f t="shared" si="31"/>
        <v>0</v>
      </c>
      <c r="Y58" s="63"/>
      <c r="Z58" s="57">
        <f t="shared" si="32"/>
        <v>0</v>
      </c>
      <c r="AA58" s="57">
        <f t="shared" si="33"/>
        <v>0</v>
      </c>
      <c r="AB58" s="57">
        <f t="shared" si="34"/>
        <v>0</v>
      </c>
      <c r="AD58" s="40">
        <v>21</v>
      </c>
      <c r="AE58" s="40">
        <f>G58*0.764227642276423</f>
        <v>0</v>
      </c>
      <c r="AF58" s="40">
        <f>G58*(1-0.764227642276423)</f>
        <v>0</v>
      </c>
      <c r="AG58" s="66" t="s">
        <v>132</v>
      </c>
      <c r="AM58" s="40">
        <f t="shared" si="35"/>
        <v>0</v>
      </c>
      <c r="AN58" s="40">
        <f t="shared" si="36"/>
        <v>0</v>
      </c>
      <c r="AO58" s="69" t="s">
        <v>454</v>
      </c>
      <c r="AP58" s="69" t="s">
        <v>474</v>
      </c>
      <c r="AQ58" s="63" t="s">
        <v>479</v>
      </c>
      <c r="AS58" s="40">
        <f t="shared" si="37"/>
        <v>0</v>
      </c>
      <c r="AT58" s="40">
        <f t="shared" si="38"/>
        <v>0</v>
      </c>
      <c r="AU58" s="40">
        <v>0</v>
      </c>
      <c r="AV58" s="40">
        <f t="shared" si="39"/>
        <v>0</v>
      </c>
    </row>
    <row r="59" spans="1:48" ht="12.75">
      <c r="A59" s="48" t="s">
        <v>152</v>
      </c>
      <c r="B59" s="48"/>
      <c r="C59" s="48" t="s">
        <v>242</v>
      </c>
      <c r="D59" s="48" t="s">
        <v>347</v>
      </c>
      <c r="E59" s="48" t="s">
        <v>425</v>
      </c>
      <c r="F59" s="57">
        <v>4</v>
      </c>
      <c r="G59" s="57">
        <v>0</v>
      </c>
      <c r="H59" s="57">
        <f t="shared" si="20"/>
        <v>0</v>
      </c>
      <c r="I59" s="57">
        <f t="shared" si="21"/>
        <v>0</v>
      </c>
      <c r="J59" s="57">
        <f t="shared" si="22"/>
        <v>0</v>
      </c>
      <c r="K59" s="57">
        <v>0.00031</v>
      </c>
      <c r="L59" s="57">
        <f t="shared" si="23"/>
        <v>0.00124</v>
      </c>
      <c r="M59" s="66" t="s">
        <v>438</v>
      </c>
      <c r="P59" s="40">
        <f t="shared" si="24"/>
        <v>0</v>
      </c>
      <c r="R59" s="40">
        <f t="shared" si="25"/>
        <v>0</v>
      </c>
      <c r="S59" s="40">
        <f t="shared" si="26"/>
        <v>0</v>
      </c>
      <c r="T59" s="40">
        <f t="shared" si="27"/>
        <v>0</v>
      </c>
      <c r="U59" s="40">
        <f t="shared" si="28"/>
        <v>0</v>
      </c>
      <c r="V59" s="40">
        <f t="shared" si="29"/>
        <v>0</v>
      </c>
      <c r="W59" s="40">
        <f t="shared" si="30"/>
        <v>0</v>
      </c>
      <c r="X59" s="40">
        <f t="shared" si="31"/>
        <v>0</v>
      </c>
      <c r="Y59" s="63"/>
      <c r="Z59" s="57">
        <f t="shared" si="32"/>
        <v>0</v>
      </c>
      <c r="AA59" s="57">
        <f t="shared" si="33"/>
        <v>0</v>
      </c>
      <c r="AB59" s="57">
        <f t="shared" si="34"/>
        <v>0</v>
      </c>
      <c r="AD59" s="40">
        <v>21</v>
      </c>
      <c r="AE59" s="40">
        <f>G59*0.715049833887043</f>
        <v>0</v>
      </c>
      <c r="AF59" s="40">
        <f>G59*(1-0.715049833887043)</f>
        <v>0</v>
      </c>
      <c r="AG59" s="66" t="s">
        <v>132</v>
      </c>
      <c r="AM59" s="40">
        <f t="shared" si="35"/>
        <v>0</v>
      </c>
      <c r="AN59" s="40">
        <f t="shared" si="36"/>
        <v>0</v>
      </c>
      <c r="AO59" s="69" t="s">
        <v>454</v>
      </c>
      <c r="AP59" s="69" t="s">
        <v>474</v>
      </c>
      <c r="AQ59" s="63" t="s">
        <v>479</v>
      </c>
      <c r="AS59" s="40">
        <f t="shared" si="37"/>
        <v>0</v>
      </c>
      <c r="AT59" s="40">
        <f t="shared" si="38"/>
        <v>0</v>
      </c>
      <c r="AU59" s="40">
        <v>0</v>
      </c>
      <c r="AV59" s="40">
        <f t="shared" si="39"/>
        <v>0.00124</v>
      </c>
    </row>
    <row r="60" spans="1:48" ht="12.75">
      <c r="A60" s="48" t="s">
        <v>153</v>
      </c>
      <c r="B60" s="48"/>
      <c r="C60" s="48" t="s">
        <v>243</v>
      </c>
      <c r="D60" s="48" t="s">
        <v>348</v>
      </c>
      <c r="E60" s="48" t="s">
        <v>425</v>
      </c>
      <c r="F60" s="57">
        <v>1</v>
      </c>
      <c r="G60" s="57">
        <v>0</v>
      </c>
      <c r="H60" s="57">
        <f t="shared" si="20"/>
        <v>0</v>
      </c>
      <c r="I60" s="57">
        <f t="shared" si="21"/>
        <v>0</v>
      </c>
      <c r="J60" s="57">
        <f t="shared" si="22"/>
        <v>0</v>
      </c>
      <c r="K60" s="57">
        <v>0.00048</v>
      </c>
      <c r="L60" s="57">
        <f t="shared" si="23"/>
        <v>0.00048</v>
      </c>
      <c r="M60" s="66" t="s">
        <v>438</v>
      </c>
      <c r="P60" s="40">
        <f t="shared" si="24"/>
        <v>0</v>
      </c>
      <c r="R60" s="40">
        <f t="shared" si="25"/>
        <v>0</v>
      </c>
      <c r="S60" s="40">
        <f t="shared" si="26"/>
        <v>0</v>
      </c>
      <c r="T60" s="40">
        <f t="shared" si="27"/>
        <v>0</v>
      </c>
      <c r="U60" s="40">
        <f t="shared" si="28"/>
        <v>0</v>
      </c>
      <c r="V60" s="40">
        <f t="shared" si="29"/>
        <v>0</v>
      </c>
      <c r="W60" s="40">
        <f t="shared" si="30"/>
        <v>0</v>
      </c>
      <c r="X60" s="40">
        <f t="shared" si="31"/>
        <v>0</v>
      </c>
      <c r="Y60" s="63"/>
      <c r="Z60" s="57">
        <f t="shared" si="32"/>
        <v>0</v>
      </c>
      <c r="AA60" s="57">
        <f t="shared" si="33"/>
        <v>0</v>
      </c>
      <c r="AB60" s="57">
        <f t="shared" si="34"/>
        <v>0</v>
      </c>
      <c r="AD60" s="40">
        <v>21</v>
      </c>
      <c r="AE60" s="40">
        <f>G60*0.782543352601156</f>
        <v>0</v>
      </c>
      <c r="AF60" s="40">
        <f>G60*(1-0.782543352601156)</f>
        <v>0</v>
      </c>
      <c r="AG60" s="66" t="s">
        <v>132</v>
      </c>
      <c r="AM60" s="40">
        <f t="shared" si="35"/>
        <v>0</v>
      </c>
      <c r="AN60" s="40">
        <f t="shared" si="36"/>
        <v>0</v>
      </c>
      <c r="AO60" s="69" t="s">
        <v>454</v>
      </c>
      <c r="AP60" s="69" t="s">
        <v>474</v>
      </c>
      <c r="AQ60" s="63" t="s">
        <v>479</v>
      </c>
      <c r="AS60" s="40">
        <f t="shared" si="37"/>
        <v>0</v>
      </c>
      <c r="AT60" s="40">
        <f t="shared" si="38"/>
        <v>0</v>
      </c>
      <c r="AU60" s="40">
        <v>0</v>
      </c>
      <c r="AV60" s="40">
        <f t="shared" si="39"/>
        <v>0.00048</v>
      </c>
    </row>
    <row r="61" spans="1:48" ht="12.75">
      <c r="A61" s="48" t="s">
        <v>79</v>
      </c>
      <c r="B61" s="48"/>
      <c r="C61" s="48" t="s">
        <v>244</v>
      </c>
      <c r="D61" s="48" t="s">
        <v>349</v>
      </c>
      <c r="E61" s="48" t="s">
        <v>426</v>
      </c>
      <c r="F61" s="57">
        <v>34</v>
      </c>
      <c r="G61" s="57">
        <v>0</v>
      </c>
      <c r="H61" s="57">
        <f t="shared" si="20"/>
        <v>0</v>
      </c>
      <c r="I61" s="57">
        <f t="shared" si="21"/>
        <v>0</v>
      </c>
      <c r="J61" s="57">
        <f t="shared" si="22"/>
        <v>0</v>
      </c>
      <c r="K61" s="57">
        <v>0.00018</v>
      </c>
      <c r="L61" s="57">
        <f t="shared" si="23"/>
        <v>0.0061200000000000004</v>
      </c>
      <c r="M61" s="66" t="s">
        <v>438</v>
      </c>
      <c r="P61" s="40">
        <f t="shared" si="24"/>
        <v>0</v>
      </c>
      <c r="R61" s="40">
        <f t="shared" si="25"/>
        <v>0</v>
      </c>
      <c r="S61" s="40">
        <f t="shared" si="26"/>
        <v>0</v>
      </c>
      <c r="T61" s="40">
        <f t="shared" si="27"/>
        <v>0</v>
      </c>
      <c r="U61" s="40">
        <f t="shared" si="28"/>
        <v>0</v>
      </c>
      <c r="V61" s="40">
        <f t="shared" si="29"/>
        <v>0</v>
      </c>
      <c r="W61" s="40">
        <f t="shared" si="30"/>
        <v>0</v>
      </c>
      <c r="X61" s="40">
        <f t="shared" si="31"/>
        <v>0</v>
      </c>
      <c r="Y61" s="63"/>
      <c r="Z61" s="57">
        <f t="shared" si="32"/>
        <v>0</v>
      </c>
      <c r="AA61" s="57">
        <f t="shared" si="33"/>
        <v>0</v>
      </c>
      <c r="AB61" s="57">
        <f t="shared" si="34"/>
        <v>0</v>
      </c>
      <c r="AD61" s="40">
        <v>21</v>
      </c>
      <c r="AE61" s="40">
        <f>G61*0.211428571428571</f>
        <v>0</v>
      </c>
      <c r="AF61" s="40">
        <f>G61*(1-0.211428571428571)</f>
        <v>0</v>
      </c>
      <c r="AG61" s="66" t="s">
        <v>132</v>
      </c>
      <c r="AM61" s="40">
        <f t="shared" si="35"/>
        <v>0</v>
      </c>
      <c r="AN61" s="40">
        <f t="shared" si="36"/>
        <v>0</v>
      </c>
      <c r="AO61" s="69" t="s">
        <v>454</v>
      </c>
      <c r="AP61" s="69" t="s">
        <v>474</v>
      </c>
      <c r="AQ61" s="63" t="s">
        <v>479</v>
      </c>
      <c r="AS61" s="40">
        <f t="shared" si="37"/>
        <v>0</v>
      </c>
      <c r="AT61" s="40">
        <f t="shared" si="38"/>
        <v>0</v>
      </c>
      <c r="AU61" s="40">
        <v>0</v>
      </c>
      <c r="AV61" s="40">
        <f t="shared" si="39"/>
        <v>0.0061200000000000004</v>
      </c>
    </row>
    <row r="62" spans="1:48" ht="12.75">
      <c r="A62" s="48" t="s">
        <v>154</v>
      </c>
      <c r="B62" s="48"/>
      <c r="C62" s="48" t="s">
        <v>245</v>
      </c>
      <c r="D62" s="48" t="s">
        <v>350</v>
      </c>
      <c r="E62" s="48" t="s">
        <v>426</v>
      </c>
      <c r="F62" s="57">
        <v>34</v>
      </c>
      <c r="G62" s="57">
        <v>0</v>
      </c>
      <c r="H62" s="57">
        <f t="shared" si="20"/>
        <v>0</v>
      </c>
      <c r="I62" s="57">
        <f t="shared" si="21"/>
        <v>0</v>
      </c>
      <c r="J62" s="57">
        <f t="shared" si="22"/>
        <v>0</v>
      </c>
      <c r="K62" s="57">
        <v>1E-05</v>
      </c>
      <c r="L62" s="57">
        <f t="shared" si="23"/>
        <v>0.00034</v>
      </c>
      <c r="M62" s="66" t="s">
        <v>438</v>
      </c>
      <c r="P62" s="40">
        <f t="shared" si="24"/>
        <v>0</v>
      </c>
      <c r="R62" s="40">
        <f t="shared" si="25"/>
        <v>0</v>
      </c>
      <c r="S62" s="40">
        <f t="shared" si="26"/>
        <v>0</v>
      </c>
      <c r="T62" s="40">
        <f t="shared" si="27"/>
        <v>0</v>
      </c>
      <c r="U62" s="40">
        <f t="shared" si="28"/>
        <v>0</v>
      </c>
      <c r="V62" s="40">
        <f t="shared" si="29"/>
        <v>0</v>
      </c>
      <c r="W62" s="40">
        <f t="shared" si="30"/>
        <v>0</v>
      </c>
      <c r="X62" s="40">
        <f t="shared" si="31"/>
        <v>0</v>
      </c>
      <c r="Y62" s="63"/>
      <c r="Z62" s="57">
        <f t="shared" si="32"/>
        <v>0</v>
      </c>
      <c r="AA62" s="57">
        <f t="shared" si="33"/>
        <v>0</v>
      </c>
      <c r="AB62" s="57">
        <f t="shared" si="34"/>
        <v>0</v>
      </c>
      <c r="AD62" s="40">
        <v>21</v>
      </c>
      <c r="AE62" s="40">
        <f>G62*0.0535055350553506</f>
        <v>0</v>
      </c>
      <c r="AF62" s="40">
        <f>G62*(1-0.0535055350553506)</f>
        <v>0</v>
      </c>
      <c r="AG62" s="66" t="s">
        <v>132</v>
      </c>
      <c r="AM62" s="40">
        <f t="shared" si="35"/>
        <v>0</v>
      </c>
      <c r="AN62" s="40">
        <f t="shared" si="36"/>
        <v>0</v>
      </c>
      <c r="AO62" s="69" t="s">
        <v>454</v>
      </c>
      <c r="AP62" s="69" t="s">
        <v>474</v>
      </c>
      <c r="AQ62" s="63" t="s">
        <v>479</v>
      </c>
      <c r="AS62" s="40">
        <f t="shared" si="37"/>
        <v>0</v>
      </c>
      <c r="AT62" s="40">
        <f t="shared" si="38"/>
        <v>0</v>
      </c>
      <c r="AU62" s="40">
        <v>0</v>
      </c>
      <c r="AV62" s="40">
        <f t="shared" si="39"/>
        <v>0.00034</v>
      </c>
    </row>
    <row r="63" spans="1:37" ht="12.75">
      <c r="A63" s="47"/>
      <c r="B63" s="54"/>
      <c r="C63" s="54" t="s">
        <v>84</v>
      </c>
      <c r="D63" s="54" t="s">
        <v>107</v>
      </c>
      <c r="E63" s="47" t="s">
        <v>74</v>
      </c>
      <c r="F63" s="47" t="s">
        <v>74</v>
      </c>
      <c r="G63" s="47" t="s">
        <v>74</v>
      </c>
      <c r="H63" s="71">
        <f>SUM(H64:H81)</f>
        <v>0</v>
      </c>
      <c r="I63" s="71">
        <f>SUM(I64:I81)</f>
        <v>0</v>
      </c>
      <c r="J63" s="71">
        <f>H63+I63</f>
        <v>0</v>
      </c>
      <c r="K63" s="63"/>
      <c r="L63" s="71">
        <f>SUM(L64:L81)</f>
        <v>0.17461000000000004</v>
      </c>
      <c r="M63" s="63"/>
      <c r="Y63" s="63"/>
      <c r="AI63" s="71">
        <f>SUM(Z64:Z81)</f>
        <v>0</v>
      </c>
      <c r="AJ63" s="71">
        <f>SUM(AA64:AA81)</f>
        <v>0</v>
      </c>
      <c r="AK63" s="71">
        <f>SUM(AB64:AB81)</f>
        <v>0</v>
      </c>
    </row>
    <row r="64" spans="1:48" ht="12.75">
      <c r="A64" s="48" t="s">
        <v>155</v>
      </c>
      <c r="B64" s="48"/>
      <c r="C64" s="48" t="s">
        <v>246</v>
      </c>
      <c r="D64" s="48" t="s">
        <v>480</v>
      </c>
      <c r="E64" s="48" t="s">
        <v>428</v>
      </c>
      <c r="F64" s="57">
        <v>2</v>
      </c>
      <c r="G64" s="57">
        <v>0</v>
      </c>
      <c r="H64" s="57">
        <f>F64*AE64</f>
        <v>0</v>
      </c>
      <c r="I64" s="57">
        <f>J64-H64</f>
        <v>0</v>
      </c>
      <c r="J64" s="57">
        <f>F64*G64</f>
        <v>0</v>
      </c>
      <c r="K64" s="57">
        <v>0.00919</v>
      </c>
      <c r="L64" s="57">
        <f>F64*K64</f>
        <v>0.01838</v>
      </c>
      <c r="M64" s="66" t="s">
        <v>438</v>
      </c>
      <c r="P64" s="40">
        <f>IF(AG64="5",J64,0)</f>
        <v>0</v>
      </c>
      <c r="R64" s="40">
        <f>IF(AG64="1",H64,0)</f>
        <v>0</v>
      </c>
      <c r="S64" s="40">
        <f>IF(AG64="1",I64,0)</f>
        <v>0</v>
      </c>
      <c r="T64" s="40">
        <f>IF(AG64="7",H64,0)</f>
        <v>0</v>
      </c>
      <c r="U64" s="40">
        <f>IF(AG64="7",I64,0)</f>
        <v>0</v>
      </c>
      <c r="V64" s="40">
        <f>IF(AG64="2",H64,0)</f>
        <v>0</v>
      </c>
      <c r="W64" s="40">
        <f>IF(AG64="2",I64,0)</f>
        <v>0</v>
      </c>
      <c r="X64" s="40">
        <f>IF(AG64="0",J64,0)</f>
        <v>0</v>
      </c>
      <c r="Y64" s="63"/>
      <c r="Z64" s="57">
        <f>IF(AD64=0,J64,0)</f>
        <v>0</v>
      </c>
      <c r="AA64" s="57">
        <f>IF(AD64=15,J64,0)</f>
        <v>0</v>
      </c>
      <c r="AB64" s="57">
        <f>IF(AD64=21,J64,0)</f>
        <v>0</v>
      </c>
      <c r="AD64" s="40">
        <v>21</v>
      </c>
      <c r="AE64" s="40">
        <f>G64*1</f>
        <v>0</v>
      </c>
      <c r="AF64" s="40">
        <f>G64*(1-1)</f>
        <v>0</v>
      </c>
      <c r="AG64" s="66" t="s">
        <v>132</v>
      </c>
      <c r="AM64" s="40">
        <f>F64*AE64</f>
        <v>0</v>
      </c>
      <c r="AN64" s="40">
        <f>F64*AF64</f>
        <v>0</v>
      </c>
      <c r="AO64" s="69" t="s">
        <v>455</v>
      </c>
      <c r="AP64" s="69" t="s">
        <v>475</v>
      </c>
      <c r="AQ64" s="63" t="s">
        <v>479</v>
      </c>
      <c r="AS64" s="40">
        <f>AM64+AN64</f>
        <v>0</v>
      </c>
      <c r="AT64" s="40">
        <f>G64/(100-AU64)*100</f>
        <v>0</v>
      </c>
      <c r="AU64" s="40">
        <v>0</v>
      </c>
      <c r="AV64" s="40">
        <f>L64</f>
        <v>0.01838</v>
      </c>
    </row>
    <row r="65" ht="12.75">
      <c r="D65" s="55"/>
    </row>
    <row r="66" spans="1:48" ht="12.75">
      <c r="A66" s="48" t="s">
        <v>156</v>
      </c>
      <c r="B66" s="48"/>
      <c r="C66" s="48" t="s">
        <v>247</v>
      </c>
      <c r="D66" s="48" t="s">
        <v>351</v>
      </c>
      <c r="E66" s="48" t="s">
        <v>428</v>
      </c>
      <c r="F66" s="57">
        <v>2</v>
      </c>
      <c r="G66" s="57">
        <v>0</v>
      </c>
      <c r="H66" s="57">
        <f>F66*AE66</f>
        <v>0</v>
      </c>
      <c r="I66" s="57">
        <f>J66-H66</f>
        <v>0</v>
      </c>
      <c r="J66" s="57">
        <f>F66*G66</f>
        <v>0</v>
      </c>
      <c r="K66" s="57">
        <v>0.00919</v>
      </c>
      <c r="L66" s="57">
        <f>F66*K66</f>
        <v>0.01838</v>
      </c>
      <c r="M66" s="66" t="s">
        <v>438</v>
      </c>
      <c r="P66" s="40">
        <f>IF(AG66="5",J66,0)</f>
        <v>0</v>
      </c>
      <c r="R66" s="40">
        <f>IF(AG66="1",H66,0)</f>
        <v>0</v>
      </c>
      <c r="S66" s="40">
        <f>IF(AG66="1",I66,0)</f>
        <v>0</v>
      </c>
      <c r="T66" s="40">
        <f>IF(AG66="7",H66,0)</f>
        <v>0</v>
      </c>
      <c r="U66" s="40">
        <f>IF(AG66="7",I66,0)</f>
        <v>0</v>
      </c>
      <c r="V66" s="40">
        <f>IF(AG66="2",H66,0)</f>
        <v>0</v>
      </c>
      <c r="W66" s="40">
        <f>IF(AG66="2",I66,0)</f>
        <v>0</v>
      </c>
      <c r="X66" s="40">
        <f>IF(AG66="0",J66,0)</f>
        <v>0</v>
      </c>
      <c r="Y66" s="63"/>
      <c r="Z66" s="57">
        <f>IF(AD66=0,J66,0)</f>
        <v>0</v>
      </c>
      <c r="AA66" s="57">
        <f>IF(AD66=15,J66,0)</f>
        <v>0</v>
      </c>
      <c r="AB66" s="57">
        <f>IF(AD66=21,J66,0)</f>
        <v>0</v>
      </c>
      <c r="AD66" s="40">
        <v>21</v>
      </c>
      <c r="AE66" s="40">
        <f>G66*1</f>
        <v>0</v>
      </c>
      <c r="AF66" s="40">
        <f>G66*(1-1)</f>
        <v>0</v>
      </c>
      <c r="AG66" s="66" t="s">
        <v>132</v>
      </c>
      <c r="AM66" s="40">
        <f>F66*AE66</f>
        <v>0</v>
      </c>
      <c r="AN66" s="40">
        <f>F66*AF66</f>
        <v>0</v>
      </c>
      <c r="AO66" s="69" t="s">
        <v>455</v>
      </c>
      <c r="AP66" s="69" t="s">
        <v>475</v>
      </c>
      <c r="AQ66" s="63" t="s">
        <v>479</v>
      </c>
      <c r="AS66" s="40">
        <f>AM66+AN66</f>
        <v>0</v>
      </c>
      <c r="AT66" s="40">
        <f>G66/(100-AU66)*100</f>
        <v>0</v>
      </c>
      <c r="AU66" s="40">
        <v>0</v>
      </c>
      <c r="AV66" s="40">
        <f>L66</f>
        <v>0.01838</v>
      </c>
    </row>
    <row r="67" ht="25.5">
      <c r="D67" s="55" t="s">
        <v>352</v>
      </c>
    </row>
    <row r="68" spans="1:48" ht="12.75">
      <c r="A68" s="48" t="s">
        <v>157</v>
      </c>
      <c r="B68" s="48"/>
      <c r="C68" s="48" t="s">
        <v>248</v>
      </c>
      <c r="D68" s="48" t="s">
        <v>353</v>
      </c>
      <c r="E68" s="48" t="s">
        <v>428</v>
      </c>
      <c r="F68" s="57">
        <v>2</v>
      </c>
      <c r="G68" s="57">
        <v>0</v>
      </c>
      <c r="H68" s="57">
        <f>F68*AE68</f>
        <v>0</v>
      </c>
      <c r="I68" s="57">
        <f>J68-H68</f>
        <v>0</v>
      </c>
      <c r="J68" s="57">
        <f>F68*G68</f>
        <v>0</v>
      </c>
      <c r="K68" s="57">
        <v>0.00919</v>
      </c>
      <c r="L68" s="57">
        <f>F68*K68</f>
        <v>0.01838</v>
      </c>
      <c r="M68" s="66" t="s">
        <v>438</v>
      </c>
      <c r="P68" s="40">
        <f>IF(AG68="5",J68,0)</f>
        <v>0</v>
      </c>
      <c r="R68" s="40">
        <f>IF(AG68="1",H68,0)</f>
        <v>0</v>
      </c>
      <c r="S68" s="40">
        <f>IF(AG68="1",I68,0)</f>
        <v>0</v>
      </c>
      <c r="T68" s="40">
        <f>IF(AG68="7",H68,0)</f>
        <v>0</v>
      </c>
      <c r="U68" s="40">
        <f>IF(AG68="7",I68,0)</f>
        <v>0</v>
      </c>
      <c r="V68" s="40">
        <f>IF(AG68="2",H68,0)</f>
        <v>0</v>
      </c>
      <c r="W68" s="40">
        <f>IF(AG68="2",I68,0)</f>
        <v>0</v>
      </c>
      <c r="X68" s="40">
        <f>IF(AG68="0",J68,0)</f>
        <v>0</v>
      </c>
      <c r="Y68" s="63"/>
      <c r="Z68" s="57">
        <f>IF(AD68=0,J68,0)</f>
        <v>0</v>
      </c>
      <c r="AA68" s="57">
        <f>IF(AD68=15,J68,0)</f>
        <v>0</v>
      </c>
      <c r="AB68" s="57">
        <f>IF(AD68=21,J68,0)</f>
        <v>0</v>
      </c>
      <c r="AD68" s="40">
        <v>21</v>
      </c>
      <c r="AE68" s="40">
        <f>G68*1</f>
        <v>0</v>
      </c>
      <c r="AF68" s="40">
        <f>G68*(1-1)</f>
        <v>0</v>
      </c>
      <c r="AG68" s="66" t="s">
        <v>132</v>
      </c>
      <c r="AM68" s="40">
        <f>F68*AE68</f>
        <v>0</v>
      </c>
      <c r="AN68" s="40">
        <f>F68*AF68</f>
        <v>0</v>
      </c>
      <c r="AO68" s="69" t="s">
        <v>455</v>
      </c>
      <c r="AP68" s="69" t="s">
        <v>475</v>
      </c>
      <c r="AQ68" s="63" t="s">
        <v>479</v>
      </c>
      <c r="AS68" s="40">
        <f>AM68+AN68</f>
        <v>0</v>
      </c>
      <c r="AT68" s="40">
        <f>G68/(100-AU68)*100</f>
        <v>0</v>
      </c>
      <c r="AU68" s="40">
        <v>0</v>
      </c>
      <c r="AV68" s="40">
        <f>L68</f>
        <v>0.01838</v>
      </c>
    </row>
    <row r="69" ht="12.75">
      <c r="D69" s="55" t="s">
        <v>354</v>
      </c>
    </row>
    <row r="70" spans="1:48" ht="12.75">
      <c r="A70" s="48" t="s">
        <v>158</v>
      </c>
      <c r="B70" s="48"/>
      <c r="C70" s="48" t="s">
        <v>249</v>
      </c>
      <c r="D70" s="48" t="s">
        <v>481</v>
      </c>
      <c r="E70" s="48" t="s">
        <v>428</v>
      </c>
      <c r="F70" s="57">
        <v>2</v>
      </c>
      <c r="G70" s="57">
        <v>0</v>
      </c>
      <c r="H70" s="57">
        <f>F70*AE70</f>
        <v>0</v>
      </c>
      <c r="I70" s="57">
        <f>J70-H70</f>
        <v>0</v>
      </c>
      <c r="J70" s="57">
        <f>F70*G70</f>
        <v>0</v>
      </c>
      <c r="K70" s="57">
        <v>0.00919</v>
      </c>
      <c r="L70" s="57">
        <f>F70*K70</f>
        <v>0.01838</v>
      </c>
      <c r="M70" s="66" t="s">
        <v>438</v>
      </c>
      <c r="P70" s="40">
        <f>IF(AG70="5",J70,0)</f>
        <v>0</v>
      </c>
      <c r="R70" s="40">
        <f>IF(AG70="1",H70,0)</f>
        <v>0</v>
      </c>
      <c r="S70" s="40">
        <f>IF(AG70="1",I70,0)</f>
        <v>0</v>
      </c>
      <c r="T70" s="40">
        <f>IF(AG70="7",H70,0)</f>
        <v>0</v>
      </c>
      <c r="U70" s="40">
        <f>IF(AG70="7",I70,0)</f>
        <v>0</v>
      </c>
      <c r="V70" s="40">
        <f>IF(AG70="2",H70,0)</f>
        <v>0</v>
      </c>
      <c r="W70" s="40">
        <f>IF(AG70="2",I70,0)</f>
        <v>0</v>
      </c>
      <c r="X70" s="40">
        <f>IF(AG70="0",J70,0)</f>
        <v>0</v>
      </c>
      <c r="Y70" s="63"/>
      <c r="Z70" s="57">
        <f>IF(AD70=0,J70,0)</f>
        <v>0</v>
      </c>
      <c r="AA70" s="57">
        <f>IF(AD70=15,J70,0)</f>
        <v>0</v>
      </c>
      <c r="AB70" s="57">
        <f>IF(AD70=21,J70,0)</f>
        <v>0</v>
      </c>
      <c r="AD70" s="40">
        <v>21</v>
      </c>
      <c r="AE70" s="40">
        <f>G70*1</f>
        <v>0</v>
      </c>
      <c r="AF70" s="40">
        <f>G70*(1-1)</f>
        <v>0</v>
      </c>
      <c r="AG70" s="66" t="s">
        <v>132</v>
      </c>
      <c r="AM70" s="40">
        <f>F70*AE70</f>
        <v>0</v>
      </c>
      <c r="AN70" s="40">
        <f>F70*AF70</f>
        <v>0</v>
      </c>
      <c r="AO70" s="69" t="s">
        <v>455</v>
      </c>
      <c r="AP70" s="69" t="s">
        <v>475</v>
      </c>
      <c r="AQ70" s="63" t="s">
        <v>479</v>
      </c>
      <c r="AS70" s="40">
        <f>AM70+AN70</f>
        <v>0</v>
      </c>
      <c r="AT70" s="40">
        <f>G70/(100-AU70)*100</f>
        <v>0</v>
      </c>
      <c r="AU70" s="40">
        <v>0</v>
      </c>
      <c r="AV70" s="40">
        <f>L70</f>
        <v>0.01838</v>
      </c>
    </row>
    <row r="71" ht="12.75">
      <c r="D71" s="55" t="s">
        <v>355</v>
      </c>
    </row>
    <row r="72" spans="1:48" ht="12.75">
      <c r="A72" s="48" t="s">
        <v>159</v>
      </c>
      <c r="B72" s="48"/>
      <c r="C72" s="48" t="s">
        <v>250</v>
      </c>
      <c r="D72" s="48" t="s">
        <v>482</v>
      </c>
      <c r="E72" s="48" t="s">
        <v>428</v>
      </c>
      <c r="F72" s="57">
        <v>2</v>
      </c>
      <c r="G72" s="57">
        <v>0</v>
      </c>
      <c r="H72" s="57">
        <f>F72*AE72</f>
        <v>0</v>
      </c>
      <c r="I72" s="57">
        <f>J72-H72</f>
        <v>0</v>
      </c>
      <c r="J72" s="57">
        <f>F72*G72</f>
        <v>0</v>
      </c>
      <c r="K72" s="57">
        <v>0.00919</v>
      </c>
      <c r="L72" s="57">
        <f>F72*K72</f>
        <v>0.01838</v>
      </c>
      <c r="M72" s="66" t="s">
        <v>438</v>
      </c>
      <c r="P72" s="40">
        <f>IF(AG72="5",J72,0)</f>
        <v>0</v>
      </c>
      <c r="R72" s="40">
        <f>IF(AG72="1",H72,0)</f>
        <v>0</v>
      </c>
      <c r="S72" s="40">
        <f>IF(AG72="1",I72,0)</f>
        <v>0</v>
      </c>
      <c r="T72" s="40">
        <f>IF(AG72="7",H72,0)</f>
        <v>0</v>
      </c>
      <c r="U72" s="40">
        <f>IF(AG72="7",I72,0)</f>
        <v>0</v>
      </c>
      <c r="V72" s="40">
        <f>IF(AG72="2",H72,0)</f>
        <v>0</v>
      </c>
      <c r="W72" s="40">
        <f>IF(AG72="2",I72,0)</f>
        <v>0</v>
      </c>
      <c r="X72" s="40">
        <f>IF(AG72="0",J72,0)</f>
        <v>0</v>
      </c>
      <c r="Y72" s="63"/>
      <c r="Z72" s="57">
        <f>IF(AD72=0,J72,0)</f>
        <v>0</v>
      </c>
      <c r="AA72" s="57">
        <f>IF(AD72=15,J72,0)</f>
        <v>0</v>
      </c>
      <c r="AB72" s="57">
        <f>IF(AD72=21,J72,0)</f>
        <v>0</v>
      </c>
      <c r="AD72" s="40">
        <v>21</v>
      </c>
      <c r="AE72" s="40">
        <f>G72*1</f>
        <v>0</v>
      </c>
      <c r="AF72" s="40">
        <f>G72*(1-1)</f>
        <v>0</v>
      </c>
      <c r="AG72" s="66" t="s">
        <v>132</v>
      </c>
      <c r="AM72" s="40">
        <f>F72*AE72</f>
        <v>0</v>
      </c>
      <c r="AN72" s="40">
        <f>F72*AF72</f>
        <v>0</v>
      </c>
      <c r="AO72" s="69" t="s">
        <v>455</v>
      </c>
      <c r="AP72" s="69" t="s">
        <v>475</v>
      </c>
      <c r="AQ72" s="63" t="s">
        <v>479</v>
      </c>
      <c r="AS72" s="40">
        <f>AM72+AN72</f>
        <v>0</v>
      </c>
      <c r="AT72" s="40">
        <f>G72/(100-AU72)*100</f>
        <v>0</v>
      </c>
      <c r="AU72" s="40">
        <v>0</v>
      </c>
      <c r="AV72" s="40">
        <f>L72</f>
        <v>0.01838</v>
      </c>
    </row>
    <row r="73" ht="12.75">
      <c r="D73" s="55" t="s">
        <v>356</v>
      </c>
    </row>
    <row r="74" spans="1:48" ht="12.75">
      <c r="A74" s="48" t="s">
        <v>160</v>
      </c>
      <c r="B74" s="48"/>
      <c r="C74" s="48" t="s">
        <v>251</v>
      </c>
      <c r="D74" s="48" t="s">
        <v>357</v>
      </c>
      <c r="E74" s="48" t="s">
        <v>428</v>
      </c>
      <c r="F74" s="57">
        <v>2</v>
      </c>
      <c r="G74" s="57">
        <v>0</v>
      </c>
      <c r="H74" s="57">
        <f>F74*AE74</f>
        <v>0</v>
      </c>
      <c r="I74" s="57">
        <f>J74-H74</f>
        <v>0</v>
      </c>
      <c r="J74" s="57">
        <f>F74*G74</f>
        <v>0</v>
      </c>
      <c r="K74" s="57">
        <v>0.00919</v>
      </c>
      <c r="L74" s="57">
        <f>F74*K74</f>
        <v>0.01838</v>
      </c>
      <c r="M74" s="66" t="s">
        <v>438</v>
      </c>
      <c r="P74" s="40">
        <f>IF(AG74="5",J74,0)</f>
        <v>0</v>
      </c>
      <c r="R74" s="40">
        <f>IF(AG74="1",H74,0)</f>
        <v>0</v>
      </c>
      <c r="S74" s="40">
        <f>IF(AG74="1",I74,0)</f>
        <v>0</v>
      </c>
      <c r="T74" s="40">
        <f>IF(AG74="7",H74,0)</f>
        <v>0</v>
      </c>
      <c r="U74" s="40">
        <f>IF(AG74="7",I74,0)</f>
        <v>0</v>
      </c>
      <c r="V74" s="40">
        <f>IF(AG74="2",H74,0)</f>
        <v>0</v>
      </c>
      <c r="W74" s="40">
        <f>IF(AG74="2",I74,0)</f>
        <v>0</v>
      </c>
      <c r="X74" s="40">
        <f>IF(AG74="0",J74,0)</f>
        <v>0</v>
      </c>
      <c r="Y74" s="63"/>
      <c r="Z74" s="57">
        <f>IF(AD74=0,J74,0)</f>
        <v>0</v>
      </c>
      <c r="AA74" s="57">
        <f>IF(AD74=15,J74,0)</f>
        <v>0</v>
      </c>
      <c r="AB74" s="57">
        <f>IF(AD74=21,J74,0)</f>
        <v>0</v>
      </c>
      <c r="AD74" s="40">
        <v>21</v>
      </c>
      <c r="AE74" s="40">
        <f>G74*1</f>
        <v>0</v>
      </c>
      <c r="AF74" s="40">
        <f>G74*(1-1)</f>
        <v>0</v>
      </c>
      <c r="AG74" s="66" t="s">
        <v>132</v>
      </c>
      <c r="AM74" s="40">
        <f>F74*AE74</f>
        <v>0</v>
      </c>
      <c r="AN74" s="40">
        <f>F74*AF74</f>
        <v>0</v>
      </c>
      <c r="AO74" s="69" t="s">
        <v>455</v>
      </c>
      <c r="AP74" s="69" t="s">
        <v>475</v>
      </c>
      <c r="AQ74" s="63" t="s">
        <v>479</v>
      </c>
      <c r="AS74" s="40">
        <f>AM74+AN74</f>
        <v>0</v>
      </c>
      <c r="AT74" s="40">
        <f>G74/(100-AU74)*100</f>
        <v>0</v>
      </c>
      <c r="AU74" s="40">
        <v>0</v>
      </c>
      <c r="AV74" s="40">
        <f>L74</f>
        <v>0.01838</v>
      </c>
    </row>
    <row r="75" ht="12.75">
      <c r="D75" s="55" t="s">
        <v>358</v>
      </c>
    </row>
    <row r="76" spans="1:48" ht="12.75">
      <c r="A76" s="48" t="s">
        <v>161</v>
      </c>
      <c r="B76" s="48"/>
      <c r="C76" s="48" t="s">
        <v>252</v>
      </c>
      <c r="D76" s="48" t="s">
        <v>359</v>
      </c>
      <c r="E76" s="48" t="s">
        <v>428</v>
      </c>
      <c r="F76" s="57">
        <v>2</v>
      </c>
      <c r="G76" s="57">
        <v>0</v>
      </c>
      <c r="H76" s="57">
        <f>F76*AE76</f>
        <v>0</v>
      </c>
      <c r="I76" s="57">
        <f>J76-H76</f>
        <v>0</v>
      </c>
      <c r="J76" s="57">
        <f>F76*G76</f>
        <v>0</v>
      </c>
      <c r="K76" s="57">
        <v>0.00919</v>
      </c>
      <c r="L76" s="57">
        <f>F76*K76</f>
        <v>0.01838</v>
      </c>
      <c r="M76" s="66" t="s">
        <v>438</v>
      </c>
      <c r="P76" s="40">
        <f>IF(AG76="5",J76,0)</f>
        <v>0</v>
      </c>
      <c r="R76" s="40">
        <f>IF(AG76="1",H76,0)</f>
        <v>0</v>
      </c>
      <c r="S76" s="40">
        <f>IF(AG76="1",I76,0)</f>
        <v>0</v>
      </c>
      <c r="T76" s="40">
        <f>IF(AG76="7",H76,0)</f>
        <v>0</v>
      </c>
      <c r="U76" s="40">
        <f>IF(AG76="7",I76,0)</f>
        <v>0</v>
      </c>
      <c r="V76" s="40">
        <f>IF(AG76="2",H76,0)</f>
        <v>0</v>
      </c>
      <c r="W76" s="40">
        <f>IF(AG76="2",I76,0)</f>
        <v>0</v>
      </c>
      <c r="X76" s="40">
        <f>IF(AG76="0",J76,0)</f>
        <v>0</v>
      </c>
      <c r="Y76" s="63"/>
      <c r="Z76" s="57">
        <f>IF(AD76=0,J76,0)</f>
        <v>0</v>
      </c>
      <c r="AA76" s="57">
        <f>IF(AD76=15,J76,0)</f>
        <v>0</v>
      </c>
      <c r="AB76" s="57">
        <f>IF(AD76=21,J76,0)</f>
        <v>0</v>
      </c>
      <c r="AD76" s="40">
        <v>21</v>
      </c>
      <c r="AE76" s="40">
        <f>G76*1</f>
        <v>0</v>
      </c>
      <c r="AF76" s="40">
        <f>G76*(1-1)</f>
        <v>0</v>
      </c>
      <c r="AG76" s="66" t="s">
        <v>132</v>
      </c>
      <c r="AM76" s="40">
        <f>F76*AE76</f>
        <v>0</v>
      </c>
      <c r="AN76" s="40">
        <f>F76*AF76</f>
        <v>0</v>
      </c>
      <c r="AO76" s="69" t="s">
        <v>455</v>
      </c>
      <c r="AP76" s="69" t="s">
        <v>475</v>
      </c>
      <c r="AQ76" s="63" t="s">
        <v>479</v>
      </c>
      <c r="AS76" s="40">
        <f>AM76+AN76</f>
        <v>0</v>
      </c>
      <c r="AT76" s="40">
        <f>G76/(100-AU76)*100</f>
        <v>0</v>
      </c>
      <c r="AU76" s="40">
        <v>0</v>
      </c>
      <c r="AV76" s="40">
        <f>L76</f>
        <v>0.01838</v>
      </c>
    </row>
    <row r="77" spans="1:48" ht="12.75">
      <c r="A77" s="48" t="s">
        <v>162</v>
      </c>
      <c r="B77" s="48"/>
      <c r="C77" s="48" t="s">
        <v>253</v>
      </c>
      <c r="D77" s="48" t="s">
        <v>360</v>
      </c>
      <c r="E77" s="48" t="s">
        <v>428</v>
      </c>
      <c r="F77" s="57">
        <v>2</v>
      </c>
      <c r="G77" s="57">
        <v>0</v>
      </c>
      <c r="H77" s="57">
        <f>F77*AE77</f>
        <v>0</v>
      </c>
      <c r="I77" s="57">
        <f>J77-H77</f>
        <v>0</v>
      </c>
      <c r="J77" s="57">
        <f>F77*G77</f>
        <v>0</v>
      </c>
      <c r="K77" s="57">
        <v>0.00919</v>
      </c>
      <c r="L77" s="57">
        <f>F77*K77</f>
        <v>0.01838</v>
      </c>
      <c r="M77" s="66" t="s">
        <v>438</v>
      </c>
      <c r="P77" s="40">
        <f>IF(AG77="5",J77,0)</f>
        <v>0</v>
      </c>
      <c r="R77" s="40">
        <f>IF(AG77="1",H77,0)</f>
        <v>0</v>
      </c>
      <c r="S77" s="40">
        <f>IF(AG77="1",I77,0)</f>
        <v>0</v>
      </c>
      <c r="T77" s="40">
        <f>IF(AG77="7",H77,0)</f>
        <v>0</v>
      </c>
      <c r="U77" s="40">
        <f>IF(AG77="7",I77,0)</f>
        <v>0</v>
      </c>
      <c r="V77" s="40">
        <f>IF(AG77="2",H77,0)</f>
        <v>0</v>
      </c>
      <c r="W77" s="40">
        <f>IF(AG77="2",I77,0)</f>
        <v>0</v>
      </c>
      <c r="X77" s="40">
        <f>IF(AG77="0",J77,0)</f>
        <v>0</v>
      </c>
      <c r="Y77" s="63"/>
      <c r="Z77" s="57">
        <f>IF(AD77=0,J77,0)</f>
        <v>0</v>
      </c>
      <c r="AA77" s="57">
        <f>IF(AD77=15,J77,0)</f>
        <v>0</v>
      </c>
      <c r="AB77" s="57">
        <f>IF(AD77=21,J77,0)</f>
        <v>0</v>
      </c>
      <c r="AD77" s="40">
        <v>21</v>
      </c>
      <c r="AE77" s="40">
        <f>G77*1</f>
        <v>0</v>
      </c>
      <c r="AF77" s="40">
        <f>G77*(1-1)</f>
        <v>0</v>
      </c>
      <c r="AG77" s="66" t="s">
        <v>132</v>
      </c>
      <c r="AM77" s="40">
        <f>F77*AE77</f>
        <v>0</v>
      </c>
      <c r="AN77" s="40">
        <f>F77*AF77</f>
        <v>0</v>
      </c>
      <c r="AO77" s="69" t="s">
        <v>455</v>
      </c>
      <c r="AP77" s="69" t="s">
        <v>475</v>
      </c>
      <c r="AQ77" s="63" t="s">
        <v>479</v>
      </c>
      <c r="AS77" s="40">
        <f>AM77+AN77</f>
        <v>0</v>
      </c>
      <c r="AT77" s="40">
        <f>G77/(100-AU77)*100</f>
        <v>0</v>
      </c>
      <c r="AU77" s="40">
        <v>0</v>
      </c>
      <c r="AV77" s="40">
        <f>L77</f>
        <v>0.01838</v>
      </c>
    </row>
    <row r="78" ht="51">
      <c r="D78" s="55" t="s">
        <v>361</v>
      </c>
    </row>
    <row r="79" spans="1:48" ht="12.75">
      <c r="A79" s="48" t="s">
        <v>80</v>
      </c>
      <c r="B79" s="48"/>
      <c r="C79" s="48" t="s">
        <v>254</v>
      </c>
      <c r="D79" s="48" t="s">
        <v>362</v>
      </c>
      <c r="E79" s="48" t="s">
        <v>428</v>
      </c>
      <c r="F79" s="57">
        <v>1</v>
      </c>
      <c r="G79" s="57">
        <v>0</v>
      </c>
      <c r="H79" s="57">
        <f>F79*AE79</f>
        <v>0</v>
      </c>
      <c r="I79" s="57">
        <f>J79-H79</f>
        <v>0</v>
      </c>
      <c r="J79" s="57">
        <f>F79*G79</f>
        <v>0</v>
      </c>
      <c r="K79" s="57">
        <v>0.00919</v>
      </c>
      <c r="L79" s="57">
        <f>F79*K79</f>
        <v>0.00919</v>
      </c>
      <c r="M79" s="66" t="s">
        <v>438</v>
      </c>
      <c r="P79" s="40">
        <f>IF(AG79="5",J79,0)</f>
        <v>0</v>
      </c>
      <c r="R79" s="40">
        <f>IF(AG79="1",H79,0)</f>
        <v>0</v>
      </c>
      <c r="S79" s="40">
        <f>IF(AG79="1",I79,0)</f>
        <v>0</v>
      </c>
      <c r="T79" s="40">
        <f>IF(AG79="7",H79,0)</f>
        <v>0</v>
      </c>
      <c r="U79" s="40">
        <f>IF(AG79="7",I79,0)</f>
        <v>0</v>
      </c>
      <c r="V79" s="40">
        <f>IF(AG79="2",H79,0)</f>
        <v>0</v>
      </c>
      <c r="W79" s="40">
        <f>IF(AG79="2",I79,0)</f>
        <v>0</v>
      </c>
      <c r="X79" s="40">
        <f>IF(AG79="0",J79,0)</f>
        <v>0</v>
      </c>
      <c r="Y79" s="63"/>
      <c r="Z79" s="57">
        <f>IF(AD79=0,J79,0)</f>
        <v>0</v>
      </c>
      <c r="AA79" s="57">
        <f>IF(AD79=15,J79,0)</f>
        <v>0</v>
      </c>
      <c r="AB79" s="57">
        <f>IF(AD79=21,J79,0)</f>
        <v>0</v>
      </c>
      <c r="AD79" s="40">
        <v>21</v>
      </c>
      <c r="AE79" s="40">
        <f>G79*1</f>
        <v>0</v>
      </c>
      <c r="AF79" s="40">
        <f>G79*(1-1)</f>
        <v>0</v>
      </c>
      <c r="AG79" s="66" t="s">
        <v>132</v>
      </c>
      <c r="AM79" s="40">
        <f>F79*AE79</f>
        <v>0</v>
      </c>
      <c r="AN79" s="40">
        <f>F79*AF79</f>
        <v>0</v>
      </c>
      <c r="AO79" s="69" t="s">
        <v>455</v>
      </c>
      <c r="AP79" s="69" t="s">
        <v>475</v>
      </c>
      <c r="AQ79" s="63" t="s">
        <v>479</v>
      </c>
      <c r="AS79" s="40">
        <f>AM79+AN79</f>
        <v>0</v>
      </c>
      <c r="AT79" s="40">
        <f>G79/(100-AU79)*100</f>
        <v>0</v>
      </c>
      <c r="AU79" s="40">
        <v>0</v>
      </c>
      <c r="AV79" s="40">
        <f>L79</f>
        <v>0.00919</v>
      </c>
    </row>
    <row r="80" ht="12.75">
      <c r="D80" s="55" t="s">
        <v>363</v>
      </c>
    </row>
    <row r="81" spans="1:48" ht="12.75">
      <c r="A81" s="48" t="s">
        <v>163</v>
      </c>
      <c r="B81" s="48"/>
      <c r="C81" s="48" t="s">
        <v>255</v>
      </c>
      <c r="D81" s="48" t="s">
        <v>364</v>
      </c>
      <c r="E81" s="48" t="s">
        <v>428</v>
      </c>
      <c r="F81" s="57">
        <v>2</v>
      </c>
      <c r="G81" s="57">
        <v>0</v>
      </c>
      <c r="H81" s="57">
        <f>F81*AE81</f>
        <v>0</v>
      </c>
      <c r="I81" s="57">
        <f>J81-H81</f>
        <v>0</v>
      </c>
      <c r="J81" s="57">
        <f>F81*G81</f>
        <v>0</v>
      </c>
      <c r="K81" s="57">
        <v>0.00919</v>
      </c>
      <c r="L81" s="57">
        <f>F81*K81</f>
        <v>0.01838</v>
      </c>
      <c r="M81" s="66" t="s">
        <v>438</v>
      </c>
      <c r="P81" s="40">
        <f>IF(AG81="5",J81,0)</f>
        <v>0</v>
      </c>
      <c r="R81" s="40">
        <f>IF(AG81="1",H81,0)</f>
        <v>0</v>
      </c>
      <c r="S81" s="40">
        <f>IF(AG81="1",I81,0)</f>
        <v>0</v>
      </c>
      <c r="T81" s="40">
        <f>IF(AG81="7",H81,0)</f>
        <v>0</v>
      </c>
      <c r="U81" s="40">
        <f>IF(AG81="7",I81,0)</f>
        <v>0</v>
      </c>
      <c r="V81" s="40">
        <f>IF(AG81="2",H81,0)</f>
        <v>0</v>
      </c>
      <c r="W81" s="40">
        <f>IF(AG81="2",I81,0)</f>
        <v>0</v>
      </c>
      <c r="X81" s="40">
        <f>IF(AG81="0",J81,0)</f>
        <v>0</v>
      </c>
      <c r="Y81" s="63"/>
      <c r="Z81" s="57">
        <f>IF(AD81=0,J81,0)</f>
        <v>0</v>
      </c>
      <c r="AA81" s="57">
        <f>IF(AD81=15,J81,0)</f>
        <v>0</v>
      </c>
      <c r="AB81" s="57">
        <f>IF(AD81=21,J81,0)</f>
        <v>0</v>
      </c>
      <c r="AD81" s="40">
        <v>21</v>
      </c>
      <c r="AE81" s="40">
        <f>G81*0.15</f>
        <v>0</v>
      </c>
      <c r="AF81" s="40">
        <f>G81*(1-0.15)</f>
        <v>0</v>
      </c>
      <c r="AG81" s="66" t="s">
        <v>132</v>
      </c>
      <c r="AM81" s="40">
        <f>F81*AE81</f>
        <v>0</v>
      </c>
      <c r="AN81" s="40">
        <f>F81*AF81</f>
        <v>0</v>
      </c>
      <c r="AO81" s="69" t="s">
        <v>455</v>
      </c>
      <c r="AP81" s="69" t="s">
        <v>475</v>
      </c>
      <c r="AQ81" s="63" t="s">
        <v>479</v>
      </c>
      <c r="AS81" s="40">
        <f>AM81+AN81</f>
        <v>0</v>
      </c>
      <c r="AT81" s="40">
        <f>G81/(100-AU81)*100</f>
        <v>0</v>
      </c>
      <c r="AU81" s="40">
        <v>0</v>
      </c>
      <c r="AV81" s="40">
        <f>L81</f>
        <v>0.01838</v>
      </c>
    </row>
    <row r="82" spans="1:37" ht="12.75">
      <c r="A82" s="47"/>
      <c r="B82" s="54"/>
      <c r="C82" s="54" t="s">
        <v>85</v>
      </c>
      <c r="D82" s="54" t="s">
        <v>108</v>
      </c>
      <c r="E82" s="47" t="s">
        <v>74</v>
      </c>
      <c r="F82" s="47" t="s">
        <v>74</v>
      </c>
      <c r="G82" s="47" t="s">
        <v>74</v>
      </c>
      <c r="H82" s="71">
        <f>SUM(H83:H85)</f>
        <v>0</v>
      </c>
      <c r="I82" s="71">
        <f>SUM(I83:I85)</f>
        <v>0</v>
      </c>
      <c r="J82" s="71">
        <f>H82+I82</f>
        <v>0</v>
      </c>
      <c r="K82" s="63"/>
      <c r="L82" s="71">
        <f>SUM(L83:L85)</f>
        <v>0.6709</v>
      </c>
      <c r="M82" s="63"/>
      <c r="Y82" s="63"/>
      <c r="AI82" s="71">
        <f>SUM(Z83:Z85)</f>
        <v>0</v>
      </c>
      <c r="AJ82" s="71">
        <f>SUM(AA83:AA85)</f>
        <v>0</v>
      </c>
      <c r="AK82" s="71">
        <f>SUM(AB83:AB85)</f>
        <v>0</v>
      </c>
    </row>
    <row r="83" spans="1:48" ht="12.75">
      <c r="A83" s="49" t="s">
        <v>164</v>
      </c>
      <c r="B83" s="49"/>
      <c r="C83" s="49" t="s">
        <v>256</v>
      </c>
      <c r="D83" s="49" t="s">
        <v>365</v>
      </c>
      <c r="E83" s="49" t="s">
        <v>425</v>
      </c>
      <c r="F83" s="58">
        <v>2</v>
      </c>
      <c r="G83" s="58">
        <v>0</v>
      </c>
      <c r="H83" s="58">
        <f>F83*AE83</f>
        <v>0</v>
      </c>
      <c r="I83" s="58">
        <f>J83-H83</f>
        <v>0</v>
      </c>
      <c r="J83" s="58">
        <f>F83*G83</f>
        <v>0</v>
      </c>
      <c r="K83" s="58">
        <v>0.0105</v>
      </c>
      <c r="L83" s="58">
        <f>F83*K83</f>
        <v>0.021</v>
      </c>
      <c r="M83" s="67" t="s">
        <v>438</v>
      </c>
      <c r="P83" s="40">
        <f>IF(AG83="5",J83,0)</f>
        <v>0</v>
      </c>
      <c r="R83" s="40">
        <f>IF(AG83="1",H83,0)</f>
        <v>0</v>
      </c>
      <c r="S83" s="40">
        <f>IF(AG83="1",I83,0)</f>
        <v>0</v>
      </c>
      <c r="T83" s="40">
        <f>IF(AG83="7",H83,0)</f>
        <v>0</v>
      </c>
      <c r="U83" s="40">
        <f>IF(AG83="7",I83,0)</f>
        <v>0</v>
      </c>
      <c r="V83" s="40">
        <f>IF(AG83="2",H83,0)</f>
        <v>0</v>
      </c>
      <c r="W83" s="40">
        <f>IF(AG83="2",I83,0)</f>
        <v>0</v>
      </c>
      <c r="X83" s="40">
        <f>IF(AG83="0",J83,0)</f>
        <v>0</v>
      </c>
      <c r="Y83" s="63"/>
      <c r="Z83" s="58">
        <f>IF(AD83=0,J83,0)</f>
        <v>0</v>
      </c>
      <c r="AA83" s="58">
        <f>IF(AD83=15,J83,0)</f>
        <v>0</v>
      </c>
      <c r="AB83" s="58">
        <f>IF(AD83=21,J83,0)</f>
        <v>0</v>
      </c>
      <c r="AD83" s="40">
        <v>21</v>
      </c>
      <c r="AE83" s="40">
        <f>G83*1</f>
        <v>0</v>
      </c>
      <c r="AF83" s="40">
        <f>G83*(1-1)</f>
        <v>0</v>
      </c>
      <c r="AG83" s="67" t="s">
        <v>132</v>
      </c>
      <c r="AM83" s="40">
        <f>F83*AE83</f>
        <v>0</v>
      </c>
      <c r="AN83" s="40">
        <f>F83*AF83</f>
        <v>0</v>
      </c>
      <c r="AO83" s="69" t="s">
        <v>456</v>
      </c>
      <c r="AP83" s="69" t="s">
        <v>475</v>
      </c>
      <c r="AQ83" s="63" t="s">
        <v>479</v>
      </c>
      <c r="AS83" s="40">
        <f>AM83+AN83</f>
        <v>0</v>
      </c>
      <c r="AT83" s="40">
        <f>G83/(100-AU83)*100</f>
        <v>0</v>
      </c>
      <c r="AU83" s="40">
        <v>0</v>
      </c>
      <c r="AV83" s="40">
        <f>L83</f>
        <v>0.021</v>
      </c>
    </row>
    <row r="84" spans="1:48" ht="12.75">
      <c r="A84" s="48" t="s">
        <v>165</v>
      </c>
      <c r="B84" s="48"/>
      <c r="C84" s="48" t="s">
        <v>257</v>
      </c>
      <c r="D84" s="48" t="s">
        <v>366</v>
      </c>
      <c r="E84" s="48" t="s">
        <v>428</v>
      </c>
      <c r="F84" s="57">
        <v>2</v>
      </c>
      <c r="G84" s="57">
        <v>0</v>
      </c>
      <c r="H84" s="57">
        <f>F84*AE84</f>
        <v>0</v>
      </c>
      <c r="I84" s="57">
        <f>J84-H84</f>
        <v>0</v>
      </c>
      <c r="J84" s="57">
        <f>F84*G84</f>
        <v>0</v>
      </c>
      <c r="K84" s="57">
        <v>0.00035</v>
      </c>
      <c r="L84" s="57">
        <f>F84*K84</f>
        <v>0.0007</v>
      </c>
      <c r="M84" s="66" t="s">
        <v>438</v>
      </c>
      <c r="P84" s="40">
        <f>IF(AG84="5",J84,0)</f>
        <v>0</v>
      </c>
      <c r="R84" s="40">
        <f>IF(AG84="1",H84,0)</f>
        <v>0</v>
      </c>
      <c r="S84" s="40">
        <f>IF(AG84="1",I84,0)</f>
        <v>0</v>
      </c>
      <c r="T84" s="40">
        <f>IF(AG84="7",H84,0)</f>
        <v>0</v>
      </c>
      <c r="U84" s="40">
        <f>IF(AG84="7",I84,0)</f>
        <v>0</v>
      </c>
      <c r="V84" s="40">
        <f>IF(AG84="2",H84,0)</f>
        <v>0</v>
      </c>
      <c r="W84" s="40">
        <f>IF(AG84="2",I84,0)</f>
        <v>0</v>
      </c>
      <c r="X84" s="40">
        <f>IF(AG84="0",J84,0)</f>
        <v>0</v>
      </c>
      <c r="Y84" s="63"/>
      <c r="Z84" s="57">
        <f>IF(AD84=0,J84,0)</f>
        <v>0</v>
      </c>
      <c r="AA84" s="57">
        <f>IF(AD84=15,J84,0)</f>
        <v>0</v>
      </c>
      <c r="AB84" s="57">
        <f>IF(AD84=21,J84,0)</f>
        <v>0</v>
      </c>
      <c r="AD84" s="40">
        <v>21</v>
      </c>
      <c r="AE84" s="40">
        <f>G84*0.382655699177438</f>
        <v>0</v>
      </c>
      <c r="AF84" s="40">
        <f>G84*(1-0.382655699177438)</f>
        <v>0</v>
      </c>
      <c r="AG84" s="66" t="s">
        <v>132</v>
      </c>
      <c r="AM84" s="40">
        <f>F84*AE84</f>
        <v>0</v>
      </c>
      <c r="AN84" s="40">
        <f>F84*AF84</f>
        <v>0</v>
      </c>
      <c r="AO84" s="69" t="s">
        <v>456</v>
      </c>
      <c r="AP84" s="69" t="s">
        <v>475</v>
      </c>
      <c r="AQ84" s="63" t="s">
        <v>479</v>
      </c>
      <c r="AS84" s="40">
        <f>AM84+AN84</f>
        <v>0</v>
      </c>
      <c r="AT84" s="40">
        <f>G84/(100-AU84)*100</f>
        <v>0</v>
      </c>
      <c r="AU84" s="40">
        <v>0</v>
      </c>
      <c r="AV84" s="40">
        <f>L84</f>
        <v>0.0007</v>
      </c>
    </row>
    <row r="85" spans="1:48" ht="12.75">
      <c r="A85" s="48" t="s">
        <v>166</v>
      </c>
      <c r="B85" s="48"/>
      <c r="C85" s="48" t="s">
        <v>258</v>
      </c>
      <c r="D85" s="48" t="s">
        <v>367</v>
      </c>
      <c r="E85" s="48" t="s">
        <v>428</v>
      </c>
      <c r="F85" s="57">
        <v>2</v>
      </c>
      <c r="G85" s="57">
        <v>0</v>
      </c>
      <c r="H85" s="57">
        <f>F85*AE85</f>
        <v>0</v>
      </c>
      <c r="I85" s="57">
        <f>J85-H85</f>
        <v>0</v>
      </c>
      <c r="J85" s="57">
        <f>F85*G85</f>
        <v>0</v>
      </c>
      <c r="K85" s="57">
        <v>0.3246</v>
      </c>
      <c r="L85" s="57">
        <f>F85*K85</f>
        <v>0.6492</v>
      </c>
      <c r="M85" s="66" t="s">
        <v>438</v>
      </c>
      <c r="P85" s="40">
        <f>IF(AG85="5",J85,0)</f>
        <v>0</v>
      </c>
      <c r="R85" s="40">
        <f>IF(AG85="1",H85,0)</f>
        <v>0</v>
      </c>
      <c r="S85" s="40">
        <f>IF(AG85="1",I85,0)</f>
        <v>0</v>
      </c>
      <c r="T85" s="40">
        <f>IF(AG85="7",H85,0)</f>
        <v>0</v>
      </c>
      <c r="U85" s="40">
        <f>IF(AG85="7",I85,0)</f>
        <v>0</v>
      </c>
      <c r="V85" s="40">
        <f>IF(AG85="2",H85,0)</f>
        <v>0</v>
      </c>
      <c r="W85" s="40">
        <f>IF(AG85="2",I85,0)</f>
        <v>0</v>
      </c>
      <c r="X85" s="40">
        <f>IF(AG85="0",J85,0)</f>
        <v>0</v>
      </c>
      <c r="Y85" s="63"/>
      <c r="Z85" s="57">
        <f>IF(AD85=0,J85,0)</f>
        <v>0</v>
      </c>
      <c r="AA85" s="57">
        <f>IF(AD85=15,J85,0)</f>
        <v>0</v>
      </c>
      <c r="AB85" s="57">
        <f>IF(AD85=21,J85,0)</f>
        <v>0</v>
      </c>
      <c r="AD85" s="40">
        <v>21</v>
      </c>
      <c r="AE85" s="40">
        <f>G85*0.945276640926641</f>
        <v>0</v>
      </c>
      <c r="AF85" s="40">
        <f>G85*(1-0.945276640926641)</f>
        <v>0</v>
      </c>
      <c r="AG85" s="66" t="s">
        <v>132</v>
      </c>
      <c r="AM85" s="40">
        <f>F85*AE85</f>
        <v>0</v>
      </c>
      <c r="AN85" s="40">
        <f>F85*AF85</f>
        <v>0</v>
      </c>
      <c r="AO85" s="69" t="s">
        <v>456</v>
      </c>
      <c r="AP85" s="69" t="s">
        <v>475</v>
      </c>
      <c r="AQ85" s="63" t="s">
        <v>479</v>
      </c>
      <c r="AS85" s="40">
        <f>AM85+AN85</f>
        <v>0</v>
      </c>
      <c r="AT85" s="40">
        <f>G85/(100-AU85)*100</f>
        <v>0</v>
      </c>
      <c r="AU85" s="40">
        <v>0</v>
      </c>
      <c r="AV85" s="40">
        <f>L85</f>
        <v>0.6492</v>
      </c>
    </row>
    <row r="86" spans="1:37" ht="12.75">
      <c r="A86" s="47"/>
      <c r="B86" s="54"/>
      <c r="C86" s="54" t="s">
        <v>86</v>
      </c>
      <c r="D86" s="54" t="s">
        <v>109</v>
      </c>
      <c r="E86" s="47" t="s">
        <v>74</v>
      </c>
      <c r="F86" s="47" t="s">
        <v>74</v>
      </c>
      <c r="G86" s="47" t="s">
        <v>74</v>
      </c>
      <c r="H86" s="71">
        <f>SUM(H87:H105)</f>
        <v>0</v>
      </c>
      <c r="I86" s="71">
        <f>SUM(I87:I105)</f>
        <v>0</v>
      </c>
      <c r="J86" s="71">
        <f>H86+I86</f>
        <v>0</v>
      </c>
      <c r="K86" s="63"/>
      <c r="L86" s="71">
        <f>SUM(L87:L105)</f>
        <v>1.7951399999999995</v>
      </c>
      <c r="M86" s="63"/>
      <c r="Y86" s="63"/>
      <c r="AI86" s="71">
        <f>SUM(Z87:Z105)</f>
        <v>0</v>
      </c>
      <c r="AJ86" s="71">
        <f>SUM(AA87:AA105)</f>
        <v>0</v>
      </c>
      <c r="AK86" s="71">
        <f>SUM(AB87:AB105)</f>
        <v>0</v>
      </c>
    </row>
    <row r="87" spans="1:48" ht="12.75">
      <c r="A87" s="48" t="s">
        <v>167</v>
      </c>
      <c r="B87" s="48"/>
      <c r="C87" s="48" t="s">
        <v>259</v>
      </c>
      <c r="D87" s="48" t="s">
        <v>368</v>
      </c>
      <c r="E87" s="48" t="s">
        <v>426</v>
      </c>
      <c r="F87" s="57">
        <v>16</v>
      </c>
      <c r="G87" s="57">
        <v>0</v>
      </c>
      <c r="H87" s="57">
        <f aca="true" t="shared" si="40" ref="H87:H93">F87*AE87</f>
        <v>0</v>
      </c>
      <c r="I87" s="57">
        <f aca="true" t="shared" si="41" ref="I87:I93">J87-H87</f>
        <v>0</v>
      </c>
      <c r="J87" s="57">
        <f aca="true" t="shared" si="42" ref="J87:J93">F87*G87</f>
        <v>0</v>
      </c>
      <c r="K87" s="57">
        <v>0.00566</v>
      </c>
      <c r="L87" s="57">
        <f aca="true" t="shared" si="43" ref="L87:L93">F87*K87</f>
        <v>0.09056</v>
      </c>
      <c r="M87" s="66" t="s">
        <v>438</v>
      </c>
      <c r="P87" s="40">
        <f aca="true" t="shared" si="44" ref="P87:P93">IF(AG87="5",J87,0)</f>
        <v>0</v>
      </c>
      <c r="R87" s="40">
        <f aca="true" t="shared" si="45" ref="R87:R93">IF(AG87="1",H87,0)</f>
        <v>0</v>
      </c>
      <c r="S87" s="40">
        <f aca="true" t="shared" si="46" ref="S87:S93">IF(AG87="1",I87,0)</f>
        <v>0</v>
      </c>
      <c r="T87" s="40">
        <f aca="true" t="shared" si="47" ref="T87:T93">IF(AG87="7",H87,0)</f>
        <v>0</v>
      </c>
      <c r="U87" s="40">
        <f aca="true" t="shared" si="48" ref="U87:U93">IF(AG87="7",I87,0)</f>
        <v>0</v>
      </c>
      <c r="V87" s="40">
        <f aca="true" t="shared" si="49" ref="V87:V93">IF(AG87="2",H87,0)</f>
        <v>0</v>
      </c>
      <c r="W87" s="40">
        <f aca="true" t="shared" si="50" ref="W87:W93">IF(AG87="2",I87,0)</f>
        <v>0</v>
      </c>
      <c r="X87" s="40">
        <f aca="true" t="shared" si="51" ref="X87:X93">IF(AG87="0",J87,0)</f>
        <v>0</v>
      </c>
      <c r="Y87" s="63"/>
      <c r="Z87" s="57">
        <f aca="true" t="shared" si="52" ref="Z87:Z93">IF(AD87=0,J87,0)</f>
        <v>0</v>
      </c>
      <c r="AA87" s="57">
        <f aca="true" t="shared" si="53" ref="AA87:AA93">IF(AD87=15,J87,0)</f>
        <v>0</v>
      </c>
      <c r="AB87" s="57">
        <f aca="true" t="shared" si="54" ref="AB87:AB93">IF(AD87=21,J87,0)</f>
        <v>0</v>
      </c>
      <c r="AD87" s="40">
        <v>21</v>
      </c>
      <c r="AE87" s="40">
        <f>G87*0.415779483370471</f>
        <v>0</v>
      </c>
      <c r="AF87" s="40">
        <f>G87*(1-0.415779483370471)</f>
        <v>0</v>
      </c>
      <c r="AG87" s="66" t="s">
        <v>132</v>
      </c>
      <c r="AM87" s="40">
        <f aca="true" t="shared" si="55" ref="AM87:AM93">F87*AE87</f>
        <v>0</v>
      </c>
      <c r="AN87" s="40">
        <f aca="true" t="shared" si="56" ref="AN87:AN93">F87*AF87</f>
        <v>0</v>
      </c>
      <c r="AO87" s="69" t="s">
        <v>457</v>
      </c>
      <c r="AP87" s="69" t="s">
        <v>475</v>
      </c>
      <c r="AQ87" s="63" t="s">
        <v>479</v>
      </c>
      <c r="AS87" s="40">
        <f aca="true" t="shared" si="57" ref="AS87:AS93">AM87+AN87</f>
        <v>0</v>
      </c>
      <c r="AT87" s="40">
        <f aca="true" t="shared" si="58" ref="AT87:AT93">G87/(100-AU87)*100</f>
        <v>0</v>
      </c>
      <c r="AU87" s="40">
        <v>0</v>
      </c>
      <c r="AV87" s="40">
        <f aca="true" t="shared" si="59" ref="AV87:AV93">L87</f>
        <v>0.09056</v>
      </c>
    </row>
    <row r="88" spans="1:48" ht="12.75">
      <c r="A88" s="48" t="s">
        <v>168</v>
      </c>
      <c r="B88" s="48"/>
      <c r="C88" s="48" t="s">
        <v>260</v>
      </c>
      <c r="D88" s="48" t="s">
        <v>369</v>
      </c>
      <c r="E88" s="48" t="s">
        <v>426</v>
      </c>
      <c r="F88" s="57">
        <v>32</v>
      </c>
      <c r="G88" s="57">
        <v>0</v>
      </c>
      <c r="H88" s="57">
        <f t="shared" si="40"/>
        <v>0</v>
      </c>
      <c r="I88" s="57">
        <f t="shared" si="41"/>
        <v>0</v>
      </c>
      <c r="J88" s="57">
        <f t="shared" si="42"/>
        <v>0</v>
      </c>
      <c r="K88" s="57">
        <v>0.01714</v>
      </c>
      <c r="L88" s="57">
        <f t="shared" si="43"/>
        <v>0.54848</v>
      </c>
      <c r="M88" s="66" t="s">
        <v>438</v>
      </c>
      <c r="P88" s="40">
        <f t="shared" si="44"/>
        <v>0</v>
      </c>
      <c r="R88" s="40">
        <f t="shared" si="45"/>
        <v>0</v>
      </c>
      <c r="S88" s="40">
        <f t="shared" si="46"/>
        <v>0</v>
      </c>
      <c r="T88" s="40">
        <f t="shared" si="47"/>
        <v>0</v>
      </c>
      <c r="U88" s="40">
        <f t="shared" si="48"/>
        <v>0</v>
      </c>
      <c r="V88" s="40">
        <f t="shared" si="49"/>
        <v>0</v>
      </c>
      <c r="W88" s="40">
        <f t="shared" si="50"/>
        <v>0</v>
      </c>
      <c r="X88" s="40">
        <f t="shared" si="51"/>
        <v>0</v>
      </c>
      <c r="Y88" s="63"/>
      <c r="Z88" s="57">
        <f t="shared" si="52"/>
        <v>0</v>
      </c>
      <c r="AA88" s="57">
        <f t="shared" si="53"/>
        <v>0</v>
      </c>
      <c r="AB88" s="57">
        <f t="shared" si="54"/>
        <v>0</v>
      </c>
      <c r="AD88" s="40">
        <v>21</v>
      </c>
      <c r="AE88" s="40">
        <f>G88*0.651414602346806</f>
        <v>0</v>
      </c>
      <c r="AF88" s="40">
        <f>G88*(1-0.651414602346806)</f>
        <v>0</v>
      </c>
      <c r="AG88" s="66" t="s">
        <v>132</v>
      </c>
      <c r="AM88" s="40">
        <f t="shared" si="55"/>
        <v>0</v>
      </c>
      <c r="AN88" s="40">
        <f t="shared" si="56"/>
        <v>0</v>
      </c>
      <c r="AO88" s="69" t="s">
        <v>457</v>
      </c>
      <c r="AP88" s="69" t="s">
        <v>475</v>
      </c>
      <c r="AQ88" s="63" t="s">
        <v>479</v>
      </c>
      <c r="AS88" s="40">
        <f t="shared" si="57"/>
        <v>0</v>
      </c>
      <c r="AT88" s="40">
        <f t="shared" si="58"/>
        <v>0</v>
      </c>
      <c r="AU88" s="40">
        <v>0</v>
      </c>
      <c r="AV88" s="40">
        <f t="shared" si="59"/>
        <v>0.54848</v>
      </c>
    </row>
    <row r="89" spans="1:48" ht="12.75">
      <c r="A89" s="48" t="s">
        <v>169</v>
      </c>
      <c r="B89" s="48"/>
      <c r="C89" s="48" t="s">
        <v>261</v>
      </c>
      <c r="D89" s="48" t="s">
        <v>370</v>
      </c>
      <c r="E89" s="48" t="s">
        <v>426</v>
      </c>
      <c r="F89" s="57">
        <v>46</v>
      </c>
      <c r="G89" s="57">
        <v>0</v>
      </c>
      <c r="H89" s="57">
        <f t="shared" si="40"/>
        <v>0</v>
      </c>
      <c r="I89" s="57">
        <f t="shared" si="41"/>
        <v>0</v>
      </c>
      <c r="J89" s="57">
        <f t="shared" si="42"/>
        <v>0</v>
      </c>
      <c r="K89" s="57">
        <v>0.02175</v>
      </c>
      <c r="L89" s="57">
        <f t="shared" si="43"/>
        <v>1.0005</v>
      </c>
      <c r="M89" s="66" t="s">
        <v>438</v>
      </c>
      <c r="P89" s="40">
        <f t="shared" si="44"/>
        <v>0</v>
      </c>
      <c r="R89" s="40">
        <f t="shared" si="45"/>
        <v>0</v>
      </c>
      <c r="S89" s="40">
        <f t="shared" si="46"/>
        <v>0</v>
      </c>
      <c r="T89" s="40">
        <f t="shared" si="47"/>
        <v>0</v>
      </c>
      <c r="U89" s="40">
        <f t="shared" si="48"/>
        <v>0</v>
      </c>
      <c r="V89" s="40">
        <f t="shared" si="49"/>
        <v>0</v>
      </c>
      <c r="W89" s="40">
        <f t="shared" si="50"/>
        <v>0</v>
      </c>
      <c r="X89" s="40">
        <f t="shared" si="51"/>
        <v>0</v>
      </c>
      <c r="Y89" s="63"/>
      <c r="Z89" s="57">
        <f t="shared" si="52"/>
        <v>0</v>
      </c>
      <c r="AA89" s="57">
        <f t="shared" si="53"/>
        <v>0</v>
      </c>
      <c r="AB89" s="57">
        <f t="shared" si="54"/>
        <v>0</v>
      </c>
      <c r="AD89" s="40">
        <v>21</v>
      </c>
      <c r="AE89" s="40">
        <f>G89*0.686296296296296</f>
        <v>0</v>
      </c>
      <c r="AF89" s="40">
        <f>G89*(1-0.686296296296296)</f>
        <v>0</v>
      </c>
      <c r="AG89" s="66" t="s">
        <v>132</v>
      </c>
      <c r="AM89" s="40">
        <f t="shared" si="55"/>
        <v>0</v>
      </c>
      <c r="AN89" s="40">
        <f t="shared" si="56"/>
        <v>0</v>
      </c>
      <c r="AO89" s="69" t="s">
        <v>457</v>
      </c>
      <c r="AP89" s="69" t="s">
        <v>475</v>
      </c>
      <c r="AQ89" s="63" t="s">
        <v>479</v>
      </c>
      <c r="AS89" s="40">
        <f t="shared" si="57"/>
        <v>0</v>
      </c>
      <c r="AT89" s="40">
        <f t="shared" si="58"/>
        <v>0</v>
      </c>
      <c r="AU89" s="40">
        <v>0</v>
      </c>
      <c r="AV89" s="40">
        <f t="shared" si="59"/>
        <v>1.0005</v>
      </c>
    </row>
    <row r="90" spans="1:48" ht="12.75">
      <c r="A90" s="49" t="s">
        <v>170</v>
      </c>
      <c r="B90" s="49"/>
      <c r="C90" s="49" t="s">
        <v>262</v>
      </c>
      <c r="D90" s="49" t="s">
        <v>371</v>
      </c>
      <c r="E90" s="49" t="s">
        <v>426</v>
      </c>
      <c r="F90" s="58">
        <v>46</v>
      </c>
      <c r="G90" s="58">
        <v>0</v>
      </c>
      <c r="H90" s="58">
        <f t="shared" si="40"/>
        <v>0</v>
      </c>
      <c r="I90" s="58">
        <f t="shared" si="41"/>
        <v>0</v>
      </c>
      <c r="J90" s="58">
        <f t="shared" si="42"/>
        <v>0</v>
      </c>
      <c r="K90" s="58">
        <v>0.00204</v>
      </c>
      <c r="L90" s="58">
        <f t="shared" si="43"/>
        <v>0.09384</v>
      </c>
      <c r="M90" s="67" t="s">
        <v>438</v>
      </c>
      <c r="P90" s="40">
        <f t="shared" si="44"/>
        <v>0</v>
      </c>
      <c r="R90" s="40">
        <f t="shared" si="45"/>
        <v>0</v>
      </c>
      <c r="S90" s="40">
        <f t="shared" si="46"/>
        <v>0</v>
      </c>
      <c r="T90" s="40">
        <f t="shared" si="47"/>
        <v>0</v>
      </c>
      <c r="U90" s="40">
        <f t="shared" si="48"/>
        <v>0</v>
      </c>
      <c r="V90" s="40">
        <f t="shared" si="49"/>
        <v>0</v>
      </c>
      <c r="W90" s="40">
        <f t="shared" si="50"/>
        <v>0</v>
      </c>
      <c r="X90" s="40">
        <f t="shared" si="51"/>
        <v>0</v>
      </c>
      <c r="Y90" s="63"/>
      <c r="Z90" s="58">
        <f t="shared" si="52"/>
        <v>0</v>
      </c>
      <c r="AA90" s="58">
        <f t="shared" si="53"/>
        <v>0</v>
      </c>
      <c r="AB90" s="58">
        <f t="shared" si="54"/>
        <v>0</v>
      </c>
      <c r="AD90" s="40">
        <v>21</v>
      </c>
      <c r="AE90" s="40">
        <f>G90*1</f>
        <v>0</v>
      </c>
      <c r="AF90" s="40">
        <f>G90*(1-1)</f>
        <v>0</v>
      </c>
      <c r="AG90" s="67" t="s">
        <v>132</v>
      </c>
      <c r="AM90" s="40">
        <f t="shared" si="55"/>
        <v>0</v>
      </c>
      <c r="AN90" s="40">
        <f t="shared" si="56"/>
        <v>0</v>
      </c>
      <c r="AO90" s="69" t="s">
        <v>457</v>
      </c>
      <c r="AP90" s="69" t="s">
        <v>475</v>
      </c>
      <c r="AQ90" s="63" t="s">
        <v>479</v>
      </c>
      <c r="AS90" s="40">
        <f t="shared" si="57"/>
        <v>0</v>
      </c>
      <c r="AT90" s="40">
        <f t="shared" si="58"/>
        <v>0</v>
      </c>
      <c r="AU90" s="40">
        <v>0</v>
      </c>
      <c r="AV90" s="40">
        <f t="shared" si="59"/>
        <v>0.09384</v>
      </c>
    </row>
    <row r="91" spans="1:48" ht="12.75">
      <c r="A91" s="49" t="s">
        <v>171</v>
      </c>
      <c r="B91" s="49"/>
      <c r="C91" s="49" t="s">
        <v>263</v>
      </c>
      <c r="D91" s="49" t="s">
        <v>372</v>
      </c>
      <c r="E91" s="49" t="s">
        <v>426</v>
      </c>
      <c r="F91" s="58">
        <v>32</v>
      </c>
      <c r="G91" s="58">
        <v>0</v>
      </c>
      <c r="H91" s="58">
        <f t="shared" si="40"/>
        <v>0</v>
      </c>
      <c r="I91" s="58">
        <f t="shared" si="41"/>
        <v>0</v>
      </c>
      <c r="J91" s="58">
        <f t="shared" si="42"/>
        <v>0</v>
      </c>
      <c r="K91" s="58">
        <v>0.00176</v>
      </c>
      <c r="L91" s="58">
        <f t="shared" si="43"/>
        <v>0.05632</v>
      </c>
      <c r="M91" s="67" t="s">
        <v>438</v>
      </c>
      <c r="P91" s="40">
        <f t="shared" si="44"/>
        <v>0</v>
      </c>
      <c r="R91" s="40">
        <f t="shared" si="45"/>
        <v>0</v>
      </c>
      <c r="S91" s="40">
        <f t="shared" si="46"/>
        <v>0</v>
      </c>
      <c r="T91" s="40">
        <f t="shared" si="47"/>
        <v>0</v>
      </c>
      <c r="U91" s="40">
        <f t="shared" si="48"/>
        <v>0</v>
      </c>
      <c r="V91" s="40">
        <f t="shared" si="49"/>
        <v>0</v>
      </c>
      <c r="W91" s="40">
        <f t="shared" si="50"/>
        <v>0</v>
      </c>
      <c r="X91" s="40">
        <f t="shared" si="51"/>
        <v>0</v>
      </c>
      <c r="Y91" s="63"/>
      <c r="Z91" s="58">
        <f t="shared" si="52"/>
        <v>0</v>
      </c>
      <c r="AA91" s="58">
        <f t="shared" si="53"/>
        <v>0</v>
      </c>
      <c r="AB91" s="58">
        <f t="shared" si="54"/>
        <v>0</v>
      </c>
      <c r="AD91" s="40">
        <v>21</v>
      </c>
      <c r="AE91" s="40">
        <f>G91*1</f>
        <v>0</v>
      </c>
      <c r="AF91" s="40">
        <f>G91*(1-1)</f>
        <v>0</v>
      </c>
      <c r="AG91" s="67" t="s">
        <v>132</v>
      </c>
      <c r="AM91" s="40">
        <f t="shared" si="55"/>
        <v>0</v>
      </c>
      <c r="AN91" s="40">
        <f t="shared" si="56"/>
        <v>0</v>
      </c>
      <c r="AO91" s="69" t="s">
        <v>457</v>
      </c>
      <c r="AP91" s="69" t="s">
        <v>475</v>
      </c>
      <c r="AQ91" s="63" t="s">
        <v>479</v>
      </c>
      <c r="AS91" s="40">
        <f t="shared" si="57"/>
        <v>0</v>
      </c>
      <c r="AT91" s="40">
        <f t="shared" si="58"/>
        <v>0</v>
      </c>
      <c r="AU91" s="40">
        <v>0</v>
      </c>
      <c r="AV91" s="40">
        <f t="shared" si="59"/>
        <v>0.05632</v>
      </c>
    </row>
    <row r="92" spans="1:48" ht="12.75">
      <c r="A92" s="49" t="s">
        <v>172</v>
      </c>
      <c r="B92" s="49"/>
      <c r="C92" s="49" t="s">
        <v>264</v>
      </c>
      <c r="D92" s="49" t="s">
        <v>373</v>
      </c>
      <c r="E92" s="49" t="s">
        <v>426</v>
      </c>
      <c r="F92" s="58">
        <v>16</v>
      </c>
      <c r="G92" s="58">
        <v>0</v>
      </c>
      <c r="H92" s="58">
        <f t="shared" si="40"/>
        <v>0</v>
      </c>
      <c r="I92" s="58">
        <f t="shared" si="41"/>
        <v>0</v>
      </c>
      <c r="J92" s="58">
        <f t="shared" si="42"/>
        <v>0</v>
      </c>
      <c r="K92" s="58">
        <v>0.00034</v>
      </c>
      <c r="L92" s="58">
        <f t="shared" si="43"/>
        <v>0.00544</v>
      </c>
      <c r="M92" s="67" t="s">
        <v>438</v>
      </c>
      <c r="P92" s="40">
        <f t="shared" si="44"/>
        <v>0</v>
      </c>
      <c r="R92" s="40">
        <f t="shared" si="45"/>
        <v>0</v>
      </c>
      <c r="S92" s="40">
        <f t="shared" si="46"/>
        <v>0</v>
      </c>
      <c r="T92" s="40">
        <f t="shared" si="47"/>
        <v>0</v>
      </c>
      <c r="U92" s="40">
        <f t="shared" si="48"/>
        <v>0</v>
      </c>
      <c r="V92" s="40">
        <f t="shared" si="49"/>
        <v>0</v>
      </c>
      <c r="W92" s="40">
        <f t="shared" si="50"/>
        <v>0</v>
      </c>
      <c r="X92" s="40">
        <f t="shared" si="51"/>
        <v>0</v>
      </c>
      <c r="Y92" s="63"/>
      <c r="Z92" s="58">
        <f t="shared" si="52"/>
        <v>0</v>
      </c>
      <c r="AA92" s="58">
        <f t="shared" si="53"/>
        <v>0</v>
      </c>
      <c r="AB92" s="58">
        <f t="shared" si="54"/>
        <v>0</v>
      </c>
      <c r="AD92" s="40">
        <v>21</v>
      </c>
      <c r="AE92" s="40">
        <f>G92*1</f>
        <v>0</v>
      </c>
      <c r="AF92" s="40">
        <f>G92*(1-1)</f>
        <v>0</v>
      </c>
      <c r="AG92" s="67" t="s">
        <v>132</v>
      </c>
      <c r="AM92" s="40">
        <f t="shared" si="55"/>
        <v>0</v>
      </c>
      <c r="AN92" s="40">
        <f t="shared" si="56"/>
        <v>0</v>
      </c>
      <c r="AO92" s="69" t="s">
        <v>457</v>
      </c>
      <c r="AP92" s="69" t="s">
        <v>475</v>
      </c>
      <c r="AQ92" s="63" t="s">
        <v>479</v>
      </c>
      <c r="AS92" s="40">
        <f t="shared" si="57"/>
        <v>0</v>
      </c>
      <c r="AT92" s="40">
        <f t="shared" si="58"/>
        <v>0</v>
      </c>
      <c r="AU92" s="40">
        <v>0</v>
      </c>
      <c r="AV92" s="40">
        <f t="shared" si="59"/>
        <v>0.00544</v>
      </c>
    </row>
    <row r="93" spans="1:48" ht="12.75">
      <c r="A93" s="48" t="s">
        <v>173</v>
      </c>
      <c r="B93" s="48"/>
      <c r="C93" s="48" t="s">
        <v>265</v>
      </c>
      <c r="D93" s="48" t="s">
        <v>374</v>
      </c>
      <c r="E93" s="48" t="s">
        <v>426</v>
      </c>
      <c r="F93" s="57">
        <v>16</v>
      </c>
      <c r="G93" s="57">
        <v>0</v>
      </c>
      <c r="H93" s="57">
        <f t="shared" si="40"/>
        <v>0</v>
      </c>
      <c r="I93" s="57">
        <f t="shared" si="41"/>
        <v>0</v>
      </c>
      <c r="J93" s="57">
        <f t="shared" si="42"/>
        <v>0</v>
      </c>
      <c r="K93" s="57">
        <v>0</v>
      </c>
      <c r="L93" s="57">
        <f t="shared" si="43"/>
        <v>0</v>
      </c>
      <c r="M93" s="66" t="s">
        <v>438</v>
      </c>
      <c r="P93" s="40">
        <f t="shared" si="44"/>
        <v>0</v>
      </c>
      <c r="R93" s="40">
        <f t="shared" si="45"/>
        <v>0</v>
      </c>
      <c r="S93" s="40">
        <f t="shared" si="46"/>
        <v>0</v>
      </c>
      <c r="T93" s="40">
        <f t="shared" si="47"/>
        <v>0</v>
      </c>
      <c r="U93" s="40">
        <f t="shared" si="48"/>
        <v>0</v>
      </c>
      <c r="V93" s="40">
        <f t="shared" si="49"/>
        <v>0</v>
      </c>
      <c r="W93" s="40">
        <f t="shared" si="50"/>
        <v>0</v>
      </c>
      <c r="X93" s="40">
        <f t="shared" si="51"/>
        <v>0</v>
      </c>
      <c r="Y93" s="63"/>
      <c r="Z93" s="57">
        <f t="shared" si="52"/>
        <v>0</v>
      </c>
      <c r="AA93" s="57">
        <f t="shared" si="53"/>
        <v>0</v>
      </c>
      <c r="AB93" s="57">
        <f t="shared" si="54"/>
        <v>0</v>
      </c>
      <c r="AD93" s="40">
        <v>21</v>
      </c>
      <c r="AE93" s="40">
        <f>G93*0</f>
        <v>0</v>
      </c>
      <c r="AF93" s="40">
        <f>G93*(1-0)</f>
        <v>0</v>
      </c>
      <c r="AG93" s="66" t="s">
        <v>132</v>
      </c>
      <c r="AM93" s="40">
        <f t="shared" si="55"/>
        <v>0</v>
      </c>
      <c r="AN93" s="40">
        <f t="shared" si="56"/>
        <v>0</v>
      </c>
      <c r="AO93" s="69" t="s">
        <v>457</v>
      </c>
      <c r="AP93" s="69" t="s">
        <v>475</v>
      </c>
      <c r="AQ93" s="63" t="s">
        <v>479</v>
      </c>
      <c r="AS93" s="40">
        <f t="shared" si="57"/>
        <v>0</v>
      </c>
      <c r="AT93" s="40">
        <f t="shared" si="58"/>
        <v>0</v>
      </c>
      <c r="AU93" s="40">
        <v>0</v>
      </c>
      <c r="AV93" s="40">
        <f t="shared" si="59"/>
        <v>0</v>
      </c>
    </row>
    <row r="94" ht="12.75">
      <c r="D94" s="55" t="s">
        <v>375</v>
      </c>
    </row>
    <row r="95" spans="1:48" ht="12.75">
      <c r="A95" s="48" t="s">
        <v>174</v>
      </c>
      <c r="B95" s="48"/>
      <c r="C95" s="48" t="s">
        <v>266</v>
      </c>
      <c r="D95" s="48" t="s">
        <v>376</v>
      </c>
      <c r="E95" s="48" t="s">
        <v>426</v>
      </c>
      <c r="F95" s="57">
        <v>32</v>
      </c>
      <c r="G95" s="57">
        <v>0</v>
      </c>
      <c r="H95" s="57">
        <f>F95*AE95</f>
        <v>0</v>
      </c>
      <c r="I95" s="57">
        <f>J95-H95</f>
        <v>0</v>
      </c>
      <c r="J95" s="57">
        <f>F95*G95</f>
        <v>0</v>
      </c>
      <c r="K95" s="57">
        <v>0</v>
      </c>
      <c r="L95" s="57">
        <f>F95*K95</f>
        <v>0</v>
      </c>
      <c r="M95" s="66" t="s">
        <v>438</v>
      </c>
      <c r="P95" s="40">
        <f>IF(AG95="5",J95,0)</f>
        <v>0</v>
      </c>
      <c r="R95" s="40">
        <f>IF(AG95="1",H95,0)</f>
        <v>0</v>
      </c>
      <c r="S95" s="40">
        <f>IF(AG95="1",I95,0)</f>
        <v>0</v>
      </c>
      <c r="T95" s="40">
        <f>IF(AG95="7",H95,0)</f>
        <v>0</v>
      </c>
      <c r="U95" s="40">
        <f>IF(AG95="7",I95,0)</f>
        <v>0</v>
      </c>
      <c r="V95" s="40">
        <f>IF(AG95="2",H95,0)</f>
        <v>0</v>
      </c>
      <c r="W95" s="40">
        <f>IF(AG95="2",I95,0)</f>
        <v>0</v>
      </c>
      <c r="X95" s="40">
        <f>IF(AG95="0",J95,0)</f>
        <v>0</v>
      </c>
      <c r="Y95" s="63"/>
      <c r="Z95" s="57">
        <f>IF(AD95=0,J95,0)</f>
        <v>0</v>
      </c>
      <c r="AA95" s="57">
        <f>IF(AD95=15,J95,0)</f>
        <v>0</v>
      </c>
      <c r="AB95" s="57">
        <f>IF(AD95=21,J95,0)</f>
        <v>0</v>
      </c>
      <c r="AD95" s="40">
        <v>21</v>
      </c>
      <c r="AE95" s="40">
        <f>G95*0</f>
        <v>0</v>
      </c>
      <c r="AF95" s="40">
        <f>G95*(1-0)</f>
        <v>0</v>
      </c>
      <c r="AG95" s="66" t="s">
        <v>132</v>
      </c>
      <c r="AM95" s="40">
        <f>F95*AE95</f>
        <v>0</v>
      </c>
      <c r="AN95" s="40">
        <f>F95*AF95</f>
        <v>0</v>
      </c>
      <c r="AO95" s="69" t="s">
        <v>457</v>
      </c>
      <c r="AP95" s="69" t="s">
        <v>475</v>
      </c>
      <c r="AQ95" s="63" t="s">
        <v>479</v>
      </c>
      <c r="AS95" s="40">
        <f>AM95+AN95</f>
        <v>0</v>
      </c>
      <c r="AT95" s="40">
        <f>G95/(100-AU95)*100</f>
        <v>0</v>
      </c>
      <c r="AU95" s="40">
        <v>0</v>
      </c>
      <c r="AV95" s="40">
        <f>L95</f>
        <v>0</v>
      </c>
    </row>
    <row r="96" ht="12.75">
      <c r="D96" s="55" t="s">
        <v>377</v>
      </c>
    </row>
    <row r="97" spans="1:48" ht="12.75">
      <c r="A97" s="48" t="s">
        <v>175</v>
      </c>
      <c r="B97" s="48"/>
      <c r="C97" s="48" t="s">
        <v>267</v>
      </c>
      <c r="D97" s="48" t="s">
        <v>378</v>
      </c>
      <c r="E97" s="48" t="s">
        <v>426</v>
      </c>
      <c r="F97" s="57">
        <v>46</v>
      </c>
      <c r="G97" s="57">
        <v>0</v>
      </c>
      <c r="H97" s="57">
        <f>F97*AE97</f>
        <v>0</v>
      </c>
      <c r="I97" s="57">
        <f>J97-H97</f>
        <v>0</v>
      </c>
      <c r="J97" s="57">
        <f>F97*G97</f>
        <v>0</v>
      </c>
      <c r="K97" s="57">
        <v>0</v>
      </c>
      <c r="L97" s="57">
        <f>F97*K97</f>
        <v>0</v>
      </c>
      <c r="M97" s="66" t="s">
        <v>438</v>
      </c>
      <c r="P97" s="40">
        <f>IF(AG97="5",J97,0)</f>
        <v>0</v>
      </c>
      <c r="R97" s="40">
        <f>IF(AG97="1",H97,0)</f>
        <v>0</v>
      </c>
      <c r="S97" s="40">
        <f>IF(AG97="1",I97,0)</f>
        <v>0</v>
      </c>
      <c r="T97" s="40">
        <f>IF(AG97="7",H97,0)</f>
        <v>0</v>
      </c>
      <c r="U97" s="40">
        <f>IF(AG97="7",I97,0)</f>
        <v>0</v>
      </c>
      <c r="V97" s="40">
        <f>IF(AG97="2",H97,0)</f>
        <v>0</v>
      </c>
      <c r="W97" s="40">
        <f>IF(AG97="2",I97,0)</f>
        <v>0</v>
      </c>
      <c r="X97" s="40">
        <f>IF(AG97="0",J97,0)</f>
        <v>0</v>
      </c>
      <c r="Y97" s="63"/>
      <c r="Z97" s="57">
        <f>IF(AD97=0,J97,0)</f>
        <v>0</v>
      </c>
      <c r="AA97" s="57">
        <f>IF(AD97=15,J97,0)</f>
        <v>0</v>
      </c>
      <c r="AB97" s="57">
        <f>IF(AD97=21,J97,0)</f>
        <v>0</v>
      </c>
      <c r="AD97" s="40">
        <v>21</v>
      </c>
      <c r="AE97" s="40">
        <f>G97*0</f>
        <v>0</v>
      </c>
      <c r="AF97" s="40">
        <f>G97*(1-0)</f>
        <v>0</v>
      </c>
      <c r="AG97" s="66" t="s">
        <v>132</v>
      </c>
      <c r="AM97" s="40">
        <f>F97*AE97</f>
        <v>0</v>
      </c>
      <c r="AN97" s="40">
        <f>F97*AF97</f>
        <v>0</v>
      </c>
      <c r="AO97" s="69" t="s">
        <v>457</v>
      </c>
      <c r="AP97" s="69" t="s">
        <v>475</v>
      </c>
      <c r="AQ97" s="63" t="s">
        <v>479</v>
      </c>
      <c r="AS97" s="40">
        <f>AM97+AN97</f>
        <v>0</v>
      </c>
      <c r="AT97" s="40">
        <f>G97/(100-AU97)*100</f>
        <v>0</v>
      </c>
      <c r="AU97" s="40">
        <v>0</v>
      </c>
      <c r="AV97" s="40">
        <f>L97</f>
        <v>0</v>
      </c>
    </row>
    <row r="98" ht="12.75">
      <c r="D98" s="55" t="s">
        <v>377</v>
      </c>
    </row>
    <row r="99" spans="1:48" ht="12.75">
      <c r="A99" s="48" t="s">
        <v>176</v>
      </c>
      <c r="B99" s="48"/>
      <c r="C99" s="48" t="s">
        <v>268</v>
      </c>
      <c r="D99" s="48" t="s">
        <v>379</v>
      </c>
      <c r="E99" s="48" t="s">
        <v>425</v>
      </c>
      <c r="F99" s="57">
        <v>2</v>
      </c>
      <c r="G99" s="57">
        <v>0</v>
      </c>
      <c r="H99" s="57">
        <f aca="true" t="shared" si="60" ref="H99:H105">F99*AE99</f>
        <v>0</v>
      </c>
      <c r="I99" s="57">
        <f aca="true" t="shared" si="61" ref="I99:I105">J99-H99</f>
        <v>0</v>
      </c>
      <c r="J99" s="57">
        <f aca="true" t="shared" si="62" ref="J99:J105">F99*G99</f>
        <v>0</v>
      </c>
      <c r="K99" s="57">
        <v>0</v>
      </c>
      <c r="L99" s="57">
        <f aca="true" t="shared" si="63" ref="L99:L105">F99*K99</f>
        <v>0</v>
      </c>
      <c r="M99" s="66" t="s">
        <v>438</v>
      </c>
      <c r="P99" s="40">
        <f aca="true" t="shared" si="64" ref="P99:P105">IF(AG99="5",J99,0)</f>
        <v>0</v>
      </c>
      <c r="R99" s="40">
        <f aca="true" t="shared" si="65" ref="R99:R105">IF(AG99="1",H99,0)</f>
        <v>0</v>
      </c>
      <c r="S99" s="40">
        <f aca="true" t="shared" si="66" ref="S99:S105">IF(AG99="1",I99,0)</f>
        <v>0</v>
      </c>
      <c r="T99" s="40">
        <f aca="true" t="shared" si="67" ref="T99:T105">IF(AG99="7",H99,0)</f>
        <v>0</v>
      </c>
      <c r="U99" s="40">
        <f aca="true" t="shared" si="68" ref="U99:U105">IF(AG99="7",I99,0)</f>
        <v>0</v>
      </c>
      <c r="V99" s="40">
        <f aca="true" t="shared" si="69" ref="V99:V105">IF(AG99="2",H99,0)</f>
        <v>0</v>
      </c>
      <c r="W99" s="40">
        <f aca="true" t="shared" si="70" ref="W99:W105">IF(AG99="2",I99,0)</f>
        <v>0</v>
      </c>
      <c r="X99" s="40">
        <f aca="true" t="shared" si="71" ref="X99:X105">IF(AG99="0",J99,0)</f>
        <v>0</v>
      </c>
      <c r="Y99" s="63"/>
      <c r="Z99" s="57">
        <f aca="true" t="shared" si="72" ref="Z99:Z105">IF(AD99=0,J99,0)</f>
        <v>0</v>
      </c>
      <c r="AA99" s="57">
        <f aca="true" t="shared" si="73" ref="AA99:AA105">IF(AD99=15,J99,0)</f>
        <v>0</v>
      </c>
      <c r="AB99" s="57">
        <f aca="true" t="shared" si="74" ref="AB99:AB105">IF(AD99=21,J99,0)</f>
        <v>0</v>
      </c>
      <c r="AD99" s="40">
        <v>21</v>
      </c>
      <c r="AE99" s="40">
        <f>G99*0</f>
        <v>0</v>
      </c>
      <c r="AF99" s="40">
        <f>G99*(1-0)</f>
        <v>0</v>
      </c>
      <c r="AG99" s="66" t="s">
        <v>132</v>
      </c>
      <c r="AM99" s="40">
        <f aca="true" t="shared" si="75" ref="AM99:AM105">F99*AE99</f>
        <v>0</v>
      </c>
      <c r="AN99" s="40">
        <f aca="true" t="shared" si="76" ref="AN99:AN105">F99*AF99</f>
        <v>0</v>
      </c>
      <c r="AO99" s="69" t="s">
        <v>457</v>
      </c>
      <c r="AP99" s="69" t="s">
        <v>475</v>
      </c>
      <c r="AQ99" s="63" t="s">
        <v>479</v>
      </c>
      <c r="AS99" s="40">
        <f aca="true" t="shared" si="77" ref="AS99:AS105">AM99+AN99</f>
        <v>0</v>
      </c>
      <c r="AT99" s="40">
        <f aca="true" t="shared" si="78" ref="AT99:AT105">G99/(100-AU99)*100</f>
        <v>0</v>
      </c>
      <c r="AU99" s="40">
        <v>0</v>
      </c>
      <c r="AV99" s="40">
        <f aca="true" t="shared" si="79" ref="AV99:AV105">L99</f>
        <v>0</v>
      </c>
    </row>
    <row r="100" spans="1:48" ht="12.75">
      <c r="A100" s="48" t="s">
        <v>177</v>
      </c>
      <c r="B100" s="48"/>
      <c r="C100" s="48" t="s">
        <v>269</v>
      </c>
      <c r="D100" s="48" t="s">
        <v>380</v>
      </c>
      <c r="E100" s="48" t="s">
        <v>425</v>
      </c>
      <c r="F100" s="57">
        <v>4</v>
      </c>
      <c r="G100" s="57">
        <v>0</v>
      </c>
      <c r="H100" s="57">
        <f t="shared" si="60"/>
        <v>0</v>
      </c>
      <c r="I100" s="57">
        <f t="shared" si="61"/>
        <v>0</v>
      </c>
      <c r="J100" s="57">
        <f t="shared" si="62"/>
        <v>0</v>
      </c>
      <c r="K100" s="57">
        <v>0</v>
      </c>
      <c r="L100" s="57">
        <f t="shared" si="63"/>
        <v>0</v>
      </c>
      <c r="M100" s="66" t="s">
        <v>438</v>
      </c>
      <c r="P100" s="40">
        <f t="shared" si="64"/>
        <v>0</v>
      </c>
      <c r="R100" s="40">
        <f t="shared" si="65"/>
        <v>0</v>
      </c>
      <c r="S100" s="40">
        <f t="shared" si="66"/>
        <v>0</v>
      </c>
      <c r="T100" s="40">
        <f t="shared" si="67"/>
        <v>0</v>
      </c>
      <c r="U100" s="40">
        <f t="shared" si="68"/>
        <v>0</v>
      </c>
      <c r="V100" s="40">
        <f t="shared" si="69"/>
        <v>0</v>
      </c>
      <c r="W100" s="40">
        <f t="shared" si="70"/>
        <v>0</v>
      </c>
      <c r="X100" s="40">
        <f t="shared" si="71"/>
        <v>0</v>
      </c>
      <c r="Y100" s="63"/>
      <c r="Z100" s="57">
        <f t="shared" si="72"/>
        <v>0</v>
      </c>
      <c r="AA100" s="57">
        <f t="shared" si="73"/>
        <v>0</v>
      </c>
      <c r="AB100" s="57">
        <f t="shared" si="74"/>
        <v>0</v>
      </c>
      <c r="AD100" s="40">
        <v>21</v>
      </c>
      <c r="AE100" s="40">
        <f>G100*0</f>
        <v>0</v>
      </c>
      <c r="AF100" s="40">
        <f>G100*(1-0)</f>
        <v>0</v>
      </c>
      <c r="AG100" s="66" t="s">
        <v>132</v>
      </c>
      <c r="AM100" s="40">
        <f t="shared" si="75"/>
        <v>0</v>
      </c>
      <c r="AN100" s="40">
        <f t="shared" si="76"/>
        <v>0</v>
      </c>
      <c r="AO100" s="69" t="s">
        <v>457</v>
      </c>
      <c r="AP100" s="69" t="s">
        <v>475</v>
      </c>
      <c r="AQ100" s="63" t="s">
        <v>479</v>
      </c>
      <c r="AS100" s="40">
        <f t="shared" si="77"/>
        <v>0</v>
      </c>
      <c r="AT100" s="40">
        <f t="shared" si="78"/>
        <v>0</v>
      </c>
      <c r="AU100" s="40">
        <v>0</v>
      </c>
      <c r="AV100" s="40">
        <f t="shared" si="79"/>
        <v>0</v>
      </c>
    </row>
    <row r="101" spans="1:48" ht="12.75">
      <c r="A101" s="48" t="s">
        <v>178</v>
      </c>
      <c r="B101" s="48"/>
      <c r="C101" s="48" t="s">
        <v>270</v>
      </c>
      <c r="D101" s="48" t="s">
        <v>381</v>
      </c>
      <c r="E101" s="48" t="s">
        <v>425</v>
      </c>
      <c r="F101" s="57">
        <v>2</v>
      </c>
      <c r="G101" s="57">
        <v>0</v>
      </c>
      <c r="H101" s="57">
        <f t="shared" si="60"/>
        <v>0</v>
      </c>
      <c r="I101" s="57">
        <f t="shared" si="61"/>
        <v>0</v>
      </c>
      <c r="J101" s="57">
        <f t="shared" si="62"/>
        <v>0</v>
      </c>
      <c r="K101" s="57">
        <v>0</v>
      </c>
      <c r="L101" s="57">
        <f t="shared" si="63"/>
        <v>0</v>
      </c>
      <c r="M101" s="66" t="s">
        <v>438</v>
      </c>
      <c r="P101" s="40">
        <f t="shared" si="64"/>
        <v>0</v>
      </c>
      <c r="R101" s="40">
        <f t="shared" si="65"/>
        <v>0</v>
      </c>
      <c r="S101" s="40">
        <f t="shared" si="66"/>
        <v>0</v>
      </c>
      <c r="T101" s="40">
        <f t="shared" si="67"/>
        <v>0</v>
      </c>
      <c r="U101" s="40">
        <f t="shared" si="68"/>
        <v>0</v>
      </c>
      <c r="V101" s="40">
        <f t="shared" si="69"/>
        <v>0</v>
      </c>
      <c r="W101" s="40">
        <f t="shared" si="70"/>
        <v>0</v>
      </c>
      <c r="X101" s="40">
        <f t="shared" si="71"/>
        <v>0</v>
      </c>
      <c r="Y101" s="63"/>
      <c r="Z101" s="57">
        <f t="shared" si="72"/>
        <v>0</v>
      </c>
      <c r="AA101" s="57">
        <f t="shared" si="73"/>
        <v>0</v>
      </c>
      <c r="AB101" s="57">
        <f t="shared" si="74"/>
        <v>0</v>
      </c>
      <c r="AD101" s="40">
        <v>21</v>
      </c>
      <c r="AE101" s="40">
        <f>G101*0</f>
        <v>0</v>
      </c>
      <c r="AF101" s="40">
        <f>G101*(1-0)</f>
        <v>0</v>
      </c>
      <c r="AG101" s="66" t="s">
        <v>132</v>
      </c>
      <c r="AM101" s="40">
        <f t="shared" si="75"/>
        <v>0</v>
      </c>
      <c r="AN101" s="40">
        <f t="shared" si="76"/>
        <v>0</v>
      </c>
      <c r="AO101" s="69" t="s">
        <v>457</v>
      </c>
      <c r="AP101" s="69" t="s">
        <v>475</v>
      </c>
      <c r="AQ101" s="63" t="s">
        <v>479</v>
      </c>
      <c r="AS101" s="40">
        <f t="shared" si="77"/>
        <v>0</v>
      </c>
      <c r="AT101" s="40">
        <f t="shared" si="78"/>
        <v>0</v>
      </c>
      <c r="AU101" s="40">
        <v>0</v>
      </c>
      <c r="AV101" s="40">
        <f t="shared" si="79"/>
        <v>0</v>
      </c>
    </row>
    <row r="102" spans="1:48" ht="12.75">
      <c r="A102" s="48" t="s">
        <v>179</v>
      </c>
      <c r="B102" s="48"/>
      <c r="C102" s="48" t="s">
        <v>271</v>
      </c>
      <c r="D102" s="48" t="s">
        <v>382</v>
      </c>
      <c r="E102" s="48" t="s">
        <v>424</v>
      </c>
      <c r="F102" s="57">
        <v>200</v>
      </c>
      <c r="G102" s="57">
        <v>0</v>
      </c>
      <c r="H102" s="57">
        <f t="shared" si="60"/>
        <v>0</v>
      </c>
      <c r="I102" s="57">
        <f t="shared" si="61"/>
        <v>0</v>
      </c>
      <c r="J102" s="57">
        <f t="shared" si="62"/>
        <v>0</v>
      </c>
      <c r="K102" s="57">
        <v>0</v>
      </c>
      <c r="L102" s="57">
        <f t="shared" si="63"/>
        <v>0</v>
      </c>
      <c r="M102" s="66" t="s">
        <v>438</v>
      </c>
      <c r="P102" s="40">
        <f t="shared" si="64"/>
        <v>0</v>
      </c>
      <c r="R102" s="40">
        <f t="shared" si="65"/>
        <v>0</v>
      </c>
      <c r="S102" s="40">
        <f t="shared" si="66"/>
        <v>0</v>
      </c>
      <c r="T102" s="40">
        <f t="shared" si="67"/>
        <v>0</v>
      </c>
      <c r="U102" s="40">
        <f t="shared" si="68"/>
        <v>0</v>
      </c>
      <c r="V102" s="40">
        <f t="shared" si="69"/>
        <v>0</v>
      </c>
      <c r="W102" s="40">
        <f t="shared" si="70"/>
        <v>0</v>
      </c>
      <c r="X102" s="40">
        <f t="shared" si="71"/>
        <v>0</v>
      </c>
      <c r="Y102" s="63"/>
      <c r="Z102" s="57">
        <f t="shared" si="72"/>
        <v>0</v>
      </c>
      <c r="AA102" s="57">
        <f t="shared" si="73"/>
        <v>0</v>
      </c>
      <c r="AB102" s="57">
        <f t="shared" si="74"/>
        <v>0</v>
      </c>
      <c r="AD102" s="40">
        <v>21</v>
      </c>
      <c r="AE102" s="40">
        <f>G102*0</f>
        <v>0</v>
      </c>
      <c r="AF102" s="40">
        <f>G102*(1-0)</f>
        <v>0</v>
      </c>
      <c r="AG102" s="66" t="s">
        <v>132</v>
      </c>
      <c r="AM102" s="40">
        <f t="shared" si="75"/>
        <v>0</v>
      </c>
      <c r="AN102" s="40">
        <f t="shared" si="76"/>
        <v>0</v>
      </c>
      <c r="AO102" s="69" t="s">
        <v>457</v>
      </c>
      <c r="AP102" s="69" t="s">
        <v>475</v>
      </c>
      <c r="AQ102" s="63" t="s">
        <v>479</v>
      </c>
      <c r="AS102" s="40">
        <f t="shared" si="77"/>
        <v>0</v>
      </c>
      <c r="AT102" s="40">
        <f t="shared" si="78"/>
        <v>0</v>
      </c>
      <c r="AU102" s="40">
        <v>0</v>
      </c>
      <c r="AV102" s="40">
        <f t="shared" si="79"/>
        <v>0</v>
      </c>
    </row>
    <row r="103" spans="1:48" ht="12.75">
      <c r="A103" s="48" t="s">
        <v>180</v>
      </c>
      <c r="B103" s="48"/>
      <c r="C103" s="48" t="s">
        <v>272</v>
      </c>
      <c r="D103" s="48" t="s">
        <v>383</v>
      </c>
      <c r="E103" s="48" t="s">
        <v>426</v>
      </c>
      <c r="F103" s="57">
        <v>16</v>
      </c>
      <c r="G103" s="57">
        <v>0</v>
      </c>
      <c r="H103" s="57">
        <f t="shared" si="60"/>
        <v>0</v>
      </c>
      <c r="I103" s="57">
        <f t="shared" si="61"/>
        <v>0</v>
      </c>
      <c r="J103" s="57">
        <f t="shared" si="62"/>
        <v>0</v>
      </c>
      <c r="K103" s="57">
        <v>0</v>
      </c>
      <c r="L103" s="57">
        <f t="shared" si="63"/>
        <v>0</v>
      </c>
      <c r="M103" s="66" t="s">
        <v>438</v>
      </c>
      <c r="P103" s="40">
        <f t="shared" si="64"/>
        <v>0</v>
      </c>
      <c r="R103" s="40">
        <f t="shared" si="65"/>
        <v>0</v>
      </c>
      <c r="S103" s="40">
        <f t="shared" si="66"/>
        <v>0</v>
      </c>
      <c r="T103" s="40">
        <f t="shared" si="67"/>
        <v>0</v>
      </c>
      <c r="U103" s="40">
        <f t="shared" si="68"/>
        <v>0</v>
      </c>
      <c r="V103" s="40">
        <f t="shared" si="69"/>
        <v>0</v>
      </c>
      <c r="W103" s="40">
        <f t="shared" si="70"/>
        <v>0</v>
      </c>
      <c r="X103" s="40">
        <f t="shared" si="71"/>
        <v>0</v>
      </c>
      <c r="Y103" s="63"/>
      <c r="Z103" s="57">
        <f t="shared" si="72"/>
        <v>0</v>
      </c>
      <c r="AA103" s="57">
        <f t="shared" si="73"/>
        <v>0</v>
      </c>
      <c r="AB103" s="57">
        <f t="shared" si="74"/>
        <v>0</v>
      </c>
      <c r="AD103" s="40">
        <v>21</v>
      </c>
      <c r="AE103" s="40">
        <f>G103*0.0236842105263158</f>
        <v>0</v>
      </c>
      <c r="AF103" s="40">
        <f>G103*(1-0.0236842105263158)</f>
        <v>0</v>
      </c>
      <c r="AG103" s="66" t="s">
        <v>132</v>
      </c>
      <c r="AM103" s="40">
        <f t="shared" si="75"/>
        <v>0</v>
      </c>
      <c r="AN103" s="40">
        <f t="shared" si="76"/>
        <v>0</v>
      </c>
      <c r="AO103" s="69" t="s">
        <v>457</v>
      </c>
      <c r="AP103" s="69" t="s">
        <v>475</v>
      </c>
      <c r="AQ103" s="63" t="s">
        <v>479</v>
      </c>
      <c r="AS103" s="40">
        <f t="shared" si="77"/>
        <v>0</v>
      </c>
      <c r="AT103" s="40">
        <f t="shared" si="78"/>
        <v>0</v>
      </c>
      <c r="AU103" s="40">
        <v>0</v>
      </c>
      <c r="AV103" s="40">
        <f t="shared" si="79"/>
        <v>0</v>
      </c>
    </row>
    <row r="104" spans="1:48" ht="12.75">
      <c r="A104" s="48" t="s">
        <v>181</v>
      </c>
      <c r="B104" s="48"/>
      <c r="C104" s="48" t="s">
        <v>273</v>
      </c>
      <c r="D104" s="48" t="s">
        <v>384</v>
      </c>
      <c r="E104" s="48" t="s">
        <v>426</v>
      </c>
      <c r="F104" s="57">
        <v>78</v>
      </c>
      <c r="G104" s="57">
        <v>0</v>
      </c>
      <c r="H104" s="57">
        <f t="shared" si="60"/>
        <v>0</v>
      </c>
      <c r="I104" s="57">
        <f t="shared" si="61"/>
        <v>0</v>
      </c>
      <c r="J104" s="57">
        <f t="shared" si="62"/>
        <v>0</v>
      </c>
      <c r="K104" s="57">
        <v>0</v>
      </c>
      <c r="L104" s="57">
        <f t="shared" si="63"/>
        <v>0</v>
      </c>
      <c r="M104" s="66" t="s">
        <v>438</v>
      </c>
      <c r="P104" s="40">
        <f t="shared" si="64"/>
        <v>0</v>
      </c>
      <c r="R104" s="40">
        <f t="shared" si="65"/>
        <v>0</v>
      </c>
      <c r="S104" s="40">
        <f t="shared" si="66"/>
        <v>0</v>
      </c>
      <c r="T104" s="40">
        <f t="shared" si="67"/>
        <v>0</v>
      </c>
      <c r="U104" s="40">
        <f t="shared" si="68"/>
        <v>0</v>
      </c>
      <c r="V104" s="40">
        <f t="shared" si="69"/>
        <v>0</v>
      </c>
      <c r="W104" s="40">
        <f t="shared" si="70"/>
        <v>0</v>
      </c>
      <c r="X104" s="40">
        <f t="shared" si="71"/>
        <v>0</v>
      </c>
      <c r="Y104" s="63"/>
      <c r="Z104" s="57">
        <f t="shared" si="72"/>
        <v>0</v>
      </c>
      <c r="AA104" s="57">
        <f t="shared" si="73"/>
        <v>0</v>
      </c>
      <c r="AB104" s="57">
        <f t="shared" si="74"/>
        <v>0</v>
      </c>
      <c r="AD104" s="40">
        <v>21</v>
      </c>
      <c r="AE104" s="40">
        <f>G104*0.0765151515151515</f>
        <v>0</v>
      </c>
      <c r="AF104" s="40">
        <f>G104*(1-0.0765151515151515)</f>
        <v>0</v>
      </c>
      <c r="AG104" s="66" t="s">
        <v>132</v>
      </c>
      <c r="AM104" s="40">
        <f t="shared" si="75"/>
        <v>0</v>
      </c>
      <c r="AN104" s="40">
        <f t="shared" si="76"/>
        <v>0</v>
      </c>
      <c r="AO104" s="69" t="s">
        <v>457</v>
      </c>
      <c r="AP104" s="69" t="s">
        <v>475</v>
      </c>
      <c r="AQ104" s="63" t="s">
        <v>479</v>
      </c>
      <c r="AS104" s="40">
        <f t="shared" si="77"/>
        <v>0</v>
      </c>
      <c r="AT104" s="40">
        <f t="shared" si="78"/>
        <v>0</v>
      </c>
      <c r="AU104" s="40">
        <v>0</v>
      </c>
      <c r="AV104" s="40">
        <f t="shared" si="79"/>
        <v>0</v>
      </c>
    </row>
    <row r="105" spans="1:48" ht="12.75">
      <c r="A105" s="48" t="s">
        <v>182</v>
      </c>
      <c r="B105" s="48"/>
      <c r="C105" s="48" t="s">
        <v>274</v>
      </c>
      <c r="D105" s="48" t="s">
        <v>385</v>
      </c>
      <c r="E105" s="48" t="s">
        <v>427</v>
      </c>
      <c r="F105" s="57">
        <v>16</v>
      </c>
      <c r="G105" s="57">
        <v>0</v>
      </c>
      <c r="H105" s="57">
        <f t="shared" si="60"/>
        <v>0</v>
      </c>
      <c r="I105" s="57">
        <f t="shared" si="61"/>
        <v>0</v>
      </c>
      <c r="J105" s="57">
        <f t="shared" si="62"/>
        <v>0</v>
      </c>
      <c r="K105" s="57">
        <v>0</v>
      </c>
      <c r="L105" s="57">
        <f t="shared" si="63"/>
        <v>0</v>
      </c>
      <c r="M105" s="66" t="s">
        <v>438</v>
      </c>
      <c r="P105" s="40">
        <f t="shared" si="64"/>
        <v>0</v>
      </c>
      <c r="R105" s="40">
        <f t="shared" si="65"/>
        <v>0</v>
      </c>
      <c r="S105" s="40">
        <f t="shared" si="66"/>
        <v>0</v>
      </c>
      <c r="T105" s="40">
        <f t="shared" si="67"/>
        <v>0</v>
      </c>
      <c r="U105" s="40">
        <f t="shared" si="68"/>
        <v>0</v>
      </c>
      <c r="V105" s="40">
        <f t="shared" si="69"/>
        <v>0</v>
      </c>
      <c r="W105" s="40">
        <f t="shared" si="70"/>
        <v>0</v>
      </c>
      <c r="X105" s="40">
        <f t="shared" si="71"/>
        <v>0</v>
      </c>
      <c r="Y105" s="63"/>
      <c r="Z105" s="57">
        <f t="shared" si="72"/>
        <v>0</v>
      </c>
      <c r="AA105" s="57">
        <f t="shared" si="73"/>
        <v>0</v>
      </c>
      <c r="AB105" s="57">
        <f t="shared" si="74"/>
        <v>0</v>
      </c>
      <c r="AD105" s="40">
        <v>21</v>
      </c>
      <c r="AE105" s="40">
        <f>G105*0</f>
        <v>0</v>
      </c>
      <c r="AF105" s="40">
        <f>G105*(1-0)</f>
        <v>0</v>
      </c>
      <c r="AG105" s="66" t="s">
        <v>132</v>
      </c>
      <c r="AM105" s="40">
        <f t="shared" si="75"/>
        <v>0</v>
      </c>
      <c r="AN105" s="40">
        <f t="shared" si="76"/>
        <v>0</v>
      </c>
      <c r="AO105" s="69" t="s">
        <v>457</v>
      </c>
      <c r="AP105" s="69" t="s">
        <v>475</v>
      </c>
      <c r="AQ105" s="63" t="s">
        <v>479</v>
      </c>
      <c r="AS105" s="40">
        <f t="shared" si="77"/>
        <v>0</v>
      </c>
      <c r="AT105" s="40">
        <f t="shared" si="78"/>
        <v>0</v>
      </c>
      <c r="AU105" s="40">
        <v>0</v>
      </c>
      <c r="AV105" s="40">
        <f t="shared" si="79"/>
        <v>0</v>
      </c>
    </row>
    <row r="106" ht="12.75">
      <c r="D106" s="55" t="s">
        <v>386</v>
      </c>
    </row>
    <row r="107" spans="1:37" ht="12.75">
      <c r="A107" s="47"/>
      <c r="B107" s="54"/>
      <c r="C107" s="54" t="s">
        <v>87</v>
      </c>
      <c r="D107" s="54" t="s">
        <v>110</v>
      </c>
      <c r="E107" s="47" t="s">
        <v>74</v>
      </c>
      <c r="F107" s="47" t="s">
        <v>74</v>
      </c>
      <c r="G107" s="47" t="s">
        <v>74</v>
      </c>
      <c r="H107" s="71">
        <f>SUM(H108:H122)</f>
        <v>0</v>
      </c>
      <c r="I107" s="71">
        <f>SUM(I108:I122)</f>
        <v>0</v>
      </c>
      <c r="J107" s="71">
        <f>H107+I107</f>
        <v>0</v>
      </c>
      <c r="K107" s="63"/>
      <c r="L107" s="71">
        <f>SUM(L108:L122)</f>
        <v>1.2747700000000002</v>
      </c>
      <c r="M107" s="63"/>
      <c r="Y107" s="63"/>
      <c r="AI107" s="71">
        <f>SUM(Z108:Z122)</f>
        <v>0</v>
      </c>
      <c r="AJ107" s="71">
        <f>SUM(AA108:AA122)</f>
        <v>0</v>
      </c>
      <c r="AK107" s="71">
        <f>SUM(AB108:AB122)</f>
        <v>0</v>
      </c>
    </row>
    <row r="108" spans="1:48" ht="12.75">
      <c r="A108" s="48" t="s">
        <v>183</v>
      </c>
      <c r="B108" s="48"/>
      <c r="C108" s="48" t="s">
        <v>275</v>
      </c>
      <c r="D108" s="48" t="s">
        <v>387</v>
      </c>
      <c r="E108" s="48" t="s">
        <v>425</v>
      </c>
      <c r="F108" s="57">
        <v>6</v>
      </c>
      <c r="G108" s="57">
        <v>0</v>
      </c>
      <c r="H108" s="57">
        <f aca="true" t="shared" si="80" ref="H108:H122">F108*AE108</f>
        <v>0</v>
      </c>
      <c r="I108" s="57">
        <f aca="true" t="shared" si="81" ref="I108:I122">J108-H108</f>
        <v>0</v>
      </c>
      <c r="J108" s="57">
        <f aca="true" t="shared" si="82" ref="J108:J122">F108*G108</f>
        <v>0</v>
      </c>
      <c r="K108" s="57">
        <v>0.0001</v>
      </c>
      <c r="L108" s="57">
        <f aca="true" t="shared" si="83" ref="L108:L122">F108*K108</f>
        <v>0.0006000000000000001</v>
      </c>
      <c r="M108" s="66" t="s">
        <v>438</v>
      </c>
      <c r="P108" s="40">
        <f aca="true" t="shared" si="84" ref="P108:P122">IF(AG108="5",J108,0)</f>
        <v>0</v>
      </c>
      <c r="R108" s="40">
        <f aca="true" t="shared" si="85" ref="R108:R122">IF(AG108="1",H108,0)</f>
        <v>0</v>
      </c>
      <c r="S108" s="40">
        <f aca="true" t="shared" si="86" ref="S108:S122">IF(AG108="1",I108,0)</f>
        <v>0</v>
      </c>
      <c r="T108" s="40">
        <f aca="true" t="shared" si="87" ref="T108:T122">IF(AG108="7",H108,0)</f>
        <v>0</v>
      </c>
      <c r="U108" s="40">
        <f aca="true" t="shared" si="88" ref="U108:U122">IF(AG108="7",I108,0)</f>
        <v>0</v>
      </c>
      <c r="V108" s="40">
        <f aca="true" t="shared" si="89" ref="V108:V122">IF(AG108="2",H108,0)</f>
        <v>0</v>
      </c>
      <c r="W108" s="40">
        <f aca="true" t="shared" si="90" ref="W108:W122">IF(AG108="2",I108,0)</f>
        <v>0</v>
      </c>
      <c r="X108" s="40">
        <f aca="true" t="shared" si="91" ref="X108:X122">IF(AG108="0",J108,0)</f>
        <v>0</v>
      </c>
      <c r="Y108" s="63"/>
      <c r="Z108" s="57">
        <f aca="true" t="shared" si="92" ref="Z108:Z122">IF(AD108=0,J108,0)</f>
        <v>0</v>
      </c>
      <c r="AA108" s="57">
        <f aca="true" t="shared" si="93" ref="AA108:AA122">IF(AD108=15,J108,0)</f>
        <v>0</v>
      </c>
      <c r="AB108" s="57">
        <f aca="true" t="shared" si="94" ref="AB108:AB122">IF(AD108=21,J108,0)</f>
        <v>0</v>
      </c>
      <c r="AD108" s="40">
        <v>21</v>
      </c>
      <c r="AE108" s="40">
        <f>G108*0.863713527851459</f>
        <v>0</v>
      </c>
      <c r="AF108" s="40">
        <f>G108*(1-0.863713527851459)</f>
        <v>0</v>
      </c>
      <c r="AG108" s="66" t="s">
        <v>132</v>
      </c>
      <c r="AM108" s="40">
        <f aca="true" t="shared" si="95" ref="AM108:AM122">F108*AE108</f>
        <v>0</v>
      </c>
      <c r="AN108" s="40">
        <f aca="true" t="shared" si="96" ref="AN108:AN122">F108*AF108</f>
        <v>0</v>
      </c>
      <c r="AO108" s="69" t="s">
        <v>458</v>
      </c>
      <c r="AP108" s="69" t="s">
        <v>475</v>
      </c>
      <c r="AQ108" s="63" t="s">
        <v>479</v>
      </c>
      <c r="AS108" s="40">
        <f aca="true" t="shared" si="97" ref="AS108:AS122">AM108+AN108</f>
        <v>0</v>
      </c>
      <c r="AT108" s="40">
        <f aca="true" t="shared" si="98" ref="AT108:AT122">G108/(100-AU108)*100</f>
        <v>0</v>
      </c>
      <c r="AU108" s="40">
        <v>0</v>
      </c>
      <c r="AV108" s="40">
        <f aca="true" t="shared" si="99" ref="AV108:AV122">L108</f>
        <v>0.0006000000000000001</v>
      </c>
    </row>
    <row r="109" spans="1:48" ht="12.75">
      <c r="A109" s="48" t="s">
        <v>81</v>
      </c>
      <c r="B109" s="48"/>
      <c r="C109" s="48" t="s">
        <v>276</v>
      </c>
      <c r="D109" s="48" t="s">
        <v>388</v>
      </c>
      <c r="E109" s="48" t="s">
        <v>425</v>
      </c>
      <c r="F109" s="57">
        <v>1</v>
      </c>
      <c r="G109" s="57">
        <v>0</v>
      </c>
      <c r="H109" s="57">
        <f t="shared" si="80"/>
        <v>0</v>
      </c>
      <c r="I109" s="57">
        <f t="shared" si="81"/>
        <v>0</v>
      </c>
      <c r="J109" s="57">
        <f t="shared" si="82"/>
        <v>0</v>
      </c>
      <c r="K109" s="57">
        <v>0.00048</v>
      </c>
      <c r="L109" s="57">
        <f t="shared" si="83"/>
        <v>0.00048</v>
      </c>
      <c r="M109" s="66" t="s">
        <v>438</v>
      </c>
      <c r="P109" s="40">
        <f t="shared" si="84"/>
        <v>0</v>
      </c>
      <c r="R109" s="40">
        <f t="shared" si="85"/>
        <v>0</v>
      </c>
      <c r="S109" s="40">
        <f t="shared" si="86"/>
        <v>0</v>
      </c>
      <c r="T109" s="40">
        <f t="shared" si="87"/>
        <v>0</v>
      </c>
      <c r="U109" s="40">
        <f t="shared" si="88"/>
        <v>0</v>
      </c>
      <c r="V109" s="40">
        <f t="shared" si="89"/>
        <v>0</v>
      </c>
      <c r="W109" s="40">
        <f t="shared" si="90"/>
        <v>0</v>
      </c>
      <c r="X109" s="40">
        <f t="shared" si="91"/>
        <v>0</v>
      </c>
      <c r="Y109" s="63"/>
      <c r="Z109" s="57">
        <f t="shared" si="92"/>
        <v>0</v>
      </c>
      <c r="AA109" s="57">
        <f t="shared" si="93"/>
        <v>0</v>
      </c>
      <c r="AB109" s="57">
        <f t="shared" si="94"/>
        <v>0</v>
      </c>
      <c r="AD109" s="40">
        <v>21</v>
      </c>
      <c r="AE109" s="40">
        <f>G109*0.782543352601156</f>
        <v>0</v>
      </c>
      <c r="AF109" s="40">
        <f>G109*(1-0.782543352601156)</f>
        <v>0</v>
      </c>
      <c r="AG109" s="66" t="s">
        <v>132</v>
      </c>
      <c r="AM109" s="40">
        <f t="shared" si="95"/>
        <v>0</v>
      </c>
      <c r="AN109" s="40">
        <f t="shared" si="96"/>
        <v>0</v>
      </c>
      <c r="AO109" s="69" t="s">
        <v>458</v>
      </c>
      <c r="AP109" s="69" t="s">
        <v>475</v>
      </c>
      <c r="AQ109" s="63" t="s">
        <v>479</v>
      </c>
      <c r="AS109" s="40">
        <f t="shared" si="97"/>
        <v>0</v>
      </c>
      <c r="AT109" s="40">
        <f t="shared" si="98"/>
        <v>0</v>
      </c>
      <c r="AU109" s="40">
        <v>0</v>
      </c>
      <c r="AV109" s="40">
        <f t="shared" si="99"/>
        <v>0.00048</v>
      </c>
    </row>
    <row r="110" spans="1:48" ht="12.75">
      <c r="A110" s="48" t="s">
        <v>184</v>
      </c>
      <c r="B110" s="48"/>
      <c r="C110" s="48" t="s">
        <v>277</v>
      </c>
      <c r="D110" s="48" t="s">
        <v>389</v>
      </c>
      <c r="E110" s="48" t="s">
        <v>425</v>
      </c>
      <c r="F110" s="57">
        <v>2</v>
      </c>
      <c r="G110" s="57">
        <v>0</v>
      </c>
      <c r="H110" s="57">
        <f t="shared" si="80"/>
        <v>0</v>
      </c>
      <c r="I110" s="57">
        <f t="shared" si="81"/>
        <v>0</v>
      </c>
      <c r="J110" s="57">
        <f t="shared" si="82"/>
        <v>0</v>
      </c>
      <c r="K110" s="57">
        <v>0.00085</v>
      </c>
      <c r="L110" s="57">
        <f t="shared" si="83"/>
        <v>0.0017</v>
      </c>
      <c r="M110" s="66" t="s">
        <v>438</v>
      </c>
      <c r="P110" s="40">
        <f t="shared" si="84"/>
        <v>0</v>
      </c>
      <c r="R110" s="40">
        <f t="shared" si="85"/>
        <v>0</v>
      </c>
      <c r="S110" s="40">
        <f t="shared" si="86"/>
        <v>0</v>
      </c>
      <c r="T110" s="40">
        <f t="shared" si="87"/>
        <v>0</v>
      </c>
      <c r="U110" s="40">
        <f t="shared" si="88"/>
        <v>0</v>
      </c>
      <c r="V110" s="40">
        <f t="shared" si="89"/>
        <v>0</v>
      </c>
      <c r="W110" s="40">
        <f t="shared" si="90"/>
        <v>0</v>
      </c>
      <c r="X110" s="40">
        <f t="shared" si="91"/>
        <v>0</v>
      </c>
      <c r="Y110" s="63"/>
      <c r="Z110" s="57">
        <f t="shared" si="92"/>
        <v>0</v>
      </c>
      <c r="AA110" s="57">
        <f t="shared" si="93"/>
        <v>0</v>
      </c>
      <c r="AB110" s="57">
        <f t="shared" si="94"/>
        <v>0</v>
      </c>
      <c r="AD110" s="40">
        <v>21</v>
      </c>
      <c r="AE110" s="40">
        <f>G110*0.885534902421674</f>
        <v>0</v>
      </c>
      <c r="AF110" s="40">
        <f>G110*(1-0.885534902421674)</f>
        <v>0</v>
      </c>
      <c r="AG110" s="66" t="s">
        <v>132</v>
      </c>
      <c r="AM110" s="40">
        <f t="shared" si="95"/>
        <v>0</v>
      </c>
      <c r="AN110" s="40">
        <f t="shared" si="96"/>
        <v>0</v>
      </c>
      <c r="AO110" s="69" t="s">
        <v>458</v>
      </c>
      <c r="AP110" s="69" t="s">
        <v>475</v>
      </c>
      <c r="AQ110" s="63" t="s">
        <v>479</v>
      </c>
      <c r="AS110" s="40">
        <f t="shared" si="97"/>
        <v>0</v>
      </c>
      <c r="AT110" s="40">
        <f t="shared" si="98"/>
        <v>0</v>
      </c>
      <c r="AU110" s="40">
        <v>0</v>
      </c>
      <c r="AV110" s="40">
        <f t="shared" si="99"/>
        <v>0.0017</v>
      </c>
    </row>
    <row r="111" spans="1:48" ht="12.75">
      <c r="A111" s="48" t="s">
        <v>185</v>
      </c>
      <c r="B111" s="48"/>
      <c r="C111" s="48" t="s">
        <v>278</v>
      </c>
      <c r="D111" s="48" t="s">
        <v>390</v>
      </c>
      <c r="E111" s="48" t="s">
        <v>425</v>
      </c>
      <c r="F111" s="57">
        <v>2</v>
      </c>
      <c r="G111" s="57">
        <v>0</v>
      </c>
      <c r="H111" s="57">
        <f t="shared" si="80"/>
        <v>0</v>
      </c>
      <c r="I111" s="57">
        <f t="shared" si="81"/>
        <v>0</v>
      </c>
      <c r="J111" s="57">
        <f t="shared" si="82"/>
        <v>0</v>
      </c>
      <c r="K111" s="57">
        <v>0.00027</v>
      </c>
      <c r="L111" s="57">
        <f t="shared" si="83"/>
        <v>0.00054</v>
      </c>
      <c r="M111" s="66" t="s">
        <v>438</v>
      </c>
      <c r="P111" s="40">
        <f t="shared" si="84"/>
        <v>0</v>
      </c>
      <c r="R111" s="40">
        <f t="shared" si="85"/>
        <v>0</v>
      </c>
      <c r="S111" s="40">
        <f t="shared" si="86"/>
        <v>0</v>
      </c>
      <c r="T111" s="40">
        <f t="shared" si="87"/>
        <v>0</v>
      </c>
      <c r="U111" s="40">
        <f t="shared" si="88"/>
        <v>0</v>
      </c>
      <c r="V111" s="40">
        <f t="shared" si="89"/>
        <v>0</v>
      </c>
      <c r="W111" s="40">
        <f t="shared" si="90"/>
        <v>0</v>
      </c>
      <c r="X111" s="40">
        <f t="shared" si="91"/>
        <v>0</v>
      </c>
      <c r="Y111" s="63"/>
      <c r="Z111" s="57">
        <f t="shared" si="92"/>
        <v>0</v>
      </c>
      <c r="AA111" s="57">
        <f t="shared" si="93"/>
        <v>0</v>
      </c>
      <c r="AB111" s="57">
        <f t="shared" si="94"/>
        <v>0</v>
      </c>
      <c r="AD111" s="40">
        <v>21</v>
      </c>
      <c r="AE111" s="40">
        <f>G111*0.829313172526901</f>
        <v>0</v>
      </c>
      <c r="AF111" s="40">
        <f>G111*(1-0.829313172526901)</f>
        <v>0</v>
      </c>
      <c r="AG111" s="66" t="s">
        <v>132</v>
      </c>
      <c r="AM111" s="40">
        <f t="shared" si="95"/>
        <v>0</v>
      </c>
      <c r="AN111" s="40">
        <f t="shared" si="96"/>
        <v>0</v>
      </c>
      <c r="AO111" s="69" t="s">
        <v>458</v>
      </c>
      <c r="AP111" s="69" t="s">
        <v>475</v>
      </c>
      <c r="AQ111" s="63" t="s">
        <v>479</v>
      </c>
      <c r="AS111" s="40">
        <f t="shared" si="97"/>
        <v>0</v>
      </c>
      <c r="AT111" s="40">
        <f t="shared" si="98"/>
        <v>0</v>
      </c>
      <c r="AU111" s="40">
        <v>0</v>
      </c>
      <c r="AV111" s="40">
        <f t="shared" si="99"/>
        <v>0.00054</v>
      </c>
    </row>
    <row r="112" spans="1:48" ht="12.75">
      <c r="A112" s="48" t="s">
        <v>186</v>
      </c>
      <c r="B112" s="48"/>
      <c r="C112" s="48" t="s">
        <v>279</v>
      </c>
      <c r="D112" s="48" t="s">
        <v>391</v>
      </c>
      <c r="E112" s="48" t="s">
        <v>425</v>
      </c>
      <c r="F112" s="57">
        <v>8</v>
      </c>
      <c r="G112" s="57">
        <v>0</v>
      </c>
      <c r="H112" s="57">
        <f t="shared" si="80"/>
        <v>0</v>
      </c>
      <c r="I112" s="57">
        <f t="shared" si="81"/>
        <v>0</v>
      </c>
      <c r="J112" s="57">
        <f t="shared" si="82"/>
        <v>0</v>
      </c>
      <c r="K112" s="57">
        <v>0.00019</v>
      </c>
      <c r="L112" s="57">
        <f t="shared" si="83"/>
        <v>0.00152</v>
      </c>
      <c r="M112" s="66" t="s">
        <v>438</v>
      </c>
      <c r="P112" s="40">
        <f t="shared" si="84"/>
        <v>0</v>
      </c>
      <c r="R112" s="40">
        <f t="shared" si="85"/>
        <v>0</v>
      </c>
      <c r="S112" s="40">
        <f t="shared" si="86"/>
        <v>0</v>
      </c>
      <c r="T112" s="40">
        <f t="shared" si="87"/>
        <v>0</v>
      </c>
      <c r="U112" s="40">
        <f t="shared" si="88"/>
        <v>0</v>
      </c>
      <c r="V112" s="40">
        <f t="shared" si="89"/>
        <v>0</v>
      </c>
      <c r="W112" s="40">
        <f t="shared" si="90"/>
        <v>0</v>
      </c>
      <c r="X112" s="40">
        <f t="shared" si="91"/>
        <v>0</v>
      </c>
      <c r="Y112" s="63"/>
      <c r="Z112" s="57">
        <f t="shared" si="92"/>
        <v>0</v>
      </c>
      <c r="AA112" s="57">
        <f t="shared" si="93"/>
        <v>0</v>
      </c>
      <c r="AB112" s="57">
        <f t="shared" si="94"/>
        <v>0</v>
      </c>
      <c r="AD112" s="40">
        <v>21</v>
      </c>
      <c r="AE112" s="40">
        <f>G112*0.825873417721519</f>
        <v>0</v>
      </c>
      <c r="AF112" s="40">
        <f>G112*(1-0.825873417721519)</f>
        <v>0</v>
      </c>
      <c r="AG112" s="66" t="s">
        <v>132</v>
      </c>
      <c r="AM112" s="40">
        <f t="shared" si="95"/>
        <v>0</v>
      </c>
      <c r="AN112" s="40">
        <f t="shared" si="96"/>
        <v>0</v>
      </c>
      <c r="AO112" s="69" t="s">
        <v>458</v>
      </c>
      <c r="AP112" s="69" t="s">
        <v>475</v>
      </c>
      <c r="AQ112" s="63" t="s">
        <v>479</v>
      </c>
      <c r="AS112" s="40">
        <f t="shared" si="97"/>
        <v>0</v>
      </c>
      <c r="AT112" s="40">
        <f t="shared" si="98"/>
        <v>0</v>
      </c>
      <c r="AU112" s="40">
        <v>0</v>
      </c>
      <c r="AV112" s="40">
        <f t="shared" si="99"/>
        <v>0.00152</v>
      </c>
    </row>
    <row r="113" spans="1:48" ht="12.75">
      <c r="A113" s="48" t="s">
        <v>187</v>
      </c>
      <c r="B113" s="48"/>
      <c r="C113" s="48" t="s">
        <v>280</v>
      </c>
      <c r="D113" s="48" t="s">
        <v>392</v>
      </c>
      <c r="E113" s="48" t="s">
        <v>425</v>
      </c>
      <c r="F113" s="57">
        <v>4</v>
      </c>
      <c r="G113" s="57">
        <v>0</v>
      </c>
      <c r="H113" s="57">
        <f t="shared" si="80"/>
        <v>0</v>
      </c>
      <c r="I113" s="57">
        <f t="shared" si="81"/>
        <v>0</v>
      </c>
      <c r="J113" s="57">
        <f t="shared" si="82"/>
        <v>0</v>
      </c>
      <c r="K113" s="57">
        <v>0.00033</v>
      </c>
      <c r="L113" s="57">
        <f t="shared" si="83"/>
        <v>0.00132</v>
      </c>
      <c r="M113" s="66" t="s">
        <v>438</v>
      </c>
      <c r="P113" s="40">
        <f t="shared" si="84"/>
        <v>0</v>
      </c>
      <c r="R113" s="40">
        <f t="shared" si="85"/>
        <v>0</v>
      </c>
      <c r="S113" s="40">
        <f t="shared" si="86"/>
        <v>0</v>
      </c>
      <c r="T113" s="40">
        <f t="shared" si="87"/>
        <v>0</v>
      </c>
      <c r="U113" s="40">
        <f t="shared" si="88"/>
        <v>0</v>
      </c>
      <c r="V113" s="40">
        <f t="shared" si="89"/>
        <v>0</v>
      </c>
      <c r="W113" s="40">
        <f t="shared" si="90"/>
        <v>0</v>
      </c>
      <c r="X113" s="40">
        <f t="shared" si="91"/>
        <v>0</v>
      </c>
      <c r="Y113" s="63"/>
      <c r="Z113" s="57">
        <f t="shared" si="92"/>
        <v>0</v>
      </c>
      <c r="AA113" s="57">
        <f t="shared" si="93"/>
        <v>0</v>
      </c>
      <c r="AB113" s="57">
        <f t="shared" si="94"/>
        <v>0</v>
      </c>
      <c r="AD113" s="40">
        <v>21</v>
      </c>
      <c r="AE113" s="40">
        <f>G113*0.709816176470588</f>
        <v>0</v>
      </c>
      <c r="AF113" s="40">
        <f>G113*(1-0.709816176470588)</f>
        <v>0</v>
      </c>
      <c r="AG113" s="66" t="s">
        <v>132</v>
      </c>
      <c r="AM113" s="40">
        <f t="shared" si="95"/>
        <v>0</v>
      </c>
      <c r="AN113" s="40">
        <f t="shared" si="96"/>
        <v>0</v>
      </c>
      <c r="AO113" s="69" t="s">
        <v>458</v>
      </c>
      <c r="AP113" s="69" t="s">
        <v>475</v>
      </c>
      <c r="AQ113" s="63" t="s">
        <v>479</v>
      </c>
      <c r="AS113" s="40">
        <f t="shared" si="97"/>
        <v>0</v>
      </c>
      <c r="AT113" s="40">
        <f t="shared" si="98"/>
        <v>0</v>
      </c>
      <c r="AU113" s="40">
        <v>0</v>
      </c>
      <c r="AV113" s="40">
        <f t="shared" si="99"/>
        <v>0.00132</v>
      </c>
    </row>
    <row r="114" spans="1:48" ht="12.75">
      <c r="A114" s="48" t="s">
        <v>188</v>
      </c>
      <c r="B114" s="48"/>
      <c r="C114" s="48" t="s">
        <v>281</v>
      </c>
      <c r="D114" s="48" t="s">
        <v>393</v>
      </c>
      <c r="E114" s="48" t="s">
        <v>425</v>
      </c>
      <c r="F114" s="57">
        <v>1</v>
      </c>
      <c r="G114" s="57">
        <v>0</v>
      </c>
      <c r="H114" s="57">
        <f t="shared" si="80"/>
        <v>0</v>
      </c>
      <c r="I114" s="57">
        <f t="shared" si="81"/>
        <v>0</v>
      </c>
      <c r="J114" s="57">
        <f t="shared" si="82"/>
        <v>0</v>
      </c>
      <c r="K114" s="57">
        <v>0.00257</v>
      </c>
      <c r="L114" s="57">
        <f t="shared" si="83"/>
        <v>0.00257</v>
      </c>
      <c r="M114" s="66" t="s">
        <v>438</v>
      </c>
      <c r="P114" s="40">
        <f t="shared" si="84"/>
        <v>0</v>
      </c>
      <c r="R114" s="40">
        <f t="shared" si="85"/>
        <v>0</v>
      </c>
      <c r="S114" s="40">
        <f t="shared" si="86"/>
        <v>0</v>
      </c>
      <c r="T114" s="40">
        <f t="shared" si="87"/>
        <v>0</v>
      </c>
      <c r="U114" s="40">
        <f t="shared" si="88"/>
        <v>0</v>
      </c>
      <c r="V114" s="40">
        <f t="shared" si="89"/>
        <v>0</v>
      </c>
      <c r="W114" s="40">
        <f t="shared" si="90"/>
        <v>0</v>
      </c>
      <c r="X114" s="40">
        <f t="shared" si="91"/>
        <v>0</v>
      </c>
      <c r="Y114" s="63"/>
      <c r="Z114" s="57">
        <f t="shared" si="92"/>
        <v>0</v>
      </c>
      <c r="AA114" s="57">
        <f t="shared" si="93"/>
        <v>0</v>
      </c>
      <c r="AB114" s="57">
        <f t="shared" si="94"/>
        <v>0</v>
      </c>
      <c r="AD114" s="40">
        <v>21</v>
      </c>
      <c r="AE114" s="40">
        <f>G114*0.896599423631124</f>
        <v>0</v>
      </c>
      <c r="AF114" s="40">
        <f>G114*(1-0.896599423631124)</f>
        <v>0</v>
      </c>
      <c r="AG114" s="66" t="s">
        <v>132</v>
      </c>
      <c r="AM114" s="40">
        <f t="shared" si="95"/>
        <v>0</v>
      </c>
      <c r="AN114" s="40">
        <f t="shared" si="96"/>
        <v>0</v>
      </c>
      <c r="AO114" s="69" t="s">
        <v>458</v>
      </c>
      <c r="AP114" s="69" t="s">
        <v>475</v>
      </c>
      <c r="AQ114" s="63" t="s">
        <v>479</v>
      </c>
      <c r="AS114" s="40">
        <f t="shared" si="97"/>
        <v>0</v>
      </c>
      <c r="AT114" s="40">
        <f t="shared" si="98"/>
        <v>0</v>
      </c>
      <c r="AU114" s="40">
        <v>0</v>
      </c>
      <c r="AV114" s="40">
        <f t="shared" si="99"/>
        <v>0.00257</v>
      </c>
    </row>
    <row r="115" spans="1:48" ht="12.75">
      <c r="A115" s="48" t="s">
        <v>189</v>
      </c>
      <c r="B115" s="48"/>
      <c r="C115" s="48" t="s">
        <v>282</v>
      </c>
      <c r="D115" s="48" t="s">
        <v>394</v>
      </c>
      <c r="E115" s="48" t="s">
        <v>428</v>
      </c>
      <c r="F115" s="57">
        <v>8</v>
      </c>
      <c r="G115" s="57">
        <v>0</v>
      </c>
      <c r="H115" s="57">
        <f t="shared" si="80"/>
        <v>0</v>
      </c>
      <c r="I115" s="57">
        <f t="shared" si="81"/>
        <v>0</v>
      </c>
      <c r="J115" s="57">
        <f t="shared" si="82"/>
        <v>0</v>
      </c>
      <c r="K115" s="57">
        <v>0.04651</v>
      </c>
      <c r="L115" s="57">
        <f t="shared" si="83"/>
        <v>0.37208</v>
      </c>
      <c r="M115" s="66" t="s">
        <v>438</v>
      </c>
      <c r="P115" s="40">
        <f t="shared" si="84"/>
        <v>0</v>
      </c>
      <c r="R115" s="40">
        <f t="shared" si="85"/>
        <v>0</v>
      </c>
      <c r="S115" s="40">
        <f t="shared" si="86"/>
        <v>0</v>
      </c>
      <c r="T115" s="40">
        <f t="shared" si="87"/>
        <v>0</v>
      </c>
      <c r="U115" s="40">
        <f t="shared" si="88"/>
        <v>0</v>
      </c>
      <c r="V115" s="40">
        <f t="shared" si="89"/>
        <v>0</v>
      </c>
      <c r="W115" s="40">
        <f t="shared" si="90"/>
        <v>0</v>
      </c>
      <c r="X115" s="40">
        <f t="shared" si="91"/>
        <v>0</v>
      </c>
      <c r="Y115" s="63"/>
      <c r="Z115" s="57">
        <f t="shared" si="92"/>
        <v>0</v>
      </c>
      <c r="AA115" s="57">
        <f t="shared" si="93"/>
        <v>0</v>
      </c>
      <c r="AB115" s="57">
        <f t="shared" si="94"/>
        <v>0</v>
      </c>
      <c r="AD115" s="40">
        <v>21</v>
      </c>
      <c r="AE115" s="40">
        <f>G115*0.82420112192273</f>
        <v>0</v>
      </c>
      <c r="AF115" s="40">
        <f>G115*(1-0.82420112192273)</f>
        <v>0</v>
      </c>
      <c r="AG115" s="66" t="s">
        <v>132</v>
      </c>
      <c r="AM115" s="40">
        <f t="shared" si="95"/>
        <v>0</v>
      </c>
      <c r="AN115" s="40">
        <f t="shared" si="96"/>
        <v>0</v>
      </c>
      <c r="AO115" s="69" t="s">
        <v>458</v>
      </c>
      <c r="AP115" s="69" t="s">
        <v>475</v>
      </c>
      <c r="AQ115" s="63" t="s">
        <v>479</v>
      </c>
      <c r="AS115" s="40">
        <f t="shared" si="97"/>
        <v>0</v>
      </c>
      <c r="AT115" s="40">
        <f t="shared" si="98"/>
        <v>0</v>
      </c>
      <c r="AU115" s="40">
        <v>0</v>
      </c>
      <c r="AV115" s="40">
        <f t="shared" si="99"/>
        <v>0.37208</v>
      </c>
    </row>
    <row r="116" spans="1:48" ht="12.75">
      <c r="A116" s="48" t="s">
        <v>190</v>
      </c>
      <c r="B116" s="48"/>
      <c r="C116" s="48" t="s">
        <v>283</v>
      </c>
      <c r="D116" s="48" t="s">
        <v>395</v>
      </c>
      <c r="E116" s="48" t="s">
        <v>428</v>
      </c>
      <c r="F116" s="57">
        <v>4</v>
      </c>
      <c r="G116" s="57">
        <v>0</v>
      </c>
      <c r="H116" s="57">
        <f t="shared" si="80"/>
        <v>0</v>
      </c>
      <c r="I116" s="57">
        <f t="shared" si="81"/>
        <v>0</v>
      </c>
      <c r="J116" s="57">
        <f t="shared" si="82"/>
        <v>0</v>
      </c>
      <c r="K116" s="57">
        <v>0.065</v>
      </c>
      <c r="L116" s="57">
        <f t="shared" si="83"/>
        <v>0.26</v>
      </c>
      <c r="M116" s="66" t="s">
        <v>438</v>
      </c>
      <c r="P116" s="40">
        <f t="shared" si="84"/>
        <v>0</v>
      </c>
      <c r="R116" s="40">
        <f t="shared" si="85"/>
        <v>0</v>
      </c>
      <c r="S116" s="40">
        <f t="shared" si="86"/>
        <v>0</v>
      </c>
      <c r="T116" s="40">
        <f t="shared" si="87"/>
        <v>0</v>
      </c>
      <c r="U116" s="40">
        <f t="shared" si="88"/>
        <v>0</v>
      </c>
      <c r="V116" s="40">
        <f t="shared" si="89"/>
        <v>0</v>
      </c>
      <c r="W116" s="40">
        <f t="shared" si="90"/>
        <v>0</v>
      </c>
      <c r="X116" s="40">
        <f t="shared" si="91"/>
        <v>0</v>
      </c>
      <c r="Y116" s="63"/>
      <c r="Z116" s="57">
        <f t="shared" si="92"/>
        <v>0</v>
      </c>
      <c r="AA116" s="57">
        <f t="shared" si="93"/>
        <v>0</v>
      </c>
      <c r="AB116" s="57">
        <f t="shared" si="94"/>
        <v>0</v>
      </c>
      <c r="AD116" s="40">
        <v>21</v>
      </c>
      <c r="AE116" s="40">
        <f>G116*0.850787779308667</f>
        <v>0</v>
      </c>
      <c r="AF116" s="40">
        <f>G116*(1-0.850787779308667)</f>
        <v>0</v>
      </c>
      <c r="AG116" s="66" t="s">
        <v>132</v>
      </c>
      <c r="AM116" s="40">
        <f t="shared" si="95"/>
        <v>0</v>
      </c>
      <c r="AN116" s="40">
        <f t="shared" si="96"/>
        <v>0</v>
      </c>
      <c r="AO116" s="69" t="s">
        <v>458</v>
      </c>
      <c r="AP116" s="69" t="s">
        <v>475</v>
      </c>
      <c r="AQ116" s="63" t="s">
        <v>479</v>
      </c>
      <c r="AS116" s="40">
        <f t="shared" si="97"/>
        <v>0</v>
      </c>
      <c r="AT116" s="40">
        <f t="shared" si="98"/>
        <v>0</v>
      </c>
      <c r="AU116" s="40">
        <v>0</v>
      </c>
      <c r="AV116" s="40">
        <f t="shared" si="99"/>
        <v>0.26</v>
      </c>
    </row>
    <row r="117" spans="1:48" ht="12.75">
      <c r="A117" s="48" t="s">
        <v>191</v>
      </c>
      <c r="B117" s="48"/>
      <c r="C117" s="48" t="s">
        <v>284</v>
      </c>
      <c r="D117" s="48" t="s">
        <v>396</v>
      </c>
      <c r="E117" s="48" t="s">
        <v>428</v>
      </c>
      <c r="F117" s="57">
        <v>4</v>
      </c>
      <c r="G117" s="57">
        <v>0</v>
      </c>
      <c r="H117" s="57">
        <f t="shared" si="80"/>
        <v>0</v>
      </c>
      <c r="I117" s="57">
        <f t="shared" si="81"/>
        <v>0</v>
      </c>
      <c r="J117" s="57">
        <f t="shared" si="82"/>
        <v>0</v>
      </c>
      <c r="K117" s="57">
        <v>0.06525</v>
      </c>
      <c r="L117" s="57">
        <f t="shared" si="83"/>
        <v>0.261</v>
      </c>
      <c r="M117" s="66" t="s">
        <v>438</v>
      </c>
      <c r="P117" s="40">
        <f t="shared" si="84"/>
        <v>0</v>
      </c>
      <c r="R117" s="40">
        <f t="shared" si="85"/>
        <v>0</v>
      </c>
      <c r="S117" s="40">
        <f t="shared" si="86"/>
        <v>0</v>
      </c>
      <c r="T117" s="40">
        <f t="shared" si="87"/>
        <v>0</v>
      </c>
      <c r="U117" s="40">
        <f t="shared" si="88"/>
        <v>0</v>
      </c>
      <c r="V117" s="40">
        <f t="shared" si="89"/>
        <v>0</v>
      </c>
      <c r="W117" s="40">
        <f t="shared" si="90"/>
        <v>0</v>
      </c>
      <c r="X117" s="40">
        <f t="shared" si="91"/>
        <v>0</v>
      </c>
      <c r="Y117" s="63"/>
      <c r="Z117" s="57">
        <f t="shared" si="92"/>
        <v>0</v>
      </c>
      <c r="AA117" s="57">
        <f t="shared" si="93"/>
        <v>0</v>
      </c>
      <c r="AB117" s="57">
        <f t="shared" si="94"/>
        <v>0</v>
      </c>
      <c r="AD117" s="40">
        <v>21</v>
      </c>
      <c r="AE117" s="40">
        <f>G117*0.896717191837787</f>
        <v>0</v>
      </c>
      <c r="AF117" s="40">
        <f>G117*(1-0.896717191837787)</f>
        <v>0</v>
      </c>
      <c r="AG117" s="66" t="s">
        <v>132</v>
      </c>
      <c r="AM117" s="40">
        <f t="shared" si="95"/>
        <v>0</v>
      </c>
      <c r="AN117" s="40">
        <f t="shared" si="96"/>
        <v>0</v>
      </c>
      <c r="AO117" s="69" t="s">
        <v>458</v>
      </c>
      <c r="AP117" s="69" t="s">
        <v>475</v>
      </c>
      <c r="AQ117" s="63" t="s">
        <v>479</v>
      </c>
      <c r="AS117" s="40">
        <f t="shared" si="97"/>
        <v>0</v>
      </c>
      <c r="AT117" s="40">
        <f t="shared" si="98"/>
        <v>0</v>
      </c>
      <c r="AU117" s="40">
        <v>0</v>
      </c>
      <c r="AV117" s="40">
        <f t="shared" si="99"/>
        <v>0.261</v>
      </c>
    </row>
    <row r="118" spans="1:48" ht="12.75">
      <c r="A118" s="48" t="s">
        <v>192</v>
      </c>
      <c r="B118" s="48"/>
      <c r="C118" s="48" t="s">
        <v>285</v>
      </c>
      <c r="D118" s="48" t="s">
        <v>397</v>
      </c>
      <c r="E118" s="48" t="s">
        <v>425</v>
      </c>
      <c r="F118" s="57">
        <v>2</v>
      </c>
      <c r="G118" s="57">
        <v>0</v>
      </c>
      <c r="H118" s="57">
        <f t="shared" si="80"/>
        <v>0</v>
      </c>
      <c r="I118" s="57">
        <f t="shared" si="81"/>
        <v>0</v>
      </c>
      <c r="J118" s="57">
        <f t="shared" si="82"/>
        <v>0</v>
      </c>
      <c r="K118" s="57">
        <v>0.04024</v>
      </c>
      <c r="L118" s="57">
        <f t="shared" si="83"/>
        <v>0.08048</v>
      </c>
      <c r="M118" s="66" t="s">
        <v>438</v>
      </c>
      <c r="P118" s="40">
        <f t="shared" si="84"/>
        <v>0</v>
      </c>
      <c r="R118" s="40">
        <f t="shared" si="85"/>
        <v>0</v>
      </c>
      <c r="S118" s="40">
        <f t="shared" si="86"/>
        <v>0</v>
      </c>
      <c r="T118" s="40">
        <f t="shared" si="87"/>
        <v>0</v>
      </c>
      <c r="U118" s="40">
        <f t="shared" si="88"/>
        <v>0</v>
      </c>
      <c r="V118" s="40">
        <f t="shared" si="89"/>
        <v>0</v>
      </c>
      <c r="W118" s="40">
        <f t="shared" si="90"/>
        <v>0</v>
      </c>
      <c r="X118" s="40">
        <f t="shared" si="91"/>
        <v>0</v>
      </c>
      <c r="Y118" s="63"/>
      <c r="Z118" s="57">
        <f t="shared" si="92"/>
        <v>0</v>
      </c>
      <c r="AA118" s="57">
        <f t="shared" si="93"/>
        <v>0</v>
      </c>
      <c r="AB118" s="57">
        <f t="shared" si="94"/>
        <v>0</v>
      </c>
      <c r="AD118" s="40">
        <v>21</v>
      </c>
      <c r="AE118" s="40">
        <f>G118*0.843310545454546</f>
        <v>0</v>
      </c>
      <c r="AF118" s="40">
        <f>G118*(1-0.843310545454546)</f>
        <v>0</v>
      </c>
      <c r="AG118" s="66" t="s">
        <v>132</v>
      </c>
      <c r="AM118" s="40">
        <f t="shared" si="95"/>
        <v>0</v>
      </c>
      <c r="AN118" s="40">
        <f t="shared" si="96"/>
        <v>0</v>
      </c>
      <c r="AO118" s="69" t="s">
        <v>458</v>
      </c>
      <c r="AP118" s="69" t="s">
        <v>475</v>
      </c>
      <c r="AQ118" s="63" t="s">
        <v>479</v>
      </c>
      <c r="AS118" s="40">
        <f t="shared" si="97"/>
        <v>0</v>
      </c>
      <c r="AT118" s="40">
        <f t="shared" si="98"/>
        <v>0</v>
      </c>
      <c r="AU118" s="40">
        <v>0</v>
      </c>
      <c r="AV118" s="40">
        <f t="shared" si="99"/>
        <v>0.08048</v>
      </c>
    </row>
    <row r="119" spans="1:48" ht="12.75">
      <c r="A119" s="48" t="s">
        <v>193</v>
      </c>
      <c r="B119" s="48"/>
      <c r="C119" s="48" t="s">
        <v>286</v>
      </c>
      <c r="D119" s="48" t="s">
        <v>398</v>
      </c>
      <c r="E119" s="48" t="s">
        <v>428</v>
      </c>
      <c r="F119" s="57">
        <v>14</v>
      </c>
      <c r="G119" s="57">
        <v>0</v>
      </c>
      <c r="H119" s="57">
        <f t="shared" si="80"/>
        <v>0</v>
      </c>
      <c r="I119" s="57">
        <f t="shared" si="81"/>
        <v>0</v>
      </c>
      <c r="J119" s="57">
        <f t="shared" si="82"/>
        <v>0</v>
      </c>
      <c r="K119" s="57">
        <v>0.00752</v>
      </c>
      <c r="L119" s="57">
        <f t="shared" si="83"/>
        <v>0.10528</v>
      </c>
      <c r="M119" s="66" t="s">
        <v>438</v>
      </c>
      <c r="P119" s="40">
        <f t="shared" si="84"/>
        <v>0</v>
      </c>
      <c r="R119" s="40">
        <f t="shared" si="85"/>
        <v>0</v>
      </c>
      <c r="S119" s="40">
        <f t="shared" si="86"/>
        <v>0</v>
      </c>
      <c r="T119" s="40">
        <f t="shared" si="87"/>
        <v>0</v>
      </c>
      <c r="U119" s="40">
        <f t="shared" si="88"/>
        <v>0</v>
      </c>
      <c r="V119" s="40">
        <f t="shared" si="89"/>
        <v>0</v>
      </c>
      <c r="W119" s="40">
        <f t="shared" si="90"/>
        <v>0</v>
      </c>
      <c r="X119" s="40">
        <f t="shared" si="91"/>
        <v>0</v>
      </c>
      <c r="Y119" s="63"/>
      <c r="Z119" s="57">
        <f t="shared" si="92"/>
        <v>0</v>
      </c>
      <c r="AA119" s="57">
        <f t="shared" si="93"/>
        <v>0</v>
      </c>
      <c r="AB119" s="57">
        <f t="shared" si="94"/>
        <v>0</v>
      </c>
      <c r="AD119" s="40">
        <v>21</v>
      </c>
      <c r="AE119" s="40">
        <f>G119*0.466724832214765</f>
        <v>0</v>
      </c>
      <c r="AF119" s="40">
        <f>G119*(1-0.466724832214765)</f>
        <v>0</v>
      </c>
      <c r="AG119" s="66" t="s">
        <v>132</v>
      </c>
      <c r="AM119" s="40">
        <f t="shared" si="95"/>
        <v>0</v>
      </c>
      <c r="AN119" s="40">
        <f t="shared" si="96"/>
        <v>0</v>
      </c>
      <c r="AO119" s="69" t="s">
        <v>458</v>
      </c>
      <c r="AP119" s="69" t="s">
        <v>475</v>
      </c>
      <c r="AQ119" s="63" t="s">
        <v>479</v>
      </c>
      <c r="AS119" s="40">
        <f t="shared" si="97"/>
        <v>0</v>
      </c>
      <c r="AT119" s="40">
        <f t="shared" si="98"/>
        <v>0</v>
      </c>
      <c r="AU119" s="40">
        <v>0</v>
      </c>
      <c r="AV119" s="40">
        <f t="shared" si="99"/>
        <v>0.10528</v>
      </c>
    </row>
    <row r="120" spans="1:48" ht="12.75">
      <c r="A120" s="48" t="s">
        <v>194</v>
      </c>
      <c r="B120" s="48"/>
      <c r="C120" s="48" t="s">
        <v>287</v>
      </c>
      <c r="D120" s="48" t="s">
        <v>399</v>
      </c>
      <c r="E120" s="48" t="s">
        <v>428</v>
      </c>
      <c r="F120" s="57">
        <v>8</v>
      </c>
      <c r="G120" s="57">
        <v>0</v>
      </c>
      <c r="H120" s="57">
        <f t="shared" si="80"/>
        <v>0</v>
      </c>
      <c r="I120" s="57">
        <f t="shared" si="81"/>
        <v>0</v>
      </c>
      <c r="J120" s="57">
        <f t="shared" si="82"/>
        <v>0</v>
      </c>
      <c r="K120" s="57">
        <v>0.011</v>
      </c>
      <c r="L120" s="57">
        <f t="shared" si="83"/>
        <v>0.088</v>
      </c>
      <c r="M120" s="66" t="s">
        <v>438</v>
      </c>
      <c r="P120" s="40">
        <f t="shared" si="84"/>
        <v>0</v>
      </c>
      <c r="R120" s="40">
        <f t="shared" si="85"/>
        <v>0</v>
      </c>
      <c r="S120" s="40">
        <f t="shared" si="86"/>
        <v>0</v>
      </c>
      <c r="T120" s="40">
        <f t="shared" si="87"/>
        <v>0</v>
      </c>
      <c r="U120" s="40">
        <f t="shared" si="88"/>
        <v>0</v>
      </c>
      <c r="V120" s="40">
        <f t="shared" si="89"/>
        <v>0</v>
      </c>
      <c r="W120" s="40">
        <f t="shared" si="90"/>
        <v>0</v>
      </c>
      <c r="X120" s="40">
        <f t="shared" si="91"/>
        <v>0</v>
      </c>
      <c r="Y120" s="63"/>
      <c r="Z120" s="57">
        <f t="shared" si="92"/>
        <v>0</v>
      </c>
      <c r="AA120" s="57">
        <f t="shared" si="93"/>
        <v>0</v>
      </c>
      <c r="AB120" s="57">
        <f t="shared" si="94"/>
        <v>0</v>
      </c>
      <c r="AD120" s="40">
        <v>21</v>
      </c>
      <c r="AE120" s="40">
        <f>G120*0.494053360697794</f>
        <v>0</v>
      </c>
      <c r="AF120" s="40">
        <f>G120*(1-0.494053360697794)</f>
        <v>0</v>
      </c>
      <c r="AG120" s="66" t="s">
        <v>132</v>
      </c>
      <c r="AM120" s="40">
        <f t="shared" si="95"/>
        <v>0</v>
      </c>
      <c r="AN120" s="40">
        <f t="shared" si="96"/>
        <v>0</v>
      </c>
      <c r="AO120" s="69" t="s">
        <v>458</v>
      </c>
      <c r="AP120" s="69" t="s">
        <v>475</v>
      </c>
      <c r="AQ120" s="63" t="s">
        <v>479</v>
      </c>
      <c r="AS120" s="40">
        <f t="shared" si="97"/>
        <v>0</v>
      </c>
      <c r="AT120" s="40">
        <f t="shared" si="98"/>
        <v>0</v>
      </c>
      <c r="AU120" s="40">
        <v>0</v>
      </c>
      <c r="AV120" s="40">
        <f t="shared" si="99"/>
        <v>0.088</v>
      </c>
    </row>
    <row r="121" spans="1:48" ht="12.75">
      <c r="A121" s="48" t="s">
        <v>195</v>
      </c>
      <c r="B121" s="48"/>
      <c r="C121" s="48" t="s">
        <v>288</v>
      </c>
      <c r="D121" s="48" t="s">
        <v>400</v>
      </c>
      <c r="E121" s="48" t="s">
        <v>428</v>
      </c>
      <c r="F121" s="57">
        <v>2</v>
      </c>
      <c r="G121" s="57">
        <v>0</v>
      </c>
      <c r="H121" s="57">
        <f t="shared" si="80"/>
        <v>0</v>
      </c>
      <c r="I121" s="57">
        <f t="shared" si="81"/>
        <v>0</v>
      </c>
      <c r="J121" s="57">
        <f t="shared" si="82"/>
        <v>0</v>
      </c>
      <c r="K121" s="57">
        <v>0.0496</v>
      </c>
      <c r="L121" s="57">
        <f t="shared" si="83"/>
        <v>0.0992</v>
      </c>
      <c r="M121" s="66" t="s">
        <v>438</v>
      </c>
      <c r="P121" s="40">
        <f t="shared" si="84"/>
        <v>0</v>
      </c>
      <c r="R121" s="40">
        <f t="shared" si="85"/>
        <v>0</v>
      </c>
      <c r="S121" s="40">
        <f t="shared" si="86"/>
        <v>0</v>
      </c>
      <c r="T121" s="40">
        <f t="shared" si="87"/>
        <v>0</v>
      </c>
      <c r="U121" s="40">
        <f t="shared" si="88"/>
        <v>0</v>
      </c>
      <c r="V121" s="40">
        <f t="shared" si="89"/>
        <v>0</v>
      </c>
      <c r="W121" s="40">
        <f t="shared" si="90"/>
        <v>0</v>
      </c>
      <c r="X121" s="40">
        <f t="shared" si="91"/>
        <v>0</v>
      </c>
      <c r="Y121" s="63"/>
      <c r="Z121" s="57">
        <f t="shared" si="92"/>
        <v>0</v>
      </c>
      <c r="AA121" s="57">
        <f t="shared" si="93"/>
        <v>0</v>
      </c>
      <c r="AB121" s="57">
        <f t="shared" si="94"/>
        <v>0</v>
      </c>
      <c r="AD121" s="40">
        <v>21</v>
      </c>
      <c r="AE121" s="40">
        <f>G121*0.928008741258741</f>
        <v>0</v>
      </c>
      <c r="AF121" s="40">
        <f>G121*(1-0.928008741258741)</f>
        <v>0</v>
      </c>
      <c r="AG121" s="66" t="s">
        <v>132</v>
      </c>
      <c r="AM121" s="40">
        <f t="shared" si="95"/>
        <v>0</v>
      </c>
      <c r="AN121" s="40">
        <f t="shared" si="96"/>
        <v>0</v>
      </c>
      <c r="AO121" s="69" t="s">
        <v>458</v>
      </c>
      <c r="AP121" s="69" t="s">
        <v>475</v>
      </c>
      <c r="AQ121" s="63" t="s">
        <v>479</v>
      </c>
      <c r="AS121" s="40">
        <f t="shared" si="97"/>
        <v>0</v>
      </c>
      <c r="AT121" s="40">
        <f t="shared" si="98"/>
        <v>0</v>
      </c>
      <c r="AU121" s="40">
        <v>0</v>
      </c>
      <c r="AV121" s="40">
        <f t="shared" si="99"/>
        <v>0.0992</v>
      </c>
    </row>
    <row r="122" spans="1:48" ht="12.75">
      <c r="A122" s="49" t="s">
        <v>196</v>
      </c>
      <c r="B122" s="49"/>
      <c r="C122" s="49" t="s">
        <v>289</v>
      </c>
      <c r="D122" s="49" t="s">
        <v>401</v>
      </c>
      <c r="E122" s="49" t="s">
        <v>425</v>
      </c>
      <c r="F122" s="58">
        <v>2</v>
      </c>
      <c r="G122" s="58">
        <v>0</v>
      </c>
      <c r="H122" s="58">
        <f t="shared" si="80"/>
        <v>0</v>
      </c>
      <c r="I122" s="58">
        <f t="shared" si="81"/>
        <v>0</v>
      </c>
      <c r="J122" s="58">
        <f t="shared" si="82"/>
        <v>0</v>
      </c>
      <c r="K122" s="58">
        <v>0</v>
      </c>
      <c r="L122" s="58">
        <f t="shared" si="83"/>
        <v>0</v>
      </c>
      <c r="M122" s="67" t="s">
        <v>438</v>
      </c>
      <c r="P122" s="40">
        <f t="shared" si="84"/>
        <v>0</v>
      </c>
      <c r="R122" s="40">
        <f t="shared" si="85"/>
        <v>0</v>
      </c>
      <c r="S122" s="40">
        <f t="shared" si="86"/>
        <v>0</v>
      </c>
      <c r="T122" s="40">
        <f t="shared" si="87"/>
        <v>0</v>
      </c>
      <c r="U122" s="40">
        <f t="shared" si="88"/>
        <v>0</v>
      </c>
      <c r="V122" s="40">
        <f t="shared" si="89"/>
        <v>0</v>
      </c>
      <c r="W122" s="40">
        <f t="shared" si="90"/>
        <v>0</v>
      </c>
      <c r="X122" s="40">
        <f t="shared" si="91"/>
        <v>0</v>
      </c>
      <c r="Y122" s="63"/>
      <c r="Z122" s="58">
        <f t="shared" si="92"/>
        <v>0</v>
      </c>
      <c r="AA122" s="58">
        <f t="shared" si="93"/>
        <v>0</v>
      </c>
      <c r="AB122" s="58">
        <f t="shared" si="94"/>
        <v>0</v>
      </c>
      <c r="AD122" s="40">
        <v>21</v>
      </c>
      <c r="AE122" s="40">
        <f>G122*1</f>
        <v>0</v>
      </c>
      <c r="AF122" s="40">
        <f>G122*(1-1)</f>
        <v>0</v>
      </c>
      <c r="AG122" s="67" t="s">
        <v>132</v>
      </c>
      <c r="AM122" s="40">
        <f t="shared" si="95"/>
        <v>0</v>
      </c>
      <c r="AN122" s="40">
        <f t="shared" si="96"/>
        <v>0</v>
      </c>
      <c r="AO122" s="69" t="s">
        <v>458</v>
      </c>
      <c r="AP122" s="69" t="s">
        <v>475</v>
      </c>
      <c r="AQ122" s="63" t="s">
        <v>479</v>
      </c>
      <c r="AS122" s="40">
        <f t="shared" si="97"/>
        <v>0</v>
      </c>
      <c r="AT122" s="40">
        <f t="shared" si="98"/>
        <v>0</v>
      </c>
      <c r="AU122" s="40">
        <v>0</v>
      </c>
      <c r="AV122" s="40">
        <f t="shared" si="99"/>
        <v>0</v>
      </c>
    </row>
    <row r="123" spans="1:37" ht="12.75">
      <c r="A123" s="47"/>
      <c r="B123" s="54"/>
      <c r="C123" s="54" t="s">
        <v>88</v>
      </c>
      <c r="D123" s="54" t="s">
        <v>111</v>
      </c>
      <c r="E123" s="47" t="s">
        <v>74</v>
      </c>
      <c r="F123" s="47" t="s">
        <v>74</v>
      </c>
      <c r="G123" s="47" t="s">
        <v>74</v>
      </c>
      <c r="H123" s="71">
        <f>SUM(H124:H125)</f>
        <v>0</v>
      </c>
      <c r="I123" s="71">
        <f>SUM(I124:I125)</f>
        <v>0</v>
      </c>
      <c r="J123" s="71">
        <f>H123+I123</f>
        <v>0</v>
      </c>
      <c r="K123" s="63"/>
      <c r="L123" s="71">
        <f>SUM(L124:L125)</f>
        <v>0.34086000000000005</v>
      </c>
      <c r="M123" s="63"/>
      <c r="Y123" s="63"/>
      <c r="AI123" s="71">
        <f>SUM(Z124:Z125)</f>
        <v>0</v>
      </c>
      <c r="AJ123" s="71">
        <f>SUM(AA124:AA125)</f>
        <v>0</v>
      </c>
      <c r="AK123" s="71">
        <f>SUM(AB124:AB125)</f>
        <v>0</v>
      </c>
    </row>
    <row r="124" spans="1:48" ht="12.75">
      <c r="A124" s="49" t="s">
        <v>197</v>
      </c>
      <c r="B124" s="49"/>
      <c r="C124" s="49" t="s">
        <v>290</v>
      </c>
      <c r="D124" s="49" t="s">
        <v>402</v>
      </c>
      <c r="E124" s="49" t="s">
        <v>425</v>
      </c>
      <c r="F124" s="58">
        <v>2</v>
      </c>
      <c r="G124" s="58">
        <v>0</v>
      </c>
      <c r="H124" s="58">
        <f>F124*AE124</f>
        <v>0</v>
      </c>
      <c r="I124" s="58">
        <f>J124-H124</f>
        <v>0</v>
      </c>
      <c r="J124" s="58">
        <f>F124*G124</f>
        <v>0</v>
      </c>
      <c r="K124" s="58">
        <v>0.17</v>
      </c>
      <c r="L124" s="58">
        <f>F124*K124</f>
        <v>0.34</v>
      </c>
      <c r="M124" s="67" t="s">
        <v>438</v>
      </c>
      <c r="P124" s="40">
        <f>IF(AG124="5",J124,0)</f>
        <v>0</v>
      </c>
      <c r="R124" s="40">
        <f>IF(AG124="1",H124,0)</f>
        <v>0</v>
      </c>
      <c r="S124" s="40">
        <f>IF(AG124="1",I124,0)</f>
        <v>0</v>
      </c>
      <c r="T124" s="40">
        <f>IF(AG124="7",H124,0)</f>
        <v>0</v>
      </c>
      <c r="U124" s="40">
        <f>IF(AG124="7",I124,0)</f>
        <v>0</v>
      </c>
      <c r="V124" s="40">
        <f>IF(AG124="2",H124,0)</f>
        <v>0</v>
      </c>
      <c r="W124" s="40">
        <f>IF(AG124="2",I124,0)</f>
        <v>0</v>
      </c>
      <c r="X124" s="40">
        <f>IF(AG124="0",J124,0)</f>
        <v>0</v>
      </c>
      <c r="Y124" s="63"/>
      <c r="Z124" s="58">
        <f>IF(AD124=0,J124,0)</f>
        <v>0</v>
      </c>
      <c r="AA124" s="58">
        <f>IF(AD124=15,J124,0)</f>
        <v>0</v>
      </c>
      <c r="AB124" s="58">
        <f>IF(AD124=21,J124,0)</f>
        <v>0</v>
      </c>
      <c r="AD124" s="40">
        <v>21</v>
      </c>
      <c r="AE124" s="40">
        <f>G124*1</f>
        <v>0</v>
      </c>
      <c r="AF124" s="40">
        <f>G124*(1-1)</f>
        <v>0</v>
      </c>
      <c r="AG124" s="67" t="s">
        <v>132</v>
      </c>
      <c r="AM124" s="40">
        <f>F124*AE124</f>
        <v>0</v>
      </c>
      <c r="AN124" s="40">
        <f>F124*AF124</f>
        <v>0</v>
      </c>
      <c r="AO124" s="69" t="s">
        <v>459</v>
      </c>
      <c r="AP124" s="69" t="s">
        <v>476</v>
      </c>
      <c r="AQ124" s="63" t="s">
        <v>479</v>
      </c>
      <c r="AS124" s="40">
        <f>AM124+AN124</f>
        <v>0</v>
      </c>
      <c r="AT124" s="40">
        <f>G124/(100-AU124)*100</f>
        <v>0</v>
      </c>
      <c r="AU124" s="40">
        <v>0</v>
      </c>
      <c r="AV124" s="40">
        <f>L124</f>
        <v>0.34</v>
      </c>
    </row>
    <row r="125" spans="1:48" ht="12.75">
      <c r="A125" s="48" t="s">
        <v>198</v>
      </c>
      <c r="B125" s="48"/>
      <c r="C125" s="48" t="s">
        <v>291</v>
      </c>
      <c r="D125" s="48" t="s">
        <v>403</v>
      </c>
      <c r="E125" s="48" t="s">
        <v>425</v>
      </c>
      <c r="F125" s="57">
        <v>2</v>
      </c>
      <c r="G125" s="57">
        <v>0</v>
      </c>
      <c r="H125" s="57">
        <f>F125*AE125</f>
        <v>0</v>
      </c>
      <c r="I125" s="57">
        <f>J125-H125</f>
        <v>0</v>
      </c>
      <c r="J125" s="57">
        <f>F125*G125</f>
        <v>0</v>
      </c>
      <c r="K125" s="57">
        <v>0.00043</v>
      </c>
      <c r="L125" s="57">
        <f>F125*K125</f>
        <v>0.00086</v>
      </c>
      <c r="M125" s="66" t="s">
        <v>438</v>
      </c>
      <c r="P125" s="40">
        <f>IF(AG125="5",J125,0)</f>
        <v>0</v>
      </c>
      <c r="R125" s="40">
        <f>IF(AG125="1",H125,0)</f>
        <v>0</v>
      </c>
      <c r="S125" s="40">
        <f>IF(AG125="1",I125,0)</f>
        <v>0</v>
      </c>
      <c r="T125" s="40">
        <f>IF(AG125="7",H125,0)</f>
        <v>0</v>
      </c>
      <c r="U125" s="40">
        <f>IF(AG125="7",I125,0)</f>
        <v>0</v>
      </c>
      <c r="V125" s="40">
        <f>IF(AG125="2",H125,0)</f>
        <v>0</v>
      </c>
      <c r="W125" s="40">
        <f>IF(AG125="2",I125,0)</f>
        <v>0</v>
      </c>
      <c r="X125" s="40">
        <f>IF(AG125="0",J125,0)</f>
        <v>0</v>
      </c>
      <c r="Y125" s="63"/>
      <c r="Z125" s="57">
        <f>IF(AD125=0,J125,0)</f>
        <v>0</v>
      </c>
      <c r="AA125" s="57">
        <f>IF(AD125=15,J125,0)</f>
        <v>0</v>
      </c>
      <c r="AB125" s="57">
        <f>IF(AD125=21,J125,0)</f>
        <v>0</v>
      </c>
      <c r="AD125" s="40">
        <v>21</v>
      </c>
      <c r="AE125" s="40">
        <f>G125*0.0251848937475703</f>
        <v>0</v>
      </c>
      <c r="AF125" s="40">
        <f>G125*(1-0.0251848937475703)</f>
        <v>0</v>
      </c>
      <c r="AG125" s="66" t="s">
        <v>132</v>
      </c>
      <c r="AM125" s="40">
        <f>F125*AE125</f>
        <v>0</v>
      </c>
      <c r="AN125" s="40">
        <f>F125*AF125</f>
        <v>0</v>
      </c>
      <c r="AO125" s="69" t="s">
        <v>459</v>
      </c>
      <c r="AP125" s="69" t="s">
        <v>476</v>
      </c>
      <c r="AQ125" s="63" t="s">
        <v>479</v>
      </c>
      <c r="AS125" s="40">
        <f>AM125+AN125</f>
        <v>0</v>
      </c>
      <c r="AT125" s="40">
        <f>G125/(100-AU125)*100</f>
        <v>0</v>
      </c>
      <c r="AU125" s="40">
        <v>0</v>
      </c>
      <c r="AV125" s="40">
        <f>L125</f>
        <v>0.00086</v>
      </c>
    </row>
    <row r="126" spans="1:37" ht="12.75">
      <c r="A126" s="47"/>
      <c r="B126" s="54"/>
      <c r="C126" s="54" t="s">
        <v>89</v>
      </c>
      <c r="D126" s="54" t="s">
        <v>112</v>
      </c>
      <c r="E126" s="47" t="s">
        <v>74</v>
      </c>
      <c r="F126" s="47" t="s">
        <v>74</v>
      </c>
      <c r="G126" s="47" t="s">
        <v>74</v>
      </c>
      <c r="H126" s="71">
        <f>SUM(H127:H129)</f>
        <v>0</v>
      </c>
      <c r="I126" s="71">
        <f>SUM(I127:I129)</f>
        <v>0</v>
      </c>
      <c r="J126" s="71">
        <f>H126+I126</f>
        <v>0</v>
      </c>
      <c r="K126" s="63"/>
      <c r="L126" s="71">
        <f>SUM(L127:L129)</f>
        <v>0.013560000000000001</v>
      </c>
      <c r="M126" s="63"/>
      <c r="Y126" s="63"/>
      <c r="AI126" s="71">
        <f>SUM(Z127:Z129)</f>
        <v>0</v>
      </c>
      <c r="AJ126" s="71">
        <f>SUM(AA127:AA129)</f>
        <v>0</v>
      </c>
      <c r="AK126" s="71">
        <f>SUM(AB127:AB129)</f>
        <v>0</v>
      </c>
    </row>
    <row r="127" spans="1:48" ht="12.75">
      <c r="A127" s="48" t="s">
        <v>199</v>
      </c>
      <c r="B127" s="48"/>
      <c r="C127" s="48" t="s">
        <v>292</v>
      </c>
      <c r="D127" s="48" t="s">
        <v>404</v>
      </c>
      <c r="E127" s="48" t="s">
        <v>426</v>
      </c>
      <c r="F127" s="57">
        <v>16</v>
      </c>
      <c r="G127" s="57">
        <v>0</v>
      </c>
      <c r="H127" s="57">
        <f>F127*AE127</f>
        <v>0</v>
      </c>
      <c r="I127" s="57">
        <f>J127-H127</f>
        <v>0</v>
      </c>
      <c r="J127" s="57">
        <f>F127*G127</f>
        <v>0</v>
      </c>
      <c r="K127" s="57">
        <v>9E-05</v>
      </c>
      <c r="L127" s="57">
        <f>F127*K127</f>
        <v>0.00144</v>
      </c>
      <c r="M127" s="66" t="s">
        <v>438</v>
      </c>
      <c r="P127" s="40">
        <f>IF(AG127="5",J127,0)</f>
        <v>0</v>
      </c>
      <c r="R127" s="40">
        <f>IF(AG127="1",H127,0)</f>
        <v>0</v>
      </c>
      <c r="S127" s="40">
        <f>IF(AG127="1",I127,0)</f>
        <v>0</v>
      </c>
      <c r="T127" s="40">
        <f>IF(AG127="7",H127,0)</f>
        <v>0</v>
      </c>
      <c r="U127" s="40">
        <f>IF(AG127="7",I127,0)</f>
        <v>0</v>
      </c>
      <c r="V127" s="40">
        <f>IF(AG127="2",H127,0)</f>
        <v>0</v>
      </c>
      <c r="W127" s="40">
        <f>IF(AG127="2",I127,0)</f>
        <v>0</v>
      </c>
      <c r="X127" s="40">
        <f>IF(AG127="0",J127,0)</f>
        <v>0</v>
      </c>
      <c r="Y127" s="63"/>
      <c r="Z127" s="57">
        <f>IF(AD127=0,J127,0)</f>
        <v>0</v>
      </c>
      <c r="AA127" s="57">
        <f>IF(AD127=15,J127,0)</f>
        <v>0</v>
      </c>
      <c r="AB127" s="57">
        <f>IF(AD127=21,J127,0)</f>
        <v>0</v>
      </c>
      <c r="AD127" s="40">
        <v>21</v>
      </c>
      <c r="AE127" s="40">
        <f>G127*0.220853858784893</f>
        <v>0</v>
      </c>
      <c r="AF127" s="40">
        <f>G127*(1-0.220853858784893)</f>
        <v>0</v>
      </c>
      <c r="AG127" s="66" t="s">
        <v>132</v>
      </c>
      <c r="AM127" s="40">
        <f>F127*AE127</f>
        <v>0</v>
      </c>
      <c r="AN127" s="40">
        <f>F127*AF127</f>
        <v>0</v>
      </c>
      <c r="AO127" s="69" t="s">
        <v>460</v>
      </c>
      <c r="AP127" s="69" t="s">
        <v>477</v>
      </c>
      <c r="AQ127" s="63" t="s">
        <v>479</v>
      </c>
      <c r="AS127" s="40">
        <f>AM127+AN127</f>
        <v>0</v>
      </c>
      <c r="AT127" s="40">
        <f>G127/(100-AU127)*100</f>
        <v>0</v>
      </c>
      <c r="AU127" s="40">
        <v>0</v>
      </c>
      <c r="AV127" s="40">
        <f>L127</f>
        <v>0.00144</v>
      </c>
    </row>
    <row r="128" spans="1:48" ht="12.75">
      <c r="A128" s="48" t="s">
        <v>200</v>
      </c>
      <c r="B128" s="48"/>
      <c r="C128" s="48" t="s">
        <v>293</v>
      </c>
      <c r="D128" s="48" t="s">
        <v>405</v>
      </c>
      <c r="E128" s="48" t="s">
        <v>426</v>
      </c>
      <c r="F128" s="57">
        <v>32</v>
      </c>
      <c r="G128" s="57">
        <v>0</v>
      </c>
      <c r="H128" s="57">
        <f>F128*AE128</f>
        <v>0</v>
      </c>
      <c r="I128" s="57">
        <f>J128-H128</f>
        <v>0</v>
      </c>
      <c r="J128" s="57">
        <f>F128*G128</f>
        <v>0</v>
      </c>
      <c r="K128" s="57">
        <v>0.00012</v>
      </c>
      <c r="L128" s="57">
        <f>F128*K128</f>
        <v>0.00384</v>
      </c>
      <c r="M128" s="66" t="s">
        <v>438</v>
      </c>
      <c r="P128" s="40">
        <f>IF(AG128="5",J128,0)</f>
        <v>0</v>
      </c>
      <c r="R128" s="40">
        <f>IF(AG128="1",H128,0)</f>
        <v>0</v>
      </c>
      <c r="S128" s="40">
        <f>IF(AG128="1",I128,0)</f>
        <v>0</v>
      </c>
      <c r="T128" s="40">
        <f>IF(AG128="7",H128,0)</f>
        <v>0</v>
      </c>
      <c r="U128" s="40">
        <f>IF(AG128="7",I128,0)</f>
        <v>0</v>
      </c>
      <c r="V128" s="40">
        <f>IF(AG128="2",H128,0)</f>
        <v>0</v>
      </c>
      <c r="W128" s="40">
        <f>IF(AG128="2",I128,0)</f>
        <v>0</v>
      </c>
      <c r="X128" s="40">
        <f>IF(AG128="0",J128,0)</f>
        <v>0</v>
      </c>
      <c r="Y128" s="63"/>
      <c r="Z128" s="57">
        <f>IF(AD128=0,J128,0)</f>
        <v>0</v>
      </c>
      <c r="AA128" s="57">
        <f>IF(AD128=15,J128,0)</f>
        <v>0</v>
      </c>
      <c r="AB128" s="57">
        <f>IF(AD128=21,J128,0)</f>
        <v>0</v>
      </c>
      <c r="AD128" s="40">
        <v>21</v>
      </c>
      <c r="AE128" s="40">
        <f>G128*0.224221921515562</f>
        <v>0</v>
      </c>
      <c r="AF128" s="40">
        <f>G128*(1-0.224221921515562)</f>
        <v>0</v>
      </c>
      <c r="AG128" s="66" t="s">
        <v>132</v>
      </c>
      <c r="AM128" s="40">
        <f>F128*AE128</f>
        <v>0</v>
      </c>
      <c r="AN128" s="40">
        <f>F128*AF128</f>
        <v>0</v>
      </c>
      <c r="AO128" s="69" t="s">
        <v>460</v>
      </c>
      <c r="AP128" s="69" t="s">
        <v>477</v>
      </c>
      <c r="AQ128" s="63" t="s">
        <v>479</v>
      </c>
      <c r="AS128" s="40">
        <f>AM128+AN128</f>
        <v>0</v>
      </c>
      <c r="AT128" s="40">
        <f>G128/(100-AU128)*100</f>
        <v>0</v>
      </c>
      <c r="AU128" s="40">
        <v>0</v>
      </c>
      <c r="AV128" s="40">
        <f>L128</f>
        <v>0.00384</v>
      </c>
    </row>
    <row r="129" spans="1:48" ht="12.75">
      <c r="A129" s="48" t="s">
        <v>201</v>
      </c>
      <c r="B129" s="48"/>
      <c r="C129" s="48" t="s">
        <v>294</v>
      </c>
      <c r="D129" s="48" t="s">
        <v>406</v>
      </c>
      <c r="E129" s="48" t="s">
        <v>426</v>
      </c>
      <c r="F129" s="57">
        <v>46</v>
      </c>
      <c r="G129" s="57">
        <v>0</v>
      </c>
      <c r="H129" s="57">
        <f>F129*AE129</f>
        <v>0</v>
      </c>
      <c r="I129" s="57">
        <f>J129-H129</f>
        <v>0</v>
      </c>
      <c r="J129" s="57">
        <f>F129*G129</f>
        <v>0</v>
      </c>
      <c r="K129" s="57">
        <v>0.00018</v>
      </c>
      <c r="L129" s="57">
        <f>F129*K129</f>
        <v>0.008280000000000001</v>
      </c>
      <c r="M129" s="66" t="s">
        <v>438</v>
      </c>
      <c r="P129" s="40">
        <f>IF(AG129="5",J129,0)</f>
        <v>0</v>
      </c>
      <c r="R129" s="40">
        <f>IF(AG129="1",H129,0)</f>
        <v>0</v>
      </c>
      <c r="S129" s="40">
        <f>IF(AG129="1",I129,0)</f>
        <v>0</v>
      </c>
      <c r="T129" s="40">
        <f>IF(AG129="7",H129,0)</f>
        <v>0</v>
      </c>
      <c r="U129" s="40">
        <f>IF(AG129="7",I129,0)</f>
        <v>0</v>
      </c>
      <c r="V129" s="40">
        <f>IF(AG129="2",H129,0)</f>
        <v>0</v>
      </c>
      <c r="W129" s="40">
        <f>IF(AG129="2",I129,0)</f>
        <v>0</v>
      </c>
      <c r="X129" s="40">
        <f>IF(AG129="0",J129,0)</f>
        <v>0</v>
      </c>
      <c r="Y129" s="63"/>
      <c r="Z129" s="57">
        <f>IF(AD129=0,J129,0)</f>
        <v>0</v>
      </c>
      <c r="AA129" s="57">
        <f>IF(AD129=15,J129,0)</f>
        <v>0</v>
      </c>
      <c r="AB129" s="57">
        <f>IF(AD129=21,J129,0)</f>
        <v>0</v>
      </c>
      <c r="AD129" s="40">
        <v>21</v>
      </c>
      <c r="AE129" s="40">
        <f>G129*0.279350104821803</f>
        <v>0</v>
      </c>
      <c r="AF129" s="40">
        <f>G129*(1-0.279350104821803)</f>
        <v>0</v>
      </c>
      <c r="AG129" s="66" t="s">
        <v>132</v>
      </c>
      <c r="AM129" s="40">
        <f>F129*AE129</f>
        <v>0</v>
      </c>
      <c r="AN129" s="40">
        <f>F129*AF129</f>
        <v>0</v>
      </c>
      <c r="AO129" s="69" t="s">
        <v>460</v>
      </c>
      <c r="AP129" s="69" t="s">
        <v>477</v>
      </c>
      <c r="AQ129" s="63" t="s">
        <v>479</v>
      </c>
      <c r="AS129" s="40">
        <f>AM129+AN129</f>
        <v>0</v>
      </c>
      <c r="AT129" s="40">
        <f>G129/(100-AU129)*100</f>
        <v>0</v>
      </c>
      <c r="AU129" s="40">
        <v>0</v>
      </c>
      <c r="AV129" s="40">
        <f>L129</f>
        <v>0.008280000000000001</v>
      </c>
    </row>
    <row r="130" spans="1:37" ht="12.75">
      <c r="A130" s="47"/>
      <c r="B130" s="54"/>
      <c r="C130" s="54" t="s">
        <v>90</v>
      </c>
      <c r="D130" s="54" t="s">
        <v>113</v>
      </c>
      <c r="E130" s="47" t="s">
        <v>74</v>
      </c>
      <c r="F130" s="47" t="s">
        <v>74</v>
      </c>
      <c r="G130" s="47" t="s">
        <v>74</v>
      </c>
      <c r="H130" s="71">
        <f>SUM(H131:H131)</f>
        <v>0</v>
      </c>
      <c r="I130" s="71">
        <f>SUM(I131:I131)</f>
        <v>0</v>
      </c>
      <c r="J130" s="71">
        <f>H130+I130</f>
        <v>0</v>
      </c>
      <c r="K130" s="63"/>
      <c r="L130" s="71">
        <f>SUM(L131:L131)</f>
        <v>17.2976</v>
      </c>
      <c r="M130" s="63"/>
      <c r="Y130" s="63"/>
      <c r="AI130" s="71">
        <f>SUM(Z131:Z131)</f>
        <v>0</v>
      </c>
      <c r="AJ130" s="71">
        <f>SUM(AA131:AA131)</f>
        <v>0</v>
      </c>
      <c r="AK130" s="71">
        <f>SUM(AB131:AB131)</f>
        <v>0</v>
      </c>
    </row>
    <row r="131" spans="1:48" ht="12.75">
      <c r="A131" s="48" t="s">
        <v>202</v>
      </c>
      <c r="B131" s="48"/>
      <c r="C131" s="48" t="s">
        <v>295</v>
      </c>
      <c r="D131" s="48" t="s">
        <v>407</v>
      </c>
      <c r="E131" s="48" t="s">
        <v>424</v>
      </c>
      <c r="F131" s="57">
        <v>32</v>
      </c>
      <c r="G131" s="57">
        <v>0</v>
      </c>
      <c r="H131" s="57">
        <f>F131*AE131</f>
        <v>0</v>
      </c>
      <c r="I131" s="57">
        <f>J131-H131</f>
        <v>0</v>
      </c>
      <c r="J131" s="57">
        <f>F131*G131</f>
        <v>0</v>
      </c>
      <c r="K131" s="57">
        <v>0.54055</v>
      </c>
      <c r="L131" s="57">
        <f>F131*K131</f>
        <v>17.2976</v>
      </c>
      <c r="M131" s="66" t="s">
        <v>438</v>
      </c>
      <c r="P131" s="40">
        <f>IF(AG131="5",J131,0)</f>
        <v>0</v>
      </c>
      <c r="R131" s="40">
        <f>IF(AG131="1",H131,0)</f>
        <v>0</v>
      </c>
      <c r="S131" s="40">
        <f>IF(AG131="1",I131,0)</f>
        <v>0</v>
      </c>
      <c r="T131" s="40">
        <f>IF(AG131="7",H131,0)</f>
        <v>0</v>
      </c>
      <c r="U131" s="40">
        <f>IF(AG131="7",I131,0)</f>
        <v>0</v>
      </c>
      <c r="V131" s="40">
        <f>IF(AG131="2",H131,0)</f>
        <v>0</v>
      </c>
      <c r="W131" s="40">
        <f>IF(AG131="2",I131,0)</f>
        <v>0</v>
      </c>
      <c r="X131" s="40">
        <f>IF(AG131="0",J131,0)</f>
        <v>0</v>
      </c>
      <c r="Y131" s="63"/>
      <c r="Z131" s="57">
        <f>IF(AD131=0,J131,0)</f>
        <v>0</v>
      </c>
      <c r="AA131" s="57">
        <f>IF(AD131=15,J131,0)</f>
        <v>0</v>
      </c>
      <c r="AB131" s="57">
        <f>IF(AD131=21,J131,0)</f>
        <v>0</v>
      </c>
      <c r="AD131" s="40">
        <v>21</v>
      </c>
      <c r="AE131" s="40">
        <f>G131*0.0128431672573273</f>
        <v>0</v>
      </c>
      <c r="AF131" s="40">
        <f>G131*(1-0.0128431672573273)</f>
        <v>0</v>
      </c>
      <c r="AG131" s="66" t="s">
        <v>126</v>
      </c>
      <c r="AM131" s="40">
        <f>F131*AE131</f>
        <v>0</v>
      </c>
      <c r="AN131" s="40">
        <f>F131*AF131</f>
        <v>0</v>
      </c>
      <c r="AO131" s="69" t="s">
        <v>461</v>
      </c>
      <c r="AP131" s="69" t="s">
        <v>478</v>
      </c>
      <c r="AQ131" s="63" t="s">
        <v>479</v>
      </c>
      <c r="AS131" s="40">
        <f>AM131+AN131</f>
        <v>0</v>
      </c>
      <c r="AT131" s="40">
        <f>G131/(100-AU131)*100</f>
        <v>0</v>
      </c>
      <c r="AU131" s="40">
        <v>0</v>
      </c>
      <c r="AV131" s="40">
        <f>L131</f>
        <v>17.2976</v>
      </c>
    </row>
    <row r="132" ht="12.75">
      <c r="D132" s="55" t="s">
        <v>408</v>
      </c>
    </row>
    <row r="133" spans="1:37" ht="12.75">
      <c r="A133" s="47"/>
      <c r="B133" s="54"/>
      <c r="C133" s="54" t="s">
        <v>91</v>
      </c>
      <c r="D133" s="54" t="s">
        <v>105</v>
      </c>
      <c r="E133" s="47" t="s">
        <v>74</v>
      </c>
      <c r="F133" s="47" t="s">
        <v>74</v>
      </c>
      <c r="G133" s="47" t="s">
        <v>74</v>
      </c>
      <c r="H133" s="71">
        <f>SUM(H134:H134)</f>
        <v>0</v>
      </c>
      <c r="I133" s="71">
        <f>SUM(I134:I134)</f>
        <v>0</v>
      </c>
      <c r="J133" s="71">
        <f>H133+I133</f>
        <v>0</v>
      </c>
      <c r="K133" s="63"/>
      <c r="L133" s="71">
        <f>SUM(L134:L134)</f>
        <v>0</v>
      </c>
      <c r="M133" s="63"/>
      <c r="Y133" s="63"/>
      <c r="AI133" s="71">
        <f>SUM(Z134:Z134)</f>
        <v>0</v>
      </c>
      <c r="AJ133" s="71">
        <f>SUM(AA134:AA134)</f>
        <v>0</v>
      </c>
      <c r="AK133" s="71">
        <f>SUM(AB134:AB134)</f>
        <v>0</v>
      </c>
    </row>
    <row r="134" spans="1:48" ht="12.75">
      <c r="A134" s="48" t="s">
        <v>203</v>
      </c>
      <c r="B134" s="48"/>
      <c r="C134" s="48" t="s">
        <v>296</v>
      </c>
      <c r="D134" s="48" t="s">
        <v>409</v>
      </c>
      <c r="E134" s="48" t="s">
        <v>71</v>
      </c>
      <c r="F134" s="57">
        <v>89.85</v>
      </c>
      <c r="G134" s="57">
        <v>0</v>
      </c>
      <c r="H134" s="57">
        <f>F134*AE134</f>
        <v>0</v>
      </c>
      <c r="I134" s="57">
        <f>J134-H134</f>
        <v>0</v>
      </c>
      <c r="J134" s="57">
        <f>F134*G134</f>
        <v>0</v>
      </c>
      <c r="K134" s="57">
        <v>0</v>
      </c>
      <c r="L134" s="57">
        <f>F134*K134</f>
        <v>0</v>
      </c>
      <c r="M134" s="66" t="s">
        <v>438</v>
      </c>
      <c r="P134" s="40">
        <f>IF(AG134="5",J134,0)</f>
        <v>0</v>
      </c>
      <c r="R134" s="40">
        <f>IF(AG134="1",H134,0)</f>
        <v>0</v>
      </c>
      <c r="S134" s="40">
        <f>IF(AG134="1",I134,0)</f>
        <v>0</v>
      </c>
      <c r="T134" s="40">
        <f>IF(AG134="7",H134,0)</f>
        <v>0</v>
      </c>
      <c r="U134" s="40">
        <f>IF(AG134="7",I134,0)</f>
        <v>0</v>
      </c>
      <c r="V134" s="40">
        <f>IF(AG134="2",H134,0)</f>
        <v>0</v>
      </c>
      <c r="W134" s="40">
        <f>IF(AG134="2",I134,0)</f>
        <v>0</v>
      </c>
      <c r="X134" s="40">
        <f>IF(AG134="0",J134,0)</f>
        <v>0</v>
      </c>
      <c r="Y134" s="63"/>
      <c r="Z134" s="57">
        <f>IF(AD134=0,J134,0)</f>
        <v>0</v>
      </c>
      <c r="AA134" s="57">
        <f>IF(AD134=15,J134,0)</f>
        <v>0</v>
      </c>
      <c r="AB134" s="57">
        <f>IF(AD134=21,J134,0)</f>
        <v>0</v>
      </c>
      <c r="AD134" s="40">
        <v>21</v>
      </c>
      <c r="AE134" s="40">
        <f>G134*0</f>
        <v>0</v>
      </c>
      <c r="AF134" s="40">
        <f>G134*(1-0)</f>
        <v>0</v>
      </c>
      <c r="AG134" s="66" t="s">
        <v>130</v>
      </c>
      <c r="AM134" s="40">
        <f>F134*AE134</f>
        <v>0</v>
      </c>
      <c r="AN134" s="40">
        <f>F134*AF134</f>
        <v>0</v>
      </c>
      <c r="AO134" s="69" t="s">
        <v>462</v>
      </c>
      <c r="AP134" s="69" t="s">
        <v>478</v>
      </c>
      <c r="AQ134" s="63" t="s">
        <v>479</v>
      </c>
      <c r="AS134" s="40">
        <f>AM134+AN134</f>
        <v>0</v>
      </c>
      <c r="AT134" s="40">
        <f>G134/(100-AU134)*100</f>
        <v>0</v>
      </c>
      <c r="AU134" s="40">
        <v>0</v>
      </c>
      <c r="AV134" s="40">
        <f>L134</f>
        <v>0</v>
      </c>
    </row>
    <row r="135" spans="1:37" ht="12.75">
      <c r="A135" s="47"/>
      <c r="B135" s="54"/>
      <c r="C135" s="54" t="s">
        <v>92</v>
      </c>
      <c r="D135" s="54" t="s">
        <v>106</v>
      </c>
      <c r="E135" s="47" t="s">
        <v>74</v>
      </c>
      <c r="F135" s="47" t="s">
        <v>74</v>
      </c>
      <c r="G135" s="47" t="s">
        <v>74</v>
      </c>
      <c r="H135" s="71">
        <f>SUM(H136:H136)</f>
        <v>0</v>
      </c>
      <c r="I135" s="71">
        <f>SUM(I136:I136)</f>
        <v>0</v>
      </c>
      <c r="J135" s="71">
        <f>H135+I135</f>
        <v>0</v>
      </c>
      <c r="K135" s="63"/>
      <c r="L135" s="71">
        <f>SUM(L136:L136)</f>
        <v>0</v>
      </c>
      <c r="M135" s="63"/>
      <c r="Y135" s="63"/>
      <c r="AI135" s="71">
        <f>SUM(Z136:Z136)</f>
        <v>0</v>
      </c>
      <c r="AJ135" s="71">
        <f>SUM(AA136:AA136)</f>
        <v>0</v>
      </c>
      <c r="AK135" s="71">
        <f>SUM(AB136:AB136)</f>
        <v>0</v>
      </c>
    </row>
    <row r="136" spans="1:48" ht="12.75">
      <c r="A136" s="48" t="s">
        <v>204</v>
      </c>
      <c r="B136" s="48"/>
      <c r="C136" s="48" t="s">
        <v>297</v>
      </c>
      <c r="D136" s="48" t="s">
        <v>410</v>
      </c>
      <c r="E136" s="48" t="s">
        <v>71</v>
      </c>
      <c r="F136" s="57">
        <v>213.77</v>
      </c>
      <c r="G136" s="57">
        <v>0</v>
      </c>
      <c r="H136" s="57">
        <f>F136*AE136</f>
        <v>0</v>
      </c>
      <c r="I136" s="57">
        <f>J136-H136</f>
        <v>0</v>
      </c>
      <c r="J136" s="57">
        <f>F136*G136</f>
        <v>0</v>
      </c>
      <c r="K136" s="57">
        <v>0</v>
      </c>
      <c r="L136" s="57">
        <f>F136*K136</f>
        <v>0</v>
      </c>
      <c r="M136" s="66" t="s">
        <v>438</v>
      </c>
      <c r="P136" s="40">
        <f>IF(AG136="5",J136,0)</f>
        <v>0</v>
      </c>
      <c r="R136" s="40">
        <f>IF(AG136="1",H136,0)</f>
        <v>0</v>
      </c>
      <c r="S136" s="40">
        <f>IF(AG136="1",I136,0)</f>
        <v>0</v>
      </c>
      <c r="T136" s="40">
        <f>IF(AG136="7",H136,0)</f>
        <v>0</v>
      </c>
      <c r="U136" s="40">
        <f>IF(AG136="7",I136,0)</f>
        <v>0</v>
      </c>
      <c r="V136" s="40">
        <f>IF(AG136="2",H136,0)</f>
        <v>0</v>
      </c>
      <c r="W136" s="40">
        <f>IF(AG136="2",I136,0)</f>
        <v>0</v>
      </c>
      <c r="X136" s="40">
        <f>IF(AG136="0",J136,0)</f>
        <v>0</v>
      </c>
      <c r="Y136" s="63"/>
      <c r="Z136" s="57">
        <f>IF(AD136=0,J136,0)</f>
        <v>0</v>
      </c>
      <c r="AA136" s="57">
        <f>IF(AD136=15,J136,0)</f>
        <v>0</v>
      </c>
      <c r="AB136" s="57">
        <f>IF(AD136=21,J136,0)</f>
        <v>0</v>
      </c>
      <c r="AD136" s="40">
        <v>21</v>
      </c>
      <c r="AE136" s="40">
        <f>G136*0</f>
        <v>0</v>
      </c>
      <c r="AF136" s="40">
        <f>G136*(1-0)</f>
        <v>0</v>
      </c>
      <c r="AG136" s="66" t="s">
        <v>130</v>
      </c>
      <c r="AM136" s="40">
        <f>F136*AE136</f>
        <v>0</v>
      </c>
      <c r="AN136" s="40">
        <f>F136*AF136</f>
        <v>0</v>
      </c>
      <c r="AO136" s="69" t="s">
        <v>463</v>
      </c>
      <c r="AP136" s="69" t="s">
        <v>478</v>
      </c>
      <c r="AQ136" s="63" t="s">
        <v>479</v>
      </c>
      <c r="AS136" s="40">
        <f>AM136+AN136</f>
        <v>0</v>
      </c>
      <c r="AT136" s="40">
        <f>G136/(100-AU136)*100</f>
        <v>0</v>
      </c>
      <c r="AU136" s="40">
        <v>0</v>
      </c>
      <c r="AV136" s="40">
        <f>L136</f>
        <v>0</v>
      </c>
    </row>
    <row r="137" spans="1:37" ht="12.75">
      <c r="A137" s="47"/>
      <c r="B137" s="54"/>
      <c r="C137" s="54" t="s">
        <v>93</v>
      </c>
      <c r="D137" s="54" t="s">
        <v>107</v>
      </c>
      <c r="E137" s="47" t="s">
        <v>74</v>
      </c>
      <c r="F137" s="47" t="s">
        <v>74</v>
      </c>
      <c r="G137" s="47" t="s">
        <v>74</v>
      </c>
      <c r="H137" s="71">
        <f>SUM(H138:H138)</f>
        <v>0</v>
      </c>
      <c r="I137" s="71">
        <f>SUM(I138:I138)</f>
        <v>0</v>
      </c>
      <c r="J137" s="71">
        <f>H137+I137</f>
        <v>0</v>
      </c>
      <c r="K137" s="63"/>
      <c r="L137" s="71">
        <f>SUM(L138:L138)</f>
        <v>0</v>
      </c>
      <c r="M137" s="63"/>
      <c r="Y137" s="63"/>
      <c r="AI137" s="71">
        <f>SUM(Z138:Z138)</f>
        <v>0</v>
      </c>
      <c r="AJ137" s="71">
        <f>SUM(AA138:AA138)</f>
        <v>0</v>
      </c>
      <c r="AK137" s="71">
        <f>SUM(AB138:AB138)</f>
        <v>0</v>
      </c>
    </row>
    <row r="138" spans="1:48" ht="12.75">
      <c r="A138" s="48" t="s">
        <v>205</v>
      </c>
      <c r="B138" s="48"/>
      <c r="C138" s="48" t="s">
        <v>298</v>
      </c>
      <c r="D138" s="48" t="s">
        <v>411</v>
      </c>
      <c r="E138" s="48" t="s">
        <v>71</v>
      </c>
      <c r="F138" s="57">
        <v>5565.21</v>
      </c>
      <c r="G138" s="57">
        <v>0</v>
      </c>
      <c r="H138" s="57">
        <f>F138*AE138</f>
        <v>0</v>
      </c>
      <c r="I138" s="57">
        <f>J138-H138</f>
        <v>0</v>
      </c>
      <c r="J138" s="57">
        <f>F138*G138</f>
        <v>0</v>
      </c>
      <c r="K138" s="57">
        <v>0</v>
      </c>
      <c r="L138" s="57">
        <f>F138*K138</f>
        <v>0</v>
      </c>
      <c r="M138" s="66" t="s">
        <v>438</v>
      </c>
      <c r="P138" s="40">
        <f>IF(AG138="5",J138,0)</f>
        <v>0</v>
      </c>
      <c r="R138" s="40">
        <f>IF(AG138="1",H138,0)</f>
        <v>0</v>
      </c>
      <c r="S138" s="40">
        <f>IF(AG138="1",I138,0)</f>
        <v>0</v>
      </c>
      <c r="T138" s="40">
        <f>IF(AG138="7",H138,0)</f>
        <v>0</v>
      </c>
      <c r="U138" s="40">
        <f>IF(AG138="7",I138,0)</f>
        <v>0</v>
      </c>
      <c r="V138" s="40">
        <f>IF(AG138="2",H138,0)</f>
        <v>0</v>
      </c>
      <c r="W138" s="40">
        <f>IF(AG138="2",I138,0)</f>
        <v>0</v>
      </c>
      <c r="X138" s="40">
        <f>IF(AG138="0",J138,0)</f>
        <v>0</v>
      </c>
      <c r="Y138" s="63"/>
      <c r="Z138" s="57">
        <f>IF(AD138=0,J138,0)</f>
        <v>0</v>
      </c>
      <c r="AA138" s="57">
        <f>IF(AD138=15,J138,0)</f>
        <v>0</v>
      </c>
      <c r="AB138" s="57">
        <f>IF(AD138=21,J138,0)</f>
        <v>0</v>
      </c>
      <c r="AD138" s="40">
        <v>21</v>
      </c>
      <c r="AE138" s="40">
        <f>G138*0</f>
        <v>0</v>
      </c>
      <c r="AF138" s="40">
        <f>G138*(1-0)</f>
        <v>0</v>
      </c>
      <c r="AG138" s="66" t="s">
        <v>130</v>
      </c>
      <c r="AM138" s="40">
        <f>F138*AE138</f>
        <v>0</v>
      </c>
      <c r="AN138" s="40">
        <f>F138*AF138</f>
        <v>0</v>
      </c>
      <c r="AO138" s="69" t="s">
        <v>464</v>
      </c>
      <c r="AP138" s="69" t="s">
        <v>478</v>
      </c>
      <c r="AQ138" s="63" t="s">
        <v>479</v>
      </c>
      <c r="AS138" s="40">
        <f>AM138+AN138</f>
        <v>0</v>
      </c>
      <c r="AT138" s="40">
        <f>G138/(100-AU138)*100</f>
        <v>0</v>
      </c>
      <c r="AU138" s="40">
        <v>0</v>
      </c>
      <c r="AV138" s="40">
        <f>L138</f>
        <v>0</v>
      </c>
    </row>
    <row r="139" spans="1:37" ht="12.75">
      <c r="A139" s="47"/>
      <c r="B139" s="54"/>
      <c r="C139" s="54" t="s">
        <v>94</v>
      </c>
      <c r="D139" s="54" t="s">
        <v>108</v>
      </c>
      <c r="E139" s="47" t="s">
        <v>74</v>
      </c>
      <c r="F139" s="47" t="s">
        <v>74</v>
      </c>
      <c r="G139" s="47" t="s">
        <v>74</v>
      </c>
      <c r="H139" s="71">
        <f>SUM(H140:H140)</f>
        <v>0</v>
      </c>
      <c r="I139" s="71">
        <f>SUM(I140:I140)</f>
        <v>0</v>
      </c>
      <c r="J139" s="71">
        <f>H139+I139</f>
        <v>0</v>
      </c>
      <c r="K139" s="63"/>
      <c r="L139" s="71">
        <f>SUM(L140:L140)</f>
        <v>0</v>
      </c>
      <c r="M139" s="63"/>
      <c r="Y139" s="63"/>
      <c r="AI139" s="71">
        <f>SUM(Z140:Z140)</f>
        <v>0</v>
      </c>
      <c r="AJ139" s="71">
        <f>SUM(AA140:AA140)</f>
        <v>0</v>
      </c>
      <c r="AK139" s="71">
        <f>SUM(AB140:AB140)</f>
        <v>0</v>
      </c>
    </row>
    <row r="140" spans="1:48" ht="12.75">
      <c r="A140" s="48" t="s">
        <v>206</v>
      </c>
      <c r="B140" s="48"/>
      <c r="C140" s="48" t="s">
        <v>299</v>
      </c>
      <c r="D140" s="48" t="s">
        <v>412</v>
      </c>
      <c r="E140" s="48" t="s">
        <v>71</v>
      </c>
      <c r="F140" s="57">
        <v>2045.4</v>
      </c>
      <c r="G140" s="57">
        <v>0</v>
      </c>
      <c r="H140" s="57">
        <f>F140*AE140</f>
        <v>0</v>
      </c>
      <c r="I140" s="57">
        <f>J140-H140</f>
        <v>0</v>
      </c>
      <c r="J140" s="57">
        <f>F140*G140</f>
        <v>0</v>
      </c>
      <c r="K140" s="57">
        <v>0</v>
      </c>
      <c r="L140" s="57">
        <f>F140*K140</f>
        <v>0</v>
      </c>
      <c r="M140" s="66" t="s">
        <v>438</v>
      </c>
      <c r="P140" s="40">
        <f>IF(AG140="5",J140,0)</f>
        <v>0</v>
      </c>
      <c r="R140" s="40">
        <f>IF(AG140="1",H140,0)</f>
        <v>0</v>
      </c>
      <c r="S140" s="40">
        <f>IF(AG140="1",I140,0)</f>
        <v>0</v>
      </c>
      <c r="T140" s="40">
        <f>IF(AG140="7",H140,0)</f>
        <v>0</v>
      </c>
      <c r="U140" s="40">
        <f>IF(AG140="7",I140,0)</f>
        <v>0</v>
      </c>
      <c r="V140" s="40">
        <f>IF(AG140="2",H140,0)</f>
        <v>0</v>
      </c>
      <c r="W140" s="40">
        <f>IF(AG140="2",I140,0)</f>
        <v>0</v>
      </c>
      <c r="X140" s="40">
        <f>IF(AG140="0",J140,0)</f>
        <v>0</v>
      </c>
      <c r="Y140" s="63"/>
      <c r="Z140" s="57">
        <f>IF(AD140=0,J140,0)</f>
        <v>0</v>
      </c>
      <c r="AA140" s="57">
        <f>IF(AD140=15,J140,0)</f>
        <v>0</v>
      </c>
      <c r="AB140" s="57">
        <f>IF(AD140=21,J140,0)</f>
        <v>0</v>
      </c>
      <c r="AD140" s="40">
        <v>21</v>
      </c>
      <c r="AE140" s="40">
        <f>G140*0</f>
        <v>0</v>
      </c>
      <c r="AF140" s="40">
        <f>G140*(1-0)</f>
        <v>0</v>
      </c>
      <c r="AG140" s="66" t="s">
        <v>130</v>
      </c>
      <c r="AM140" s="40">
        <f>F140*AE140</f>
        <v>0</v>
      </c>
      <c r="AN140" s="40">
        <f>F140*AF140</f>
        <v>0</v>
      </c>
      <c r="AO140" s="69" t="s">
        <v>465</v>
      </c>
      <c r="AP140" s="69" t="s">
        <v>478</v>
      </c>
      <c r="AQ140" s="63" t="s">
        <v>479</v>
      </c>
      <c r="AS140" s="40">
        <f>AM140+AN140</f>
        <v>0</v>
      </c>
      <c r="AT140" s="40">
        <f>G140/(100-AU140)*100</f>
        <v>0</v>
      </c>
      <c r="AU140" s="40">
        <v>0</v>
      </c>
      <c r="AV140" s="40">
        <f>L140</f>
        <v>0</v>
      </c>
    </row>
    <row r="141" spans="1:37" ht="12.75">
      <c r="A141" s="47"/>
      <c r="B141" s="54"/>
      <c r="C141" s="54" t="s">
        <v>95</v>
      </c>
      <c r="D141" s="54" t="s">
        <v>109</v>
      </c>
      <c r="E141" s="47" t="s">
        <v>74</v>
      </c>
      <c r="F141" s="47" t="s">
        <v>74</v>
      </c>
      <c r="G141" s="47" t="s">
        <v>74</v>
      </c>
      <c r="H141" s="71">
        <f>SUM(H142:H142)</f>
        <v>0</v>
      </c>
      <c r="I141" s="71">
        <f>SUM(I142:I142)</f>
        <v>0</v>
      </c>
      <c r="J141" s="71">
        <f>H141+I141</f>
        <v>0</v>
      </c>
      <c r="K141" s="63"/>
      <c r="L141" s="71">
        <f>SUM(L142:L142)</f>
        <v>0</v>
      </c>
      <c r="M141" s="63"/>
      <c r="Y141" s="63"/>
      <c r="AI141" s="71">
        <f>SUM(Z142:Z142)</f>
        <v>0</v>
      </c>
      <c r="AJ141" s="71">
        <f>SUM(AA142:AA142)</f>
        <v>0</v>
      </c>
      <c r="AK141" s="71">
        <f>SUM(AB142:AB142)</f>
        <v>0</v>
      </c>
    </row>
    <row r="142" spans="1:48" ht="12.75">
      <c r="A142" s="48" t="s">
        <v>207</v>
      </c>
      <c r="B142" s="48"/>
      <c r="C142" s="48" t="s">
        <v>300</v>
      </c>
      <c r="D142" s="48" t="s">
        <v>413</v>
      </c>
      <c r="E142" s="48" t="s">
        <v>71</v>
      </c>
      <c r="F142" s="57">
        <v>2216.54</v>
      </c>
      <c r="G142" s="57">
        <v>0</v>
      </c>
      <c r="H142" s="57">
        <f>F142*AE142</f>
        <v>0</v>
      </c>
      <c r="I142" s="57">
        <f>J142-H142</f>
        <v>0</v>
      </c>
      <c r="J142" s="57">
        <f>F142*G142</f>
        <v>0</v>
      </c>
      <c r="K142" s="57">
        <v>0</v>
      </c>
      <c r="L142" s="57">
        <f>F142*K142</f>
        <v>0</v>
      </c>
      <c r="M142" s="66" t="s">
        <v>438</v>
      </c>
      <c r="P142" s="40">
        <f>IF(AG142="5",J142,0)</f>
        <v>0</v>
      </c>
      <c r="R142" s="40">
        <f>IF(AG142="1",H142,0)</f>
        <v>0</v>
      </c>
      <c r="S142" s="40">
        <f>IF(AG142="1",I142,0)</f>
        <v>0</v>
      </c>
      <c r="T142" s="40">
        <f>IF(AG142="7",H142,0)</f>
        <v>0</v>
      </c>
      <c r="U142" s="40">
        <f>IF(AG142="7",I142,0)</f>
        <v>0</v>
      </c>
      <c r="V142" s="40">
        <f>IF(AG142="2",H142,0)</f>
        <v>0</v>
      </c>
      <c r="W142" s="40">
        <f>IF(AG142="2",I142,0)</f>
        <v>0</v>
      </c>
      <c r="X142" s="40">
        <f>IF(AG142="0",J142,0)</f>
        <v>0</v>
      </c>
      <c r="Y142" s="63"/>
      <c r="Z142" s="57">
        <f>IF(AD142=0,J142,0)</f>
        <v>0</v>
      </c>
      <c r="AA142" s="57">
        <f>IF(AD142=15,J142,0)</f>
        <v>0</v>
      </c>
      <c r="AB142" s="57">
        <f>IF(AD142=21,J142,0)</f>
        <v>0</v>
      </c>
      <c r="AD142" s="40">
        <v>21</v>
      </c>
      <c r="AE142" s="40">
        <f>G142*0</f>
        <v>0</v>
      </c>
      <c r="AF142" s="40">
        <f>G142*(1-0)</f>
        <v>0</v>
      </c>
      <c r="AG142" s="66" t="s">
        <v>130</v>
      </c>
      <c r="AM142" s="40">
        <f>F142*AE142</f>
        <v>0</v>
      </c>
      <c r="AN142" s="40">
        <f>F142*AF142</f>
        <v>0</v>
      </c>
      <c r="AO142" s="69" t="s">
        <v>466</v>
      </c>
      <c r="AP142" s="69" t="s">
        <v>478</v>
      </c>
      <c r="AQ142" s="63" t="s">
        <v>479</v>
      </c>
      <c r="AS142" s="40">
        <f>AM142+AN142</f>
        <v>0</v>
      </c>
      <c r="AT142" s="40">
        <f>G142/(100-AU142)*100</f>
        <v>0</v>
      </c>
      <c r="AU142" s="40">
        <v>0</v>
      </c>
      <c r="AV142" s="40">
        <f>L142</f>
        <v>0</v>
      </c>
    </row>
    <row r="143" spans="1:37" ht="12.75">
      <c r="A143" s="47"/>
      <c r="B143" s="54"/>
      <c r="C143" s="54" t="s">
        <v>96</v>
      </c>
      <c r="D143" s="54" t="s">
        <v>110</v>
      </c>
      <c r="E143" s="47" t="s">
        <v>74</v>
      </c>
      <c r="F143" s="47" t="s">
        <v>74</v>
      </c>
      <c r="G143" s="47" t="s">
        <v>74</v>
      </c>
      <c r="H143" s="71">
        <f>SUM(H144:H144)</f>
        <v>0</v>
      </c>
      <c r="I143" s="71">
        <f>SUM(I144:I144)</f>
        <v>0</v>
      </c>
      <c r="J143" s="71">
        <f>H143+I143</f>
        <v>0</v>
      </c>
      <c r="K143" s="63"/>
      <c r="L143" s="71">
        <f>SUM(L144:L144)</f>
        <v>0</v>
      </c>
      <c r="M143" s="63"/>
      <c r="Y143" s="63"/>
      <c r="AI143" s="71">
        <f>SUM(Z144:Z144)</f>
        <v>0</v>
      </c>
      <c r="AJ143" s="71">
        <f>SUM(AA144:AA144)</f>
        <v>0</v>
      </c>
      <c r="AK143" s="71">
        <f>SUM(AB144:AB144)</f>
        <v>0</v>
      </c>
    </row>
    <row r="144" spans="1:48" ht="12.75">
      <c r="A144" s="48" t="s">
        <v>208</v>
      </c>
      <c r="B144" s="48"/>
      <c r="C144" s="48" t="s">
        <v>301</v>
      </c>
      <c r="D144" s="48" t="s">
        <v>414</v>
      </c>
      <c r="E144" s="48" t="s">
        <v>71</v>
      </c>
      <c r="F144" s="57">
        <v>2239.88</v>
      </c>
      <c r="G144" s="57">
        <v>0</v>
      </c>
      <c r="H144" s="57">
        <f>F144*AE144</f>
        <v>0</v>
      </c>
      <c r="I144" s="57">
        <f>J144-H144</f>
        <v>0</v>
      </c>
      <c r="J144" s="57">
        <f>F144*G144</f>
        <v>0</v>
      </c>
      <c r="K144" s="57">
        <v>0</v>
      </c>
      <c r="L144" s="57">
        <f>F144*K144</f>
        <v>0</v>
      </c>
      <c r="M144" s="66" t="s">
        <v>438</v>
      </c>
      <c r="P144" s="40">
        <f>IF(AG144="5",J144,0)</f>
        <v>0</v>
      </c>
      <c r="R144" s="40">
        <f>IF(AG144="1",H144,0)</f>
        <v>0</v>
      </c>
      <c r="S144" s="40">
        <f>IF(AG144="1",I144,0)</f>
        <v>0</v>
      </c>
      <c r="T144" s="40">
        <f>IF(AG144="7",H144,0)</f>
        <v>0</v>
      </c>
      <c r="U144" s="40">
        <f>IF(AG144="7",I144,0)</f>
        <v>0</v>
      </c>
      <c r="V144" s="40">
        <f>IF(AG144="2",H144,0)</f>
        <v>0</v>
      </c>
      <c r="W144" s="40">
        <f>IF(AG144="2",I144,0)</f>
        <v>0</v>
      </c>
      <c r="X144" s="40">
        <f>IF(AG144="0",J144,0)</f>
        <v>0</v>
      </c>
      <c r="Y144" s="63"/>
      <c r="Z144" s="57">
        <f>IF(AD144=0,J144,0)</f>
        <v>0</v>
      </c>
      <c r="AA144" s="57">
        <f>IF(AD144=15,J144,0)</f>
        <v>0</v>
      </c>
      <c r="AB144" s="57">
        <f>IF(AD144=21,J144,0)</f>
        <v>0</v>
      </c>
      <c r="AD144" s="40">
        <v>21</v>
      </c>
      <c r="AE144" s="40">
        <f>G144*0</f>
        <v>0</v>
      </c>
      <c r="AF144" s="40">
        <f>G144*(1-0)</f>
        <v>0</v>
      </c>
      <c r="AG144" s="66" t="s">
        <v>130</v>
      </c>
      <c r="AM144" s="40">
        <f>F144*AE144</f>
        <v>0</v>
      </c>
      <c r="AN144" s="40">
        <f>F144*AF144</f>
        <v>0</v>
      </c>
      <c r="AO144" s="69" t="s">
        <v>467</v>
      </c>
      <c r="AP144" s="69" t="s">
        <v>478</v>
      </c>
      <c r="AQ144" s="63" t="s">
        <v>479</v>
      </c>
      <c r="AS144" s="40">
        <f>AM144+AN144</f>
        <v>0</v>
      </c>
      <c r="AT144" s="40">
        <f>G144/(100-AU144)*100</f>
        <v>0</v>
      </c>
      <c r="AU144" s="40">
        <v>0</v>
      </c>
      <c r="AV144" s="40">
        <f>L144</f>
        <v>0</v>
      </c>
    </row>
    <row r="145" spans="1:37" ht="12.75">
      <c r="A145" s="47"/>
      <c r="B145" s="54"/>
      <c r="C145" s="54" t="s">
        <v>97</v>
      </c>
      <c r="D145" s="54" t="s">
        <v>114</v>
      </c>
      <c r="E145" s="47" t="s">
        <v>74</v>
      </c>
      <c r="F145" s="47" t="s">
        <v>74</v>
      </c>
      <c r="G145" s="47" t="s">
        <v>74</v>
      </c>
      <c r="H145" s="71">
        <f>SUM(H146:H152)</f>
        <v>0</v>
      </c>
      <c r="I145" s="71">
        <f>SUM(I146:I152)</f>
        <v>0</v>
      </c>
      <c r="J145" s="71">
        <f>H145+I145</f>
        <v>0</v>
      </c>
      <c r="K145" s="63"/>
      <c r="L145" s="71">
        <f>SUM(L146:L152)</f>
        <v>0.05634</v>
      </c>
      <c r="M145" s="63"/>
      <c r="Y145" s="63"/>
      <c r="AI145" s="71">
        <f>SUM(Z146:Z152)</f>
        <v>0</v>
      </c>
      <c r="AJ145" s="71">
        <f>SUM(AA146:AA152)</f>
        <v>0</v>
      </c>
      <c r="AK145" s="71">
        <f>SUM(AB146:AB152)</f>
        <v>0</v>
      </c>
    </row>
    <row r="146" spans="1:48" ht="12.75">
      <c r="A146" s="48" t="s">
        <v>209</v>
      </c>
      <c r="B146" s="48"/>
      <c r="C146" s="48" t="s">
        <v>302</v>
      </c>
      <c r="D146" s="48" t="s">
        <v>415</v>
      </c>
      <c r="E146" s="48" t="s">
        <v>426</v>
      </c>
      <c r="F146" s="57">
        <v>128</v>
      </c>
      <c r="G146" s="57">
        <v>0</v>
      </c>
      <c r="H146" s="57">
        <f>F146*AE146</f>
        <v>0</v>
      </c>
      <c r="I146" s="57">
        <f>J146-H146</f>
        <v>0</v>
      </c>
      <c r="J146" s="57">
        <f>F146*G146</f>
        <v>0</v>
      </c>
      <c r="K146" s="57">
        <v>0.00043</v>
      </c>
      <c r="L146" s="57">
        <f>F146*K146</f>
        <v>0.05504</v>
      </c>
      <c r="M146" s="66" t="s">
        <v>438</v>
      </c>
      <c r="P146" s="40">
        <f>IF(AG146="5",J146,0)</f>
        <v>0</v>
      </c>
      <c r="R146" s="40">
        <f>IF(AG146="1",H146,0)</f>
        <v>0</v>
      </c>
      <c r="S146" s="40">
        <f>IF(AG146="1",I146,0)</f>
        <v>0</v>
      </c>
      <c r="T146" s="40">
        <f>IF(AG146="7",H146,0)</f>
        <v>0</v>
      </c>
      <c r="U146" s="40">
        <f>IF(AG146="7",I146,0)</f>
        <v>0</v>
      </c>
      <c r="V146" s="40">
        <f>IF(AG146="2",H146,0)</f>
        <v>0</v>
      </c>
      <c r="W146" s="40">
        <f>IF(AG146="2",I146,0)</f>
        <v>0</v>
      </c>
      <c r="X146" s="40">
        <f>IF(AG146="0",J146,0)</f>
        <v>0</v>
      </c>
      <c r="Y146" s="63"/>
      <c r="Z146" s="57">
        <f>IF(AD146=0,J146,0)</f>
        <v>0</v>
      </c>
      <c r="AA146" s="57">
        <f>IF(AD146=15,J146,0)</f>
        <v>0</v>
      </c>
      <c r="AB146" s="57">
        <f>IF(AD146=21,J146,0)</f>
        <v>0</v>
      </c>
      <c r="AD146" s="40">
        <v>21</v>
      </c>
      <c r="AE146" s="40">
        <f>G146*0.578529411764706</f>
        <v>0</v>
      </c>
      <c r="AF146" s="40">
        <f>G146*(1-0.578529411764706)</f>
        <v>0</v>
      </c>
      <c r="AG146" s="66" t="s">
        <v>127</v>
      </c>
      <c r="AM146" s="40">
        <f>F146*AE146</f>
        <v>0</v>
      </c>
      <c r="AN146" s="40">
        <f>F146*AF146</f>
        <v>0</v>
      </c>
      <c r="AO146" s="69" t="s">
        <v>468</v>
      </c>
      <c r="AP146" s="69" t="s">
        <v>478</v>
      </c>
      <c r="AQ146" s="63" t="s">
        <v>479</v>
      </c>
      <c r="AS146" s="40">
        <f>AM146+AN146</f>
        <v>0</v>
      </c>
      <c r="AT146" s="40">
        <f>G146/(100-AU146)*100</f>
        <v>0</v>
      </c>
      <c r="AU146" s="40">
        <v>0</v>
      </c>
      <c r="AV146" s="40">
        <f>L146</f>
        <v>0.05504</v>
      </c>
    </row>
    <row r="147" ht="12.75">
      <c r="D147" s="55" t="s">
        <v>416</v>
      </c>
    </row>
    <row r="148" spans="1:48" ht="12.75">
      <c r="A148" s="48" t="s">
        <v>210</v>
      </c>
      <c r="B148" s="48"/>
      <c r="C148" s="48" t="s">
        <v>303</v>
      </c>
      <c r="D148" s="48" t="s">
        <v>417</v>
      </c>
      <c r="E148" s="48" t="s">
        <v>426</v>
      </c>
      <c r="F148" s="57">
        <v>288</v>
      </c>
      <c r="G148" s="57">
        <v>0</v>
      </c>
      <c r="H148" s="57">
        <f>F148*AE148</f>
        <v>0</v>
      </c>
      <c r="I148" s="57">
        <f>J148-H148</f>
        <v>0</v>
      </c>
      <c r="J148" s="57">
        <f>F148*G148</f>
        <v>0</v>
      </c>
      <c r="K148" s="57">
        <v>0</v>
      </c>
      <c r="L148" s="57">
        <f>F148*K148</f>
        <v>0</v>
      </c>
      <c r="M148" s="66" t="s">
        <v>438</v>
      </c>
      <c r="P148" s="40">
        <f>IF(AG148="5",J148,0)</f>
        <v>0</v>
      </c>
      <c r="R148" s="40">
        <f>IF(AG148="1",H148,0)</f>
        <v>0</v>
      </c>
      <c r="S148" s="40">
        <f>IF(AG148="1",I148,0)</f>
        <v>0</v>
      </c>
      <c r="T148" s="40">
        <f>IF(AG148="7",H148,0)</f>
        <v>0</v>
      </c>
      <c r="U148" s="40">
        <f>IF(AG148="7",I148,0)</f>
        <v>0</v>
      </c>
      <c r="V148" s="40">
        <f>IF(AG148="2",H148,0)</f>
        <v>0</v>
      </c>
      <c r="W148" s="40">
        <f>IF(AG148="2",I148,0)</f>
        <v>0</v>
      </c>
      <c r="X148" s="40">
        <f>IF(AG148="0",J148,0)</f>
        <v>0</v>
      </c>
      <c r="Y148" s="63"/>
      <c r="Z148" s="57">
        <f>IF(AD148=0,J148,0)</f>
        <v>0</v>
      </c>
      <c r="AA148" s="57">
        <f>IF(AD148=15,J148,0)</f>
        <v>0</v>
      </c>
      <c r="AB148" s="57">
        <f>IF(AD148=21,J148,0)</f>
        <v>0</v>
      </c>
      <c r="AD148" s="40">
        <v>21</v>
      </c>
      <c r="AE148" s="40">
        <f>G148*0</f>
        <v>0</v>
      </c>
      <c r="AF148" s="40">
        <f>G148*(1-0)</f>
        <v>0</v>
      </c>
      <c r="AG148" s="66" t="s">
        <v>127</v>
      </c>
      <c r="AM148" s="40">
        <f>F148*AE148</f>
        <v>0</v>
      </c>
      <c r="AN148" s="40">
        <f>F148*AF148</f>
        <v>0</v>
      </c>
      <c r="AO148" s="69" t="s">
        <v>468</v>
      </c>
      <c r="AP148" s="69" t="s">
        <v>478</v>
      </c>
      <c r="AQ148" s="63" t="s">
        <v>479</v>
      </c>
      <c r="AS148" s="40">
        <f>AM148+AN148</f>
        <v>0</v>
      </c>
      <c r="AT148" s="40">
        <f>G148/(100-AU148)*100</f>
        <v>0</v>
      </c>
      <c r="AU148" s="40">
        <v>0</v>
      </c>
      <c r="AV148" s="40">
        <f>L148</f>
        <v>0</v>
      </c>
    </row>
    <row r="149" spans="1:48" ht="12.75">
      <c r="A149" s="48" t="s">
        <v>211</v>
      </c>
      <c r="B149" s="48"/>
      <c r="C149" s="48" t="s">
        <v>304</v>
      </c>
      <c r="D149" s="48" t="s">
        <v>418</v>
      </c>
      <c r="E149" s="48" t="s">
        <v>426</v>
      </c>
      <c r="F149" s="57">
        <v>136</v>
      </c>
      <c r="G149" s="57">
        <v>0</v>
      </c>
      <c r="H149" s="57">
        <f>F149*AE149</f>
        <v>0</v>
      </c>
      <c r="I149" s="57">
        <f>J149-H149</f>
        <v>0</v>
      </c>
      <c r="J149" s="57">
        <f>F149*G149</f>
        <v>0</v>
      </c>
      <c r="K149" s="57">
        <v>0</v>
      </c>
      <c r="L149" s="57">
        <f>F149*K149</f>
        <v>0</v>
      </c>
      <c r="M149" s="66" t="s">
        <v>438</v>
      </c>
      <c r="P149" s="40">
        <f>IF(AG149="5",J149,0)</f>
        <v>0</v>
      </c>
      <c r="R149" s="40">
        <f>IF(AG149="1",H149,0)</f>
        <v>0</v>
      </c>
      <c r="S149" s="40">
        <f>IF(AG149="1",I149,0)</f>
        <v>0</v>
      </c>
      <c r="T149" s="40">
        <f>IF(AG149="7",H149,0)</f>
        <v>0</v>
      </c>
      <c r="U149" s="40">
        <f>IF(AG149="7",I149,0)</f>
        <v>0</v>
      </c>
      <c r="V149" s="40">
        <f>IF(AG149="2",H149,0)</f>
        <v>0</v>
      </c>
      <c r="W149" s="40">
        <f>IF(AG149="2",I149,0)</f>
        <v>0</v>
      </c>
      <c r="X149" s="40">
        <f>IF(AG149="0",J149,0)</f>
        <v>0</v>
      </c>
      <c r="Y149" s="63"/>
      <c r="Z149" s="57">
        <f>IF(AD149=0,J149,0)</f>
        <v>0</v>
      </c>
      <c r="AA149" s="57">
        <f>IF(AD149=15,J149,0)</f>
        <v>0</v>
      </c>
      <c r="AB149" s="57">
        <f>IF(AD149=21,J149,0)</f>
        <v>0</v>
      </c>
      <c r="AD149" s="40">
        <v>21</v>
      </c>
      <c r="AE149" s="40">
        <f>G149*0</f>
        <v>0</v>
      </c>
      <c r="AF149" s="40">
        <f>G149*(1-0)</f>
        <v>0</v>
      </c>
      <c r="AG149" s="66" t="s">
        <v>127</v>
      </c>
      <c r="AM149" s="40">
        <f>F149*AE149</f>
        <v>0</v>
      </c>
      <c r="AN149" s="40">
        <f>F149*AF149</f>
        <v>0</v>
      </c>
      <c r="AO149" s="69" t="s">
        <v>468</v>
      </c>
      <c r="AP149" s="69" t="s">
        <v>478</v>
      </c>
      <c r="AQ149" s="63" t="s">
        <v>479</v>
      </c>
      <c r="AS149" s="40">
        <f>AM149+AN149</f>
        <v>0</v>
      </c>
      <c r="AT149" s="40">
        <f>G149/(100-AU149)*100</f>
        <v>0</v>
      </c>
      <c r="AU149" s="40">
        <v>0</v>
      </c>
      <c r="AV149" s="40">
        <f>L149</f>
        <v>0</v>
      </c>
    </row>
    <row r="150" spans="1:48" ht="12.75">
      <c r="A150" s="48" t="s">
        <v>212</v>
      </c>
      <c r="B150" s="48"/>
      <c r="C150" s="48" t="s">
        <v>305</v>
      </c>
      <c r="D150" s="48" t="s">
        <v>419</v>
      </c>
      <c r="E150" s="48" t="s">
        <v>425</v>
      </c>
      <c r="F150" s="57">
        <v>120</v>
      </c>
      <c r="G150" s="57">
        <v>0</v>
      </c>
      <c r="H150" s="57">
        <f>F150*AE150</f>
        <v>0</v>
      </c>
      <c r="I150" s="57">
        <f>J150-H150</f>
        <v>0</v>
      </c>
      <c r="J150" s="57">
        <f>F150*G150</f>
        <v>0</v>
      </c>
      <c r="K150" s="57">
        <v>0</v>
      </c>
      <c r="L150" s="57">
        <f>F150*K150</f>
        <v>0</v>
      </c>
      <c r="M150" s="66" t="s">
        <v>438</v>
      </c>
      <c r="P150" s="40">
        <f>IF(AG150="5",J150,0)</f>
        <v>0</v>
      </c>
      <c r="R150" s="40">
        <f>IF(AG150="1",H150,0)</f>
        <v>0</v>
      </c>
      <c r="S150" s="40">
        <f>IF(AG150="1",I150,0)</f>
        <v>0</v>
      </c>
      <c r="T150" s="40">
        <f>IF(AG150="7",H150,0)</f>
        <v>0</v>
      </c>
      <c r="U150" s="40">
        <f>IF(AG150="7",I150,0)</f>
        <v>0</v>
      </c>
      <c r="V150" s="40">
        <f>IF(AG150="2",H150,0)</f>
        <v>0</v>
      </c>
      <c r="W150" s="40">
        <f>IF(AG150="2",I150,0)</f>
        <v>0</v>
      </c>
      <c r="X150" s="40">
        <f>IF(AG150="0",J150,0)</f>
        <v>0</v>
      </c>
      <c r="Y150" s="63"/>
      <c r="Z150" s="57">
        <f>IF(AD150=0,J150,0)</f>
        <v>0</v>
      </c>
      <c r="AA150" s="57">
        <f>IF(AD150=15,J150,0)</f>
        <v>0</v>
      </c>
      <c r="AB150" s="57">
        <f>IF(AD150=21,J150,0)</f>
        <v>0</v>
      </c>
      <c r="AD150" s="40">
        <v>21</v>
      </c>
      <c r="AE150" s="40">
        <f>G150*0</f>
        <v>0</v>
      </c>
      <c r="AF150" s="40">
        <f>G150*(1-0)</f>
        <v>0</v>
      </c>
      <c r="AG150" s="66" t="s">
        <v>127</v>
      </c>
      <c r="AM150" s="40">
        <f>F150*AE150</f>
        <v>0</v>
      </c>
      <c r="AN150" s="40">
        <f>F150*AF150</f>
        <v>0</v>
      </c>
      <c r="AO150" s="69" t="s">
        <v>468</v>
      </c>
      <c r="AP150" s="69" t="s">
        <v>478</v>
      </c>
      <c r="AQ150" s="63" t="s">
        <v>479</v>
      </c>
      <c r="AS150" s="40">
        <f>AM150+AN150</f>
        <v>0</v>
      </c>
      <c r="AT150" s="40">
        <f>G150/(100-AU150)*100</f>
        <v>0</v>
      </c>
      <c r="AU150" s="40">
        <v>0</v>
      </c>
      <c r="AV150" s="40">
        <f>L150</f>
        <v>0</v>
      </c>
    </row>
    <row r="151" spans="1:48" ht="12.75">
      <c r="A151" s="49" t="s">
        <v>213</v>
      </c>
      <c r="B151" s="49"/>
      <c r="C151" s="49" t="s">
        <v>306</v>
      </c>
      <c r="D151" s="49" t="s">
        <v>420</v>
      </c>
      <c r="E151" s="49" t="s">
        <v>425</v>
      </c>
      <c r="F151" s="58">
        <v>2</v>
      </c>
      <c r="G151" s="58">
        <v>0</v>
      </c>
      <c r="H151" s="58">
        <f>F151*AE151</f>
        <v>0</v>
      </c>
      <c r="I151" s="58">
        <f>J151-H151</f>
        <v>0</v>
      </c>
      <c r="J151" s="58">
        <f>F151*G151</f>
        <v>0</v>
      </c>
      <c r="K151" s="58">
        <v>0.00065</v>
      </c>
      <c r="L151" s="58">
        <f>F151*K151</f>
        <v>0.0013</v>
      </c>
      <c r="M151" s="67" t="s">
        <v>438</v>
      </c>
      <c r="P151" s="40">
        <f>IF(AG151="5",J151,0)</f>
        <v>0</v>
      </c>
      <c r="R151" s="40">
        <f>IF(AG151="1",H151,0)</f>
        <v>0</v>
      </c>
      <c r="S151" s="40">
        <f>IF(AG151="1",I151,0)</f>
        <v>0</v>
      </c>
      <c r="T151" s="40">
        <f>IF(AG151="7",H151,0)</f>
        <v>0</v>
      </c>
      <c r="U151" s="40">
        <f>IF(AG151="7",I151,0)</f>
        <v>0</v>
      </c>
      <c r="V151" s="40">
        <f>IF(AG151="2",H151,0)</f>
        <v>0</v>
      </c>
      <c r="W151" s="40">
        <f>IF(AG151="2",I151,0)</f>
        <v>0</v>
      </c>
      <c r="X151" s="40">
        <f>IF(AG151="0",J151,0)</f>
        <v>0</v>
      </c>
      <c r="Y151" s="63"/>
      <c r="Z151" s="58">
        <f>IF(AD151=0,J151,0)</f>
        <v>0</v>
      </c>
      <c r="AA151" s="58">
        <f>IF(AD151=15,J151,0)</f>
        <v>0</v>
      </c>
      <c r="AB151" s="58">
        <f>IF(AD151=21,J151,0)</f>
        <v>0</v>
      </c>
      <c r="AD151" s="40">
        <v>21</v>
      </c>
      <c r="AE151" s="40">
        <f>G151*1</f>
        <v>0</v>
      </c>
      <c r="AF151" s="40">
        <f>G151*(1-1)</f>
        <v>0</v>
      </c>
      <c r="AG151" s="67" t="s">
        <v>126</v>
      </c>
      <c r="AM151" s="40">
        <f>F151*AE151</f>
        <v>0</v>
      </c>
      <c r="AN151" s="40">
        <f>F151*AF151</f>
        <v>0</v>
      </c>
      <c r="AO151" s="69" t="s">
        <v>468</v>
      </c>
      <c r="AP151" s="69" t="s">
        <v>478</v>
      </c>
      <c r="AQ151" s="63" t="s">
        <v>479</v>
      </c>
      <c r="AS151" s="40">
        <f>AM151+AN151</f>
        <v>0</v>
      </c>
      <c r="AT151" s="40">
        <f>G151/(100-AU151)*100</f>
        <v>0</v>
      </c>
      <c r="AU151" s="40">
        <v>0</v>
      </c>
      <c r="AV151" s="40">
        <f>L151</f>
        <v>0.0013</v>
      </c>
    </row>
    <row r="152" spans="1:48" ht="12.75">
      <c r="A152" s="50" t="s">
        <v>56</v>
      </c>
      <c r="B152" s="50"/>
      <c r="C152" s="50" t="s">
        <v>307</v>
      </c>
      <c r="D152" s="50" t="s">
        <v>421</v>
      </c>
      <c r="E152" s="50" t="s">
        <v>427</v>
      </c>
      <c r="F152" s="59">
        <v>8</v>
      </c>
      <c r="G152" s="59">
        <v>0</v>
      </c>
      <c r="H152" s="59">
        <f>F152*AE152</f>
        <v>0</v>
      </c>
      <c r="I152" s="59">
        <f>J152-H152</f>
        <v>0</v>
      </c>
      <c r="J152" s="59">
        <f>F152*G152</f>
        <v>0</v>
      </c>
      <c r="K152" s="59">
        <v>0</v>
      </c>
      <c r="L152" s="59">
        <f>F152*K152</f>
        <v>0</v>
      </c>
      <c r="M152" s="68" t="s">
        <v>438</v>
      </c>
      <c r="P152" s="40">
        <f>IF(AG152="5",J152,0)</f>
        <v>0</v>
      </c>
      <c r="R152" s="40">
        <f>IF(AG152="1",H152,0)</f>
        <v>0</v>
      </c>
      <c r="S152" s="40">
        <f>IF(AG152="1",I152,0)</f>
        <v>0</v>
      </c>
      <c r="T152" s="40">
        <f>IF(AG152="7",H152,0)</f>
        <v>0</v>
      </c>
      <c r="U152" s="40">
        <f>IF(AG152="7",I152,0)</f>
        <v>0</v>
      </c>
      <c r="V152" s="40">
        <f>IF(AG152="2",H152,0)</f>
        <v>0</v>
      </c>
      <c r="W152" s="40">
        <f>IF(AG152="2",I152,0)</f>
        <v>0</v>
      </c>
      <c r="X152" s="40">
        <f>IF(AG152="0",J152,0)</f>
        <v>0</v>
      </c>
      <c r="Y152" s="63"/>
      <c r="Z152" s="57">
        <f>IF(AD152=0,J152,0)</f>
        <v>0</v>
      </c>
      <c r="AA152" s="57">
        <f>IF(AD152=15,J152,0)</f>
        <v>0</v>
      </c>
      <c r="AB152" s="57">
        <f>IF(AD152=21,J152,0)</f>
        <v>0</v>
      </c>
      <c r="AD152" s="40">
        <v>21</v>
      </c>
      <c r="AE152" s="40">
        <f>G152*0</f>
        <v>0</v>
      </c>
      <c r="AF152" s="40">
        <f>G152*(1-0)</f>
        <v>0</v>
      </c>
      <c r="AG152" s="66" t="s">
        <v>127</v>
      </c>
      <c r="AM152" s="40">
        <f>F152*AE152</f>
        <v>0</v>
      </c>
      <c r="AN152" s="40">
        <f>F152*AF152</f>
        <v>0</v>
      </c>
      <c r="AO152" s="69" t="s">
        <v>468</v>
      </c>
      <c r="AP152" s="69" t="s">
        <v>478</v>
      </c>
      <c r="AQ152" s="63" t="s">
        <v>479</v>
      </c>
      <c r="AS152" s="40">
        <f>AM152+AN152</f>
        <v>0</v>
      </c>
      <c r="AT152" s="40">
        <f>G152/(100-AU152)*100</f>
        <v>0</v>
      </c>
      <c r="AU152" s="40">
        <v>0</v>
      </c>
      <c r="AV152" s="40">
        <f>L152</f>
        <v>0</v>
      </c>
    </row>
    <row r="153" spans="1:13" ht="12.75">
      <c r="A153" s="5"/>
      <c r="B153" s="5"/>
      <c r="C153" s="5"/>
      <c r="D153" s="5"/>
      <c r="E153" s="5"/>
      <c r="F153" s="5"/>
      <c r="G153" s="5"/>
      <c r="H153" s="133" t="s">
        <v>119</v>
      </c>
      <c r="I153" s="108"/>
      <c r="J153" s="43">
        <f>J13+J16+J19+J35+J38+J42+J49+J63+J82+J86+J107+J123+J126+J130+J133+J135+J137+J139+J141+J143+J145</f>
        <v>0</v>
      </c>
      <c r="K153" s="5"/>
      <c r="L153" s="5"/>
      <c r="M153" s="5"/>
    </row>
    <row r="154" ht="11.25" customHeight="1">
      <c r="A154" s="35" t="s">
        <v>18</v>
      </c>
    </row>
    <row r="155" spans="1:13" ht="12.75">
      <c r="A155" s="73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</row>
  </sheetData>
  <sheetProtection/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H10:J10"/>
    <mergeCell ref="K10:L10"/>
    <mergeCell ref="H153:I153"/>
    <mergeCell ref="A155:M155"/>
    <mergeCell ref="A8:C9"/>
    <mergeCell ref="D8:D9"/>
    <mergeCell ref="E8:F9"/>
    <mergeCell ref="G8:H9"/>
    <mergeCell ref="I8:I9"/>
    <mergeCell ref="J8:M9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Notas</dc:creator>
  <cp:keywords/>
  <dc:description/>
  <cp:lastModifiedBy>Ing. Filip Fišer</cp:lastModifiedBy>
  <dcterms:created xsi:type="dcterms:W3CDTF">2019-01-29T12:21:31Z</dcterms:created>
  <dcterms:modified xsi:type="dcterms:W3CDTF">2019-04-23T12:50:19Z</dcterms:modified>
  <cp:category/>
  <cp:version/>
  <cp:contentType/>
  <cp:contentStatus/>
</cp:coreProperties>
</file>