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/>
  <bookViews>
    <workbookView xWindow="0" yWindow="0" windowWidth="28800" windowHeight="11565" tabRatio="849" activeTab="0"/>
  </bookViews>
  <sheets>
    <sheet name="Rekapitulace stavby" sheetId="1" r:id="rId1"/>
    <sheet name="000 - VRN" sheetId="12" r:id="rId2"/>
    <sheet name="01 - BOURACÍ PRÁCE" sheetId="11" r:id="rId3"/>
    <sheet name="02 - STAVEBNÍ ÚPRAVY" sheetId="5" r:id="rId4"/>
    <sheet name="03 - KANALIZACE" sheetId="14" r:id="rId5"/>
    <sheet name="04 - VODOVOD" sheetId="13" r:id="rId6"/>
    <sheet name="05 - TOPENÍ" sheetId="15" r:id="rId7"/>
    <sheet name="06 - PLYN" sheetId="18" r:id="rId8"/>
    <sheet name="07 - ELEKTRO" sheetId="19" r:id="rId9"/>
    <sheet name="08-VZT" sheetId="21" r:id="rId10"/>
    <sheet name="09-TRUHLAŘINA" sheetId="22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'000 - VRN'!$C$4:$Q$71,'000 - VRN'!$C$76:$Q$96,'000 - VRN'!$C$102:$Q$125</definedName>
    <definedName name="_xlnm.Print_Area" localSheetId="2">'01 - BOURACÍ PRÁCE'!$C$4:$Q$71,'01 - BOURACÍ PRÁCE'!$C$76:$Q$94,'01 - BOURACÍ PRÁCE'!$C$100:$Q$242</definedName>
    <definedName name="_xlnm.Print_Area" localSheetId="3">'02 - STAVEBNÍ ÚPRAVY'!$C$4:$Q$71,'02 - STAVEBNÍ ÚPRAVY'!$C$76:$Q$94,'02 - STAVEBNÍ ÚPRAVY'!$C$100:$Q$403</definedName>
    <definedName name="_xlnm.Print_Area" localSheetId="4">'03 - KANALIZACE'!$C$4:$Q$71,'03 - KANALIZACE'!$C$76:$Q$94,'03 - KANALIZACE'!$C$100:$Q$372</definedName>
    <definedName name="_xlnm.Print_Area" localSheetId="5">'04 - VODOVOD'!$C$4:$Q$71,'04 - VODOVOD'!$C$76:$Q$94,'04 - VODOVOD'!$C$100:$Q$249</definedName>
    <definedName name="_xlnm.Print_Area" localSheetId="6">'05 - TOPENÍ'!$C$4:$Q$71,'05 - TOPENÍ'!$C$76:$Q$94,'05 - TOPENÍ'!$C$100:$Q$221</definedName>
    <definedName name="_xlnm.Print_Area" localSheetId="7">'06 - PLYN'!$C$4:$Q$71,'06 - PLYN'!$C$76:$Q$94,'06 - PLYN'!$C$100:$Q$126</definedName>
    <definedName name="_xlnm.Print_Area" localSheetId="8">'07 - ELEKTRO'!$C$4:$Q$71,'07 - ELEKTRO'!$C$76:$Q$94,'07 - ELEKTRO'!$C$100:$Q$184</definedName>
    <definedName name="_xlnm.Print_Area" localSheetId="9">'08-VZT'!$C$4:$Q$71,'08-VZT'!$C$76:$Q$94,'08-VZT'!$C$100:$Q$189</definedName>
    <definedName name="_xlnm.Print_Area" localSheetId="10">'09-TRUHLAŘINA'!$C$4:$Q$71,'09-TRUHLAŘINA'!$C$76:$Q$94,'09-TRUHLAŘINA'!$C$100:$Q$258</definedName>
    <definedName name="_xlnm.Print_Area" localSheetId="0">'Rekapitulace stavby'!$C$4:$AP$70,'Rekapitulace stavby'!$C$76:$AP$105</definedName>
    <definedName name="_xlnm.Print_Titles" localSheetId="0">'Rekapitulace stavby'!$85:$85</definedName>
    <definedName name="_xlnm.Print_Titles" localSheetId="1">'000 - VRN'!$113:$113</definedName>
    <definedName name="_xlnm.Print_Titles" localSheetId="2">'01 - BOURACÍ PRÁCE'!$111:$111</definedName>
    <definedName name="_xlnm.Print_Titles" localSheetId="3">'02 - STAVEBNÍ ÚPRAVY'!$111:$111</definedName>
    <definedName name="_xlnm.Print_Titles" localSheetId="4">'03 - KANALIZACE'!$111:$111</definedName>
    <definedName name="_xlnm.Print_Titles" localSheetId="5">'04 - VODOVOD'!$111:$111</definedName>
    <definedName name="_xlnm.Print_Titles" localSheetId="6">'05 - TOPENÍ'!$111:$111</definedName>
    <definedName name="_xlnm.Print_Titles" localSheetId="7">'06 - PLYN'!$111:$111</definedName>
    <definedName name="_xlnm.Print_Titles" localSheetId="8">'07 - ELEKTRO'!$111:$111</definedName>
    <definedName name="_xlnm.Print_Titles" localSheetId="9">'08-VZT'!$111:$111</definedName>
    <definedName name="_xlnm.Print_Titles" localSheetId="10">'09-TRUHLAŘINA'!$111:$111</definedName>
  </definedNames>
  <calcPr calcId="191029"/>
  <extLst/>
</workbook>
</file>

<file path=xl/sharedStrings.xml><?xml version="1.0" encoding="utf-8"?>
<sst xmlns="http://schemas.openxmlformats.org/spreadsheetml/2006/main" count="10005" uniqueCount="2253">
  <si>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</si>
  <si>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</si>
  <si>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</si>
  <si>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</si>
  <si>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</si>
  <si>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</si>
  <si>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</si>
  <si>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</si>
  <si>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</si>
  <si>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</si>
  <si>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</si>
  <si>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</si>
  <si>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</si>
  <si>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</si>
  <si>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</si>
  <si>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</si>
  <si>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JKSO:</t>
  </si>
  <si>
    <t>CC-CZ:</t>
  </si>
  <si>
    <t>Místo:</t>
  </si>
  <si>
    <t>Datum:</t>
  </si>
  <si>
    <t>Objednatel:</t>
  </si>
  <si>
    <t>IČ:</t>
  </si>
  <si>
    <t>0,1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</si>
  <si>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</si>
  <si>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</si>
  <si>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</si>
  <si>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</si>
  <si>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</si>
  <si>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</si>
  <si>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</si>
  <si>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</si>
  <si>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</si>
  <si>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</si>
  <si>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</si>
  <si>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</si>
  <si>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</si>
  <si>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</si>
  <si>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</si>
  <si>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</si>
  <si>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</si>
  <si>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</si>
  <si>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</si>
  <si>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</si>
  <si>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</si>
  <si>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</si>
  <si>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</si>
  <si>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</si>
  <si>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</si>
  <si>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</si>
  <si>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</si>
  <si>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</si>
  <si>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</si>
  <si>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</si>
  <si>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</si>
  <si>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</si>
  <si>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</si>
  <si>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</si>
  <si>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</si>
  <si>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</si>
  <si>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</si>
  <si>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</si>
  <si>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</si>
  <si>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</si>
  <si>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</si>
  <si>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</si>
  <si>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</si>
  <si>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</si>
  <si>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</si>
  <si>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</si>
  <si>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</si>
  <si>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</si>
  <si>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</si>
  <si>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{b2aaa9aa-ea27-48c0-99ef-5bb378f1557c}</t>
  </si>
  <si>
    <t>{00000000-0000-0000-0000-000000000000}</t>
  </si>
  <si>
    <t>SO 01</t>
  </si>
  <si>
    <t>Stavební část</t>
  </si>
  <si>
    <t>1</t>
  </si>
  <si>
    <t>{f01a8a1d-e091-4cc9-8e7e-11b90de2f324}</t>
  </si>
  <si>
    <t>/</t>
  </si>
  <si>
    <t>Bourací práce</t>
  </si>
  <si>
    <t>2</t>
  </si>
  <si>
    <t>{a1994120-0661-49b6-9615-d58f4772ae6c}</t>
  </si>
  <si>
    <t>Stavební úpravy</t>
  </si>
  <si>
    <t>{4ed18e99-2193-4559-85cb-ffb3ffb8fdc4}</t>
  </si>
  <si>
    <t>SO 02</t>
  </si>
  <si>
    <t>Profese</t>
  </si>
  <si>
    <t>{dbc318fe-08dd-49bc-995c-62ff171c4524}</t>
  </si>
  <si>
    <t>{452dcd22-9cc3-4c82-a9cf-0320a40b7a93}</t>
  </si>
  <si>
    <t>{7eaec3f0-d07a-4821-bc8e-0c32374d4f6f}</t>
  </si>
  <si>
    <t>{46cfe187-00c5-4ac9-8182-29bf1bfc84da}</t>
  </si>
  <si>
    <t>Elektroinstalace</t>
  </si>
  <si>
    <t>{ac4b4238-0ab1-471b-8c92-09d561db0514}</t>
  </si>
  <si>
    <t>{a34aa8cb-9b07-4d83-9998-695e8f42e445}</t>
  </si>
  <si>
    <t>2) Ostatní náklady ze souhrnného listu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</si>
  <si>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</si>
  <si>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</si>
  <si>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</si>
  <si>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</si>
  <si>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</si>
  <si>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</si>
  <si>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</si>
  <si>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</si>
  <si>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Část: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</si>
  <si>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</si>
  <si>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</si>
  <si>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</si>
  <si>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</si>
  <si>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</si>
  <si>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</si>
  <si>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</si>
  <si>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</si>
  <si>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</si>
  <si>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</si>
  <si>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</si>
  <si>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</si>
  <si>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</si>
  <si>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</si>
  <si>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</si>
  <si>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</si>
  <si>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</si>
  <si>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</si>
  <si>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</si>
  <si>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</si>
  <si>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</si>
  <si>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</si>
  <si>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</si>
  <si>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</si>
  <si>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</si>
  <si>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</si>
  <si>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m3</t>
  </si>
  <si>
    <t>5</t>
  </si>
  <si>
    <t>kpl</t>
  </si>
  <si>
    <t>8</t>
  </si>
  <si>
    <t>m</t>
  </si>
  <si>
    <t>20</t>
  </si>
  <si>
    <t>22</t>
  </si>
  <si>
    <t>28</t>
  </si>
  <si>
    <t>30</t>
  </si>
  <si>
    <t>32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</si>
  <si>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</si>
  <si>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</si>
  <si>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</si>
  <si>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</si>
  <si>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</si>
  <si>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</si>
  <si>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</si>
  <si>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</si>
  <si>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</si>
  <si>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</si>
  <si>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</si>
  <si>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</si>
  <si>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</si>
  <si>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</si>
  <si>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</si>
  <si>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</si>
  <si>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</si>
  <si>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</si>
  <si>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</si>
  <si>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</si>
  <si>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</si>
  <si>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</si>
  <si>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</si>
  <si>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</si>
  <si>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</si>
  <si>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</si>
  <si>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</si>
  <si>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</si>
  <si>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</t>
  </si>
  <si>
    <t>94</t>
  </si>
  <si>
    <t>96</t>
  </si>
  <si>
    <t>98</t>
  </si>
  <si>
    <t>100</t>
  </si>
  <si>
    <t>102</t>
  </si>
  <si>
    <t>104</t>
  </si>
  <si>
    <t>106</t>
  </si>
  <si>
    <t>108</t>
  </si>
  <si>
    <t>110</t>
  </si>
  <si>
    <t>112</t>
  </si>
  <si>
    <t>114</t>
  </si>
  <si>
    <t>116</t>
  </si>
  <si>
    <t>118</t>
  </si>
  <si>
    <t>120</t>
  </si>
  <si>
    <t>P</t>
  </si>
  <si>
    <t>122</t>
  </si>
  <si>
    <t>124</t>
  </si>
  <si>
    <t>126</t>
  </si>
  <si>
    <t>128</t>
  </si>
  <si>
    <t>130</t>
  </si>
  <si>
    <t>132</t>
  </si>
  <si>
    <t>134</t>
  </si>
  <si>
    <t>136</t>
  </si>
  <si>
    <t>138</t>
  </si>
  <si>
    <t>140</t>
  </si>
  <si>
    <t>144</t>
  </si>
  <si>
    <t>146</t>
  </si>
  <si>
    <t>148</t>
  </si>
  <si>
    <t>150</t>
  </si>
  <si>
    <t>152</t>
  </si>
  <si>
    <t>ks</t>
  </si>
  <si>
    <t>VRN - Vedlejší rozpočtové náklady</t>
  </si>
  <si>
    <t>1024</t>
  </si>
  <si>
    <t>621322729</t>
  </si>
  <si>
    <t>Zařízení staveniště</t>
  </si>
  <si>
    <t>-1591861135</t>
  </si>
  <si>
    <t>Design&amp;Build s.r.o.</t>
  </si>
  <si>
    <t>CZ24270857</t>
  </si>
  <si>
    <t>Přesun hmot po staveništi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</si>
  <si>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</si>
  <si>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</si>
  <si>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</si>
  <si>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</si>
  <si>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</si>
  <si>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</si>
  <si>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</si>
  <si>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</si>
  <si>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</si>
  <si>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</si>
  <si>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</si>
  <si>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</si>
  <si>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</si>
  <si>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</si>
  <si>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</si>
  <si>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</si>
  <si>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</si>
  <si>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</si>
  <si>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</si>
  <si>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</si>
  <si>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</si>
  <si>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</si>
  <si>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</si>
  <si>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</si>
  <si>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</si>
  <si>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</si>
  <si>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</si>
  <si>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</si>
  <si>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</si>
  <si>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%</t>
  </si>
  <si>
    <t>77.</t>
  </si>
  <si>
    <t>78.</t>
  </si>
  <si>
    <t>79.</t>
  </si>
  <si>
    <t>02 - STAVEBNÍ ÚPRAVY</t>
  </si>
  <si>
    <t>VRN</t>
  </si>
  <si>
    <t>Odvoz a likvidace suti</t>
  </si>
  <si>
    <t>Odvoz a likivdace směsného odpadu</t>
  </si>
  <si>
    <t>Odvoz a likivdace odpadu</t>
  </si>
  <si>
    <t>01 - BOURACÍ PRÁCE</t>
  </si>
  <si>
    <t>VRN - VEDLEJŠÍ ROZPOČTOVÉ NÁKLADY</t>
  </si>
  <si>
    <t>Stavební přípomoce (průrazy, sekání drážek, apod..)</t>
  </si>
  <si>
    <t>Montáž izolace potrubí:</t>
  </si>
  <si>
    <t>Demontáž stávajícího potrubí vodovodu, včetně bouracích prací ve stavebních konstrukcích</t>
  </si>
  <si>
    <t>04 - VNITŘNÍ VODOVOD</t>
  </si>
  <si>
    <t>Podomítkový splachovač pro zazdění</t>
  </si>
  <si>
    <t>Demontáž stávajícího potrubí kanalizace, včetně bouracích prací ve stavebních konstrukcích</t>
  </si>
  <si>
    <t>06 - TOPENÍ</t>
  </si>
  <si>
    <t>OSTATNÍ</t>
  </si>
  <si>
    <t>Revize, zkoušky dle ČSN EN</t>
  </si>
  <si>
    <t>06 - VNITŘNÍ PLYNOVOD</t>
  </si>
  <si>
    <t>03 - VNITŘNÍ KANALIAZCE</t>
  </si>
  <si>
    <t>Vnitřní Kanaliazce</t>
  </si>
  <si>
    <t>Vnitřní Vodovod</t>
  </si>
  <si>
    <t>Vnitřní plynovod</t>
  </si>
  <si>
    <t>SO02 - Profese</t>
  </si>
  <si>
    <t>SO01 - Stavební část</t>
  </si>
  <si>
    <t>Projektové práce - dílenská dokumentace</t>
  </si>
  <si>
    <t xml:space="preserve">    VRN1 - Projektové práce</t>
  </si>
  <si>
    <t xml:space="preserve">    VRN2 - Zařízení staveniště</t>
  </si>
  <si>
    <t>01</t>
  </si>
  <si>
    <t>02</t>
  </si>
  <si>
    <t>03</t>
  </si>
  <si>
    <t>04</t>
  </si>
  <si>
    <t>05</t>
  </si>
  <si>
    <t>06</t>
  </si>
  <si>
    <t>08</t>
  </si>
  <si>
    <t>Vyklizení nábytku a truhlářských prvků</t>
  </si>
  <si>
    <t>Demontáž ocelových zárubní</t>
  </si>
  <si>
    <t>Demontáž okenních křídel pl. do 1m2</t>
  </si>
  <si>
    <t>Demontáž dřevěných rámů oken</t>
  </si>
  <si>
    <t>Demontáž zařizovacích předmětů</t>
  </si>
  <si>
    <t>Osekání keramické dlažby</t>
  </si>
  <si>
    <t>Demontáž radiátorů</t>
  </si>
  <si>
    <t>Demontáž dveřních křídel pl. do 2m2</t>
  </si>
  <si>
    <t>STAVEBNÍ ÚPRAVY STÁVAJÍCÍHO OBJEKTU K BYDLENÍ V MLADÉ BOLESLAVY</t>
  </si>
  <si>
    <t>NÁDRAŽNÍ ULICE č.p.43, Mladá Boleslav</t>
  </si>
  <si>
    <t>R-MOSTY, Z.S.</t>
  </si>
  <si>
    <t>Otlučení omítek stěn v ploše do 100 %</t>
  </si>
  <si>
    <t>Otlučení omítek kleneb v ploše do 100 %</t>
  </si>
  <si>
    <t>Vybourání nenosných příček tl. 195 mm</t>
  </si>
  <si>
    <t>Vybourání nenosných příček tl. 150 mm</t>
  </si>
  <si>
    <t>Vybourání nosné zdi tl. 300  mm</t>
  </si>
  <si>
    <t>Vybourání schodiště 1.PP</t>
  </si>
  <si>
    <t>Vybourání části stropní kce nad 1.PP</t>
  </si>
  <si>
    <t>Vybourání cihelné části podlahy</t>
  </si>
  <si>
    <t>Demontáž dveřních křídel pl. do 4m2</t>
  </si>
  <si>
    <t>Demontáž okenních křídel pl. do 4 m2</t>
  </si>
  <si>
    <t>Demontáž mříží oken</t>
  </si>
  <si>
    <t>Demontáž oplechování parapetů rš do 200 mm</t>
  </si>
  <si>
    <t>Vybourání nosné stěny tl. 320 mm</t>
  </si>
  <si>
    <t>Vybourání části nosných stěn tl. 365 mm</t>
  </si>
  <si>
    <t>Vybourání části nosných stěn tl. 690(700) mm</t>
  </si>
  <si>
    <t>Vybourání stěny tl. 180 mm</t>
  </si>
  <si>
    <t>Vybourání stěny tl. 160 mm</t>
  </si>
  <si>
    <t>Vybourání příčky tl. 100 mm</t>
  </si>
  <si>
    <t>Vybourání příčky tl. 120 (130) mm</t>
  </si>
  <si>
    <t>Osekání soklíků keramické dlažby</t>
  </si>
  <si>
    <t>Demontáž lamino podlahy</t>
  </si>
  <si>
    <t>Osekání keramického obkladu</t>
  </si>
  <si>
    <t>Vybourání podlahy pro betonové základky příček</t>
  </si>
  <si>
    <t>Demontáž dveřních křídel pl. do 3m2</t>
  </si>
  <si>
    <t>Demontáž okenních křídel pl. do 3 m2</t>
  </si>
  <si>
    <t>Demontáž vnitřních parapetů rš do 300 mm</t>
  </si>
  <si>
    <t>Demontáž SDK podhledů</t>
  </si>
  <si>
    <t>Demontáž parketové podlahy</t>
  </si>
  <si>
    <t>Demontáž prkenné podlahy</t>
  </si>
  <si>
    <t>Vybourání vloženého patra vč. Schodiště</t>
  </si>
  <si>
    <t>Vybourání nosné stěny tl. 330 mm</t>
  </si>
  <si>
    <t>Vybourání části nosných stěn tl. 520 mm</t>
  </si>
  <si>
    <t>Vybourání části nosných stěn tl. 620 mm</t>
  </si>
  <si>
    <t>Vybourání stěny tl. 90 mm</t>
  </si>
  <si>
    <t>Vybourání  stěn tl. 220 mm</t>
  </si>
  <si>
    <t>Vybourání části nosných stěn tl. 575 mm</t>
  </si>
  <si>
    <t>Vybourání části nosných stěn tl. 520(530) mm</t>
  </si>
  <si>
    <t>Vybourání nosné stěny tl. 400 mm</t>
  </si>
  <si>
    <t>Vybourání  stěn tl. 330(350) mm</t>
  </si>
  <si>
    <t>Vybourání stěny tl. 240(220) mm</t>
  </si>
  <si>
    <t>Vybourání stěny tl. 90 (100) mm</t>
  </si>
  <si>
    <t>Demontáž okenních křídel pl. do 2 m2</t>
  </si>
  <si>
    <t>Demontáž oplechování parapetů rš do 100 mm</t>
  </si>
  <si>
    <t>Demontáž vnitřních parapetů rš do 100 mm</t>
  </si>
  <si>
    <t>Vybourání komínu v prostorách půdy a nad střešní rovinou</t>
  </si>
  <si>
    <t>Rozebrání střešního pláště v místě navrhovaných střešních oken</t>
  </si>
  <si>
    <t>Příčky jednoduché z cihel děrovaných spojených na pero a drážku na maltu M5, pevnost cihel P15, tl. Příčky 140 mm</t>
  </si>
  <si>
    <t>Zdivo jednoduché z cihel děrovaných spojených na pero a drážku na maltu M5, pevnost cihel P15, tl. zdiva 240 mm</t>
  </si>
  <si>
    <t>ZDĚNÉ KONSTRUKCE</t>
  </si>
  <si>
    <t>Svorníky-závitová tyč ∅10mm á 600 mm (1ks=300mm)</t>
  </si>
  <si>
    <t>Svorníky-2xmatka M10</t>
  </si>
  <si>
    <t xml:space="preserve">Roznášecí betonové prahy 190/125 pod zděné příčky tl. 140 mm, C20/25 </t>
  </si>
  <si>
    <t>Bednění ŽB desky</t>
  </si>
  <si>
    <t>Vyztužení žb desky</t>
  </si>
  <si>
    <t>t</t>
  </si>
  <si>
    <t>SDK KONSTRUKCE</t>
  </si>
  <si>
    <t>SDK kaslík 1xoplášť. 1x RB 12,5 mm</t>
  </si>
  <si>
    <t>SDK kaslík 1xoplášť. 1x RBI 12,5 mm</t>
  </si>
  <si>
    <t>SDK podhled 1xoplášť 1xRB 12,5 mm</t>
  </si>
  <si>
    <t>SDK předstěna tl. 100 mm</t>
  </si>
  <si>
    <t>SDK předstěna tl. 50 mm</t>
  </si>
  <si>
    <t>PODLAHY</t>
  </si>
  <si>
    <t>Ocelový profil HEA100</t>
  </si>
  <si>
    <t>Keramický plochý překlad 71/145/1250 mm</t>
  </si>
  <si>
    <t>Ocelový profil IPE 220</t>
  </si>
  <si>
    <t>Ocelový profil IPE 270</t>
  </si>
  <si>
    <t>Ocelová pásnice 50/10</t>
  </si>
  <si>
    <t>Ocelový profil UPE 270</t>
  </si>
  <si>
    <t>Ocelový profil IPE 200</t>
  </si>
  <si>
    <t>Ocelový profil UPE 240</t>
  </si>
  <si>
    <t>Osazení PZD desky 180/30/9</t>
  </si>
  <si>
    <t>PZD deska 180/30/9</t>
  </si>
  <si>
    <t>Zhotovení ŽB deska tl. 100 mm, nad 1.PP, beton C20/25</t>
  </si>
  <si>
    <t>Beton C20/25</t>
  </si>
  <si>
    <t>OSB desky tl. 22 mm</t>
  </si>
  <si>
    <t xml:space="preserve">Výztuž dle statické části </t>
  </si>
  <si>
    <t>Děrované cihly P+D, P15, tl. 140 mm</t>
  </si>
  <si>
    <t>CPP 290 x 140 x 65 mm</t>
  </si>
  <si>
    <t>Bednění betonových prahů</t>
  </si>
  <si>
    <t>Děrované cihly P+D, P15, tl. 240 mm</t>
  </si>
  <si>
    <t>Zřízení provětrávaného podloží z plastová tvarovka provětrávané podlahy 580x580x300 mm</t>
  </si>
  <si>
    <t>Plastová tvarovka provětrávané podlahy 580x580x300 mm</t>
  </si>
  <si>
    <t>Pokládka TI polyestern EPS tl. 100 mm</t>
  </si>
  <si>
    <t>Zřízení betonové desky tl. 65 mm</t>
  </si>
  <si>
    <t>Zřízení betonové mazaniny s PVL výztuží tl. 60 mm</t>
  </si>
  <si>
    <t>Výztuž betonové desky KARI síť 150/150/6</t>
  </si>
  <si>
    <t>Beton C20/25 s PVL výztuží</t>
  </si>
  <si>
    <t>Penetrační nátěr</t>
  </si>
  <si>
    <t>Zřízení penetračního nátěru betonové mazaniny</t>
  </si>
  <si>
    <t>l</t>
  </si>
  <si>
    <t>Keramické dlaždice protiskluzové 200x200 mm</t>
  </si>
  <si>
    <t>Spárování podlah keramických vč spárovacího tmelu</t>
  </si>
  <si>
    <t>Lepení povlakových podlah z pásů PVC</t>
  </si>
  <si>
    <t>Podlahovina z PVC</t>
  </si>
  <si>
    <t>Svařování povlakových podlah z pásů včetně svařovací šňůry PVC</t>
  </si>
  <si>
    <t>Pokládka TI polyestern EPS tl. 50 mm</t>
  </si>
  <si>
    <t>Zřízení podlah keramických 200x200 mm</t>
  </si>
  <si>
    <t>Zřízení podlah keramických 200x200 mm schodiště</t>
  </si>
  <si>
    <t>Pokládka TI polyestern EPS tl. 20 mm</t>
  </si>
  <si>
    <t>Pokládka TI polyestern EPS tl. 40 mm</t>
  </si>
  <si>
    <t>Pokládka TI polyestern EPS tl. 80 mm</t>
  </si>
  <si>
    <t>Zřízení obkladů stěn,tmel, lepidlo,200x200 mm</t>
  </si>
  <si>
    <t>Spárování obkladů keramických vč spárovacího tmelu</t>
  </si>
  <si>
    <t>Keramická obkladačka 200 x 200 mm</t>
  </si>
  <si>
    <t>FASÁDA</t>
  </si>
  <si>
    <t>Zakládací soklový profil LOS 153/0,7 mm</t>
  </si>
  <si>
    <t>Zakrývání výplní otvorů z lešení</t>
  </si>
  <si>
    <t>Ochranná folie</t>
  </si>
  <si>
    <t>Fasádní polyestern XPS tl. 120 mm</t>
  </si>
  <si>
    <t>Rohová lišta PVC 100x2,0 m</t>
  </si>
  <si>
    <t>Osazení zárubní dveří ocelových pl. Do 3,0 m2</t>
  </si>
  <si>
    <t>Montáž dveří do zárubní pl. Do 3,0 m2</t>
  </si>
  <si>
    <t>Dveře vnitřní plechové pozinkované 1450/1970</t>
  </si>
  <si>
    <t>Dveře vnitřní plechové pozinkované 1300/2050</t>
  </si>
  <si>
    <t>Montáž dveří do zárubní pl. Do 2,0 m2</t>
  </si>
  <si>
    <t>Ocelová zárubeň 100/1450/1970 mm</t>
  </si>
  <si>
    <t>Ocelová zárubeň 100/1300/2050 mm</t>
  </si>
  <si>
    <t>Osazení zárubní dveří ocelových pl. Do 2,0 m2</t>
  </si>
  <si>
    <t>Ocelová zárubeň pravá 145/800/1970</t>
  </si>
  <si>
    <t>Dveře vnitřní plechové pozinkované pravé 800/1970</t>
  </si>
  <si>
    <t>Ocelová zárubeň levá 145/700/1970</t>
  </si>
  <si>
    <t>Ocelová zárubeň levá 100/700/1970</t>
  </si>
  <si>
    <t>Ocelová zárubeň levá 145/800/1970</t>
  </si>
  <si>
    <t>Ocelová zárubeň levá 100/800/1970</t>
  </si>
  <si>
    <t>Ocelová zárubeň pravá 145/900/1970</t>
  </si>
  <si>
    <t>Ocelová zárubeň levá 145/900/1970</t>
  </si>
  <si>
    <t>Dveře vnitřní dřevěné pravé 800/1970</t>
  </si>
  <si>
    <t>Dveře vnitřní dřevěné levé 800/1970</t>
  </si>
  <si>
    <t>Dveře vnitřní dřevěné levé 700/1970</t>
  </si>
  <si>
    <t>Dveře vnitřní dřevěné pravé 900/1970</t>
  </si>
  <si>
    <t>Dveře vnitřní dřevěné levé 900/1970</t>
  </si>
  <si>
    <t>Dveře vstupní prosklrné levé 900/2250</t>
  </si>
  <si>
    <t>Ocelová zárubeň pravá 100/700/1970</t>
  </si>
  <si>
    <t>Ocelová zárubeň pravá 100/800/1970</t>
  </si>
  <si>
    <t>Dveře vnitřní dřevěné pravé 700/1970</t>
  </si>
  <si>
    <t>Ocelová zárubeň levá 100/600/1970</t>
  </si>
  <si>
    <t>Montáž plastových oken s vypěněním do 3 m2</t>
  </si>
  <si>
    <t>O5-Platové okno 830x1350</t>
  </si>
  <si>
    <t>KONSTRUKCE KLEMPÍŘSKÉ</t>
  </si>
  <si>
    <t>Bednění žb desky schodiště</t>
  </si>
  <si>
    <t>Betonáž žb desky schodiště</t>
  </si>
  <si>
    <t>Vyvázání výztuže žb schodiště</t>
  </si>
  <si>
    <t>Výztuž žb schodiště</t>
  </si>
  <si>
    <t>Betonáž schodištových stupnů</t>
  </si>
  <si>
    <t>Bednění schod. Stupnu schodiště</t>
  </si>
  <si>
    <t>STŘECHA</t>
  </si>
  <si>
    <t>Rozebrání střešního pláště v místě střešních oken</t>
  </si>
  <si>
    <t>Vytvoření provětrávané mezery-latě 40/60 z boku krokví</t>
  </si>
  <si>
    <t>Difúzní kontaktní folie</t>
  </si>
  <si>
    <t>Provedení difúzní kontaktní folie</t>
  </si>
  <si>
    <t>Provedení zeteplení mezi krokve minerální vlna tl. 100 mm</t>
  </si>
  <si>
    <t>Provedení zeteplení mezi krokve minerální vlna tl. 60 mm</t>
  </si>
  <si>
    <t>Minerální vlna tl. 100 mm</t>
  </si>
  <si>
    <t>Minerální vlna tl. 60 mm</t>
  </si>
  <si>
    <t>Zakrytí nemalovaných ploch</t>
  </si>
  <si>
    <t>folie pro malířské potřeby zakrývací</t>
  </si>
  <si>
    <t>Omyvatelná výmalba bílá stěn</t>
  </si>
  <si>
    <t>SBĚRNÁ JÍMKA 1.PP</t>
  </si>
  <si>
    <t>Vyzdění obvodových stěn jímky CPP na maltu M5</t>
  </si>
  <si>
    <t>Zřízení štěrkového lože 16/32 tl. 100 mm</t>
  </si>
  <si>
    <t>Zřízení základové desky jímky tl. 150 mm</t>
  </si>
  <si>
    <t>Provedení izolace proti vodě dvěmi PVC hydroizolačními pásy</t>
  </si>
  <si>
    <t>PCV hydroizolační pás</t>
  </si>
  <si>
    <t>Provedení podkladního betonu ve spádu</t>
  </si>
  <si>
    <t>Beton C15/20</t>
  </si>
  <si>
    <t>Provedení ŽB bloku pod ocelový svařenec 1.NP</t>
  </si>
  <si>
    <t>Vysprávka stávajících omítek pruh 500 mm</t>
  </si>
  <si>
    <t xml:space="preserve">Vybourání pro přívod/odtah provětrávaného podloží </t>
  </si>
  <si>
    <t xml:space="preserve">Demontáž dveřních zárubní </t>
  </si>
  <si>
    <t>Celoplošné rozebrání podlahy 1.NP</t>
  </si>
  <si>
    <t>Celoplošné rozebrání podlahy 2.NP</t>
  </si>
  <si>
    <t>Celoplošné rozebrání podlahy 3.NP</t>
  </si>
  <si>
    <t>Celoplošné rozebrání podlahy 4.NP</t>
  </si>
  <si>
    <t>Montáž vstupních dveří 900/2250</t>
  </si>
  <si>
    <t>Montáž parapetních desek dřevěných nebo plastových šířky do 650 mm</t>
  </si>
  <si>
    <t>08 - VZDUCHOTECHNIKA</t>
  </si>
  <si>
    <t>Zařízení č.1 - Technické větrání 1.PP</t>
  </si>
  <si>
    <t>1.1-Ventilátor do kruhového potrubí  - VP = 740 m3/h - dp = 250 Pa / PEL = 230 V / 196 W, včetně manžet - přívod</t>
  </si>
  <si>
    <t>1.1-Montáž ventilátor do kruhového potrubí  - VP = 740 m3/h - dp = 250 Pa / PEL = 230 V / 196 W, včetně manžet - přívod</t>
  </si>
  <si>
    <t>1.2-Montáž ventilátor nástřešní  - VO = 740 m3/h - dp = 195 Pa / PEL = 230 V / 196 W, včetně manžet - odvod</t>
  </si>
  <si>
    <t>1.2-Ventilátor nástřešní  - VO = 740 m3/h - dp = 195 Pa / PEL = 230 V / 196 W, včetně manžet - odvod</t>
  </si>
  <si>
    <t>Montážní podstavec pro šikmé střechy - do 45°</t>
  </si>
  <si>
    <t>Montáž montážní podstavec pro šikmé střechy - do 45°</t>
  </si>
  <si>
    <t>1.3-Montáž filtrační kazeta D 250 - včetně vložky F5</t>
  </si>
  <si>
    <t>1.3-filtrační kazeta D 250 - včetně vložky F6</t>
  </si>
  <si>
    <t>1.4-Elektrický ohřívač D 315 / 9,0 kW / PEL = 9,0 kW / 3x400 V /13 A</t>
  </si>
  <si>
    <t>1.4-Montáž elektrický ohřívač D 315 / 9,0 kW / PEL = 9,0 kW / 3x400 V /13 A</t>
  </si>
  <si>
    <t>MaR - pro spouštění ventilátorů, řízení ohřívače, pro ovládání servopohonů včetně ovladače a potřebných teplotních čidel</t>
  </si>
  <si>
    <t>Montáž MaR - pro spouštění ventilátorů, řízení ohřívače, pro ovládání servopohonů včetně ovladače a potřebných teplotních čidel</t>
  </si>
  <si>
    <t>1.5-Montáž uzavírací klapka D 250 včetně servopohonu s hav. fcí - 230 V</t>
  </si>
  <si>
    <t>1.5-uzavírací klapka D 250 včetně servopohonu s hav. fcí - 230 V</t>
  </si>
  <si>
    <t>Montáž prokabelování prvků MaR a zapojení</t>
  </si>
  <si>
    <t>Prokabelování prvků MaR a zapojení</t>
  </si>
  <si>
    <t>1.6- Montáž tlumič hluku - kruhový D 250 - 900</t>
  </si>
  <si>
    <t>1.6-Tlumič hluku - kruhový D 250 - 901</t>
  </si>
  <si>
    <t>1.7 - Montáž protidešťová žaluzie 315 x 315 - pozink</t>
  </si>
  <si>
    <t>1.7 -Protidešťová žaluzie 315 x 315 - pozink</t>
  </si>
  <si>
    <t>1.8- Montáž vyústka na kruhové potrubí 325x85 včetně regulace R1</t>
  </si>
  <si>
    <t>1.8- Vyústka na kruhové potrubí 325x85 včetně regulace R2</t>
  </si>
  <si>
    <t>1.9 - Montáž mřížka stěnová 12,5 - 200x100 včetně regulace R1</t>
  </si>
  <si>
    <t>1.9 -Mřížka stěnová 12,5 - 200x100 včetně regulace R2</t>
  </si>
  <si>
    <t>Kruhové potrubí SPIRO - pozink. D 315 / 50 % tvarovek</t>
  </si>
  <si>
    <t>Kruhové potrubí SPIRO - pozink. D 250 / 30 % tvarovek</t>
  </si>
  <si>
    <t>Kruhové potrubí SPIRO - pozink. D 225 / 20 % tvarovek</t>
  </si>
  <si>
    <t>Kruhové potrubí SPIRO - pozink. D 200 / 30 % tvarovek</t>
  </si>
  <si>
    <t>Kruhové potrubí SPIRO - pozink. D 160 / 10 % tvarovek</t>
  </si>
  <si>
    <t>Kruhové potrubí SPIRO - pozink. D 125 / 20 % tvarovek</t>
  </si>
  <si>
    <t>Kruhové potrubí SPIRO - pozink. D 100 / 10 % tvarovek</t>
  </si>
  <si>
    <t>Montáž kruhové potrubí SPIRO - pozink. D 315 / 50 % tvarovek</t>
  </si>
  <si>
    <t>Montáž kruhové potrubí SPIRO - pozink. D 250 / 30 % tvarovek</t>
  </si>
  <si>
    <t>Montáž kruhové potrubí SPIRO - pozink. D 225 / 20 % tvarovek</t>
  </si>
  <si>
    <t>Montáž kruhové potrubí SPIRO - pozink. D 200 / 30 % tvarovek</t>
  </si>
  <si>
    <t>Montáž kruhové potrubí SPIRO - pozink. D 160 / 10 % tvarovek</t>
  </si>
  <si>
    <t>Montáž kruhové potrubí SPIRO - pozink. D 125 / 20 % tvarovek</t>
  </si>
  <si>
    <t>Montáž kruhové potrubí SPIRO - pozink. D 100 / 10 % tvarovek</t>
  </si>
  <si>
    <t>Zařízení č.2 - Technické větrání podlahy 1.PP</t>
  </si>
  <si>
    <t>2.1-Montáž plastová fasádní mřížka 200x200</t>
  </si>
  <si>
    <t>2.2-Montáž výfuková hlavice D 160</t>
  </si>
  <si>
    <t>2.2-Výfuková hlavice D 160</t>
  </si>
  <si>
    <t>2.1-Plastová fasádní mřížka 200x200</t>
  </si>
  <si>
    <t>Montáž kruhové potrubí SPIRO - pozink. D 160 / 30 % tvarovek</t>
  </si>
  <si>
    <t>Kruhové potrubí SPIRO - pozink. D 160 / 30 % tvarovek</t>
  </si>
  <si>
    <t>Zařízení č.3 - Odvětrání od digestoří</t>
  </si>
  <si>
    <t>3.1 - Montáž výfuková hlavice D 225</t>
  </si>
  <si>
    <t>3.1 -Výfuková hlavice D 225</t>
  </si>
  <si>
    <t>3.2 - Montáž výfuková hlavice D 160</t>
  </si>
  <si>
    <t>3.2 - Výfuková hlavice D 160</t>
  </si>
  <si>
    <t>Kruhové potrubí SPIRO - pozink. D 160 / 20 % tvarovek</t>
  </si>
  <si>
    <t>Montáž kruhové potrubí SPIRO - pozink. D 160 / 20 % tvarovek</t>
  </si>
  <si>
    <t>Zařízení č.4 - Odvětrání sociálního zázemí</t>
  </si>
  <si>
    <t>4.1 - Montáž axiální ventilátor D 125 / VO = 50 m3/h - dp = 40 Pa / PEL = 230 V / 20 W, včetně doběhu, nerezové provedení</t>
  </si>
  <si>
    <t>4.1 -axiální ventilátor D 125 / VO = 50 m3/h - dp = 40 Pa / PEL = 230 V / 20 W, včetně doběhu, nerezové provedení</t>
  </si>
  <si>
    <t>4.2 - Axiální ventilátor D 125 / VO = 50 m3/h - dp = 40 Pa / PEL = 230 V / 20 W, včetně doběhu a hydrostatu, nerezové provedení</t>
  </si>
  <si>
    <t>4.2 - Montáž axiální ventilátor D 125 / VO = 50 m3/h - dp = 40 Pa / PEL = 230 V / 20 W, včetně doběhu a hydrostatu, nerezové provedení</t>
  </si>
  <si>
    <t>4.3- Montáž přetlaková žaluziová klapka na fasádu D 125</t>
  </si>
  <si>
    <t>4.3- přetlaková žaluziová klapka na fasádu D 125</t>
  </si>
  <si>
    <t>4.4 - montáž výfuková hlavice D 125</t>
  </si>
  <si>
    <t>4.4 - Výfuková hlavice D 125</t>
  </si>
  <si>
    <t>Závěsný a spojovací materiál</t>
  </si>
  <si>
    <t>Ostatní rozpočtové náklady</t>
  </si>
  <si>
    <t>stavební přípomoce - stavební prostupy pro potrubí VZT a navazujících profesí a jejich zapravení, stavební drážky pro uložení svislého potrubí, koordinace umístění koncových elementů, revizní otvory, zajištění dopravních cest, lešení pro osazení fasádních prvků, napojení nad střešních prvků na systém bleskosvodu</t>
  </si>
  <si>
    <t>ELEKTRO - přívody a jištění pro ventilátory a ohřívač</t>
  </si>
  <si>
    <t>ZTI - odvod kondenzátu z pat stoupacího potrubí - ve spádu</t>
  </si>
  <si>
    <t xml:space="preserve">R-MOSTY, Z.S.
</t>
  </si>
  <si>
    <t>VNITŘNÍ KANALIZACE 4.NP</t>
  </si>
  <si>
    <t>Trubní koleno HT DN 50 - 88,5°</t>
  </si>
  <si>
    <t>Trubní koleno HT DN 50 - 45°</t>
  </si>
  <si>
    <t>Trubní koleno HT DN 110 - 88,5°</t>
  </si>
  <si>
    <t>Odbočka HT DN 110/50 - 88,5°</t>
  </si>
  <si>
    <t>Odbočka HT DN 110/110 - 88,5°</t>
  </si>
  <si>
    <t>Trubní vedení HT DN 110</t>
  </si>
  <si>
    <t>Trubní vedení HT DN 50</t>
  </si>
  <si>
    <t>Montáž trubního vedení z plastových trub HT DN 50</t>
  </si>
  <si>
    <t>Montáž trubního vedení z plastových trub HT DN 110</t>
  </si>
  <si>
    <t>Montáž trubního stoupacího(větracího) vedení DN125</t>
  </si>
  <si>
    <t>Trubní vedení HT 125</t>
  </si>
  <si>
    <t>Odbočka HT DN 125/110/110 - 88,5°</t>
  </si>
  <si>
    <t>Odbočka HT DN 125/50 - 88,5°</t>
  </si>
  <si>
    <t>Trubní koleno HT DN 125 - 88,5°</t>
  </si>
  <si>
    <t>Trubní koleno HT DN 125 - 45°</t>
  </si>
  <si>
    <t>Osazení větrací hlavice DN 125</t>
  </si>
  <si>
    <t>Větrací hlavice kanalizace DN 125</t>
  </si>
  <si>
    <t>Trubní vedení:</t>
  </si>
  <si>
    <t>Zařizovací předměty:</t>
  </si>
  <si>
    <t>Osazení záchodové mísy</t>
  </si>
  <si>
    <t>Osazení plastového sedátka WC</t>
  </si>
  <si>
    <t>Osazení splachovacího tlačítka WC</t>
  </si>
  <si>
    <t>Splachovací tlačítko WC</t>
  </si>
  <si>
    <t>Podomítkový splachovač pro SDK konstrukce</t>
  </si>
  <si>
    <t>Osazení podomítkový splachovač pro SDK konstrukce</t>
  </si>
  <si>
    <t>Umyvadlo 600 x 490 mm, s otvorem pro baterii a přepadem</t>
  </si>
  <si>
    <t>Plastové sedátko WC pro závěsné klozety se systémem slow close</t>
  </si>
  <si>
    <t>WC závěsná mísa s hloubkou od zdi 530 mm</t>
  </si>
  <si>
    <t>Osazení sifonu umyvadla</t>
  </si>
  <si>
    <t>Sifon umyvadla chromová ABS,nastavitelný od 175 do 270 mm</t>
  </si>
  <si>
    <t>Osazení sprchové vaničky 800x800 mm</t>
  </si>
  <si>
    <t>Sprchová vanička 800x800mm</t>
  </si>
  <si>
    <t>Osazení sifonu sprchové vaničky</t>
  </si>
  <si>
    <t>Sifon sprchové vaničky</t>
  </si>
  <si>
    <t>Osazení sprchových dveří do výklenku 800 mm</t>
  </si>
  <si>
    <t>Sprchové dveře do výklenku sprchy šířky 800 mm</t>
  </si>
  <si>
    <t>Osazení uzaviratelné kulaté umyvadlové vpusti</t>
  </si>
  <si>
    <t>Uzaviratelná kulatá umyvadlová vpusť</t>
  </si>
  <si>
    <t xml:space="preserve">Osazení kuchyňského dřezu s odkapávačem </t>
  </si>
  <si>
    <t>Kuchyňský dřez s odkapávačem s nerezavějící oceli 70x50x15 mm</t>
  </si>
  <si>
    <t>Osazení sifonu ke dřezu s dopojením</t>
  </si>
  <si>
    <t>Sifon ke dřezu se sítkem, 84-90/20-32</t>
  </si>
  <si>
    <t>VNITŘNÍ KANALIZACE 3.NP</t>
  </si>
  <si>
    <t>Montáž trubního vedení z plastových trub HT DN 75</t>
  </si>
  <si>
    <t>Trubní vedení HT DN 75</t>
  </si>
  <si>
    <t>Trubní koleno HT DN 75 - 88,5°</t>
  </si>
  <si>
    <t>Odbočka HT DN 50/50 - 88,5°</t>
  </si>
  <si>
    <t>Odbočka HT DN 75/75 - 88,5°</t>
  </si>
  <si>
    <t>Odbočka HT DN 125/75 - 88,5°</t>
  </si>
  <si>
    <t>Osazení podomítkový splachovač pro zazdění</t>
  </si>
  <si>
    <t xml:space="preserve">Osazení sifonu umyvadla </t>
  </si>
  <si>
    <t>Osazení sprchové vaničky 1500x800 mm</t>
  </si>
  <si>
    <t>Sprchová vanička 1500x800mm</t>
  </si>
  <si>
    <t>Osazení sprchových dveří do výklenku 1500 mm</t>
  </si>
  <si>
    <t>Sprchové dveře do výklenku sprchy šířky 1500 mm</t>
  </si>
  <si>
    <t>VNITŘNÍ KANALIZACE 2.NP</t>
  </si>
  <si>
    <t>VNITŘNÍ KANALIZACE 1.NP</t>
  </si>
  <si>
    <t>Odbočka HT DN 75/50 - 88,5°</t>
  </si>
  <si>
    <t>Montáž trubního vedení z plastových trub HT DN 90</t>
  </si>
  <si>
    <t>Trubní vedení HT DN 90</t>
  </si>
  <si>
    <t>Odbočka HT DN 90/50 - 88,5°</t>
  </si>
  <si>
    <t>Trubní vedení HT DN 125</t>
  </si>
  <si>
    <t>Odbočka HT DN 125/90 - 88,5°</t>
  </si>
  <si>
    <t>Odbočka HT DN 125/110 - 88,5°</t>
  </si>
  <si>
    <t>Umyvadlo 400 x 310 mm, s otvorem pro baterii vlevo a přepadem</t>
  </si>
  <si>
    <t>Osazení vany 1600x700 mm</t>
  </si>
  <si>
    <t>Obdélníková akrylátová vana včetně podpěr 1600x700 mm</t>
  </si>
  <si>
    <t>Osazení sifonu vany</t>
  </si>
  <si>
    <t>Vanový sifon s kovovým ovládáním zátk v předpadu</t>
  </si>
  <si>
    <t>Osazení kuchyňského dřezu</t>
  </si>
  <si>
    <t>Kuchyňský dřez 46x46x15 cm z nerezavějící oceli</t>
  </si>
  <si>
    <t>Osazení sítka/sifonu ke dřezu</t>
  </si>
  <si>
    <t>Sítko/sifon ke dřezu v=84-90cm,š-20-32cm</t>
  </si>
  <si>
    <t xml:space="preserve">Osazení kuchyňský dřez s odkapávačem </t>
  </si>
  <si>
    <t>Kuchyňský dřez s odkapávačem 70/50/15</t>
  </si>
  <si>
    <t>Osazení vestavné myčky</t>
  </si>
  <si>
    <t>Vestavná myčka 59,6/55,5/81,8 cm</t>
  </si>
  <si>
    <t>VNITŘNÍ KANALIZACE 1.PP</t>
  </si>
  <si>
    <t>Odbočka HT DN 90/75 - 88,5°</t>
  </si>
  <si>
    <t>Odbočka HT DN 110/90 - 88,5°</t>
  </si>
  <si>
    <t>Montáž trubního ležatého vedení z plastových trub HT DN 125</t>
  </si>
  <si>
    <t>Odbočka HT DN 125/125 - 45°</t>
  </si>
  <si>
    <t>Montáž trubního ležatého vedení z plastových trub HT DN 200</t>
  </si>
  <si>
    <t>Trubní vedení HT DN 200</t>
  </si>
  <si>
    <t>Trubní koleno HT DN 200 - 88,5°</t>
  </si>
  <si>
    <t>Redukce 125/200</t>
  </si>
  <si>
    <t>Čistící kus DN 125</t>
  </si>
  <si>
    <t>Montáž kalového čerpadla</t>
  </si>
  <si>
    <t>Kalové čerpadlo</t>
  </si>
  <si>
    <t>VNITŘNÍ VODOVOD 4.NP</t>
  </si>
  <si>
    <t>Montáž trubního vodovodního vedení z PPR potrubí</t>
  </si>
  <si>
    <t>PPR potrubí 16x2,7, PN 20</t>
  </si>
  <si>
    <t>PPR potrubí 20x3,4, PN 20</t>
  </si>
  <si>
    <t>Osazení kulových kohoutů na stoupací vedení</t>
  </si>
  <si>
    <t>Kulový kohout KK20</t>
  </si>
  <si>
    <t>Montáž rohových ventilů</t>
  </si>
  <si>
    <t>Rohový ventil 1/2´´x3/8´´</t>
  </si>
  <si>
    <t>Montáž umyvadlové stojánkové baterie</t>
  </si>
  <si>
    <t>Umyvadlová stojánková páková baterie</t>
  </si>
  <si>
    <t>Montáž sprchového sloupu</t>
  </si>
  <si>
    <t>Sprchový sloup s pákovou nástěnou baterií a dvěma sprchami</t>
  </si>
  <si>
    <t>Montáž dřezové baterie</t>
  </si>
  <si>
    <t>Dřezová mísící baterie</t>
  </si>
  <si>
    <t>VNITŘNÍ VODOVOD 3.NP</t>
  </si>
  <si>
    <t>VNITŘNÍ VODOVOD 2.NP</t>
  </si>
  <si>
    <t>PPR potrubí 25x4,2, PN 20</t>
  </si>
  <si>
    <t>VNITŘNÍ VODOVOD 1.NP</t>
  </si>
  <si>
    <t>PPR potrubí 32x5,4, PN 20</t>
  </si>
  <si>
    <t>PPR potrubí 40x6,7, PN 20</t>
  </si>
  <si>
    <t>Montáž vanové baterie</t>
  </si>
  <si>
    <t>Vanová baterie nástěnná</t>
  </si>
  <si>
    <t>Ruční masážní sprcha</t>
  </si>
  <si>
    <t>Sprchová hadice kovová opletená</t>
  </si>
  <si>
    <t>Držák ruční sprchy</t>
  </si>
  <si>
    <t>VNITŘNÍ VODOVOD 1.PP</t>
  </si>
  <si>
    <t>Montáž venkovního kohoutu</t>
  </si>
  <si>
    <t>Venkovní nezámezný kohout</t>
  </si>
  <si>
    <t>Kulový kohout KK40</t>
  </si>
  <si>
    <t>Montáž nástěnné baterie</t>
  </si>
  <si>
    <t>Baterie nástěnná</t>
  </si>
  <si>
    <t>Montáž HUV vodoměrné sestavy</t>
  </si>
  <si>
    <t>HUV vodoměrná sestava(uzávěr s vypouštěním DN 40, zpětná klapka DN40, vodoměr,uzávěr dn40..)</t>
  </si>
  <si>
    <t>Izolace potrubí tl. 20 mm (λ=0,040 W/m.K)</t>
  </si>
  <si>
    <t>Izolace potrubí tl. 30 mm (λ=0,040 W/m.K)</t>
  </si>
  <si>
    <t>ROZVOD POŽÁRNÍ VODY</t>
  </si>
  <si>
    <t>Osazení trubního oddělovače BA</t>
  </si>
  <si>
    <t>Trubní oddělovač BA</t>
  </si>
  <si>
    <t>Vypouštěcí kulový kohout</t>
  </si>
  <si>
    <t>Montáž trubního vedení požární vody</t>
  </si>
  <si>
    <t>Trubní vedení požární vody</t>
  </si>
  <si>
    <t>Montáž požárního hydrantu</t>
  </si>
  <si>
    <t>Zapuštěný požární hydrant 600x200x600 mm</t>
  </si>
  <si>
    <t>Demontáž stávajícího vedení plynovodu</t>
  </si>
  <si>
    <t>Ocelové potrubí bezešvé,svařované DN25</t>
  </si>
  <si>
    <t>Montáž ocelové chráničky DN50</t>
  </si>
  <si>
    <t>Ocelová chránička DN 50</t>
  </si>
  <si>
    <t>Osazení kulových kohoutů</t>
  </si>
  <si>
    <t>Kulový kohout KK25</t>
  </si>
  <si>
    <t>Montáž trubního vedení plynovodu DN25 včetně žlutého nátěru</t>
  </si>
  <si>
    <t>Trubní vedení - dopojení kotle (pancéřová trbka DN dle kotle včetně nátěru)</t>
  </si>
  <si>
    <t>Demontáž stávající technologie, topných ploch a potrubí</t>
  </si>
  <si>
    <t>DEMONTÁŽ STÁVAJÍCÍ TECHNOLOGIE</t>
  </si>
  <si>
    <t>Montáž topných těles</t>
  </si>
  <si>
    <t>OTOPNÁ TĚLESA A PLOCHY</t>
  </si>
  <si>
    <t xml:space="preserve">Otopné těleso ocelové dekorativní žebříkové max přičle zaoblené se spodním krajním připojením vč. Základní barvy RAL, odvzdušnění a uchycení,připojovacích bodů, teplovodní 38°, např. KRM€ 1500.450 </t>
  </si>
  <si>
    <t>Otopné těleso ocelové dekorativní žebříkové max přičle zaoblené se spodním krajním připojením vč. Základní barvy RAL, odvzdušnění a uchycení,připojovacích bodů, teplovodní 38°, např. KRM€ 1820.450</t>
  </si>
  <si>
    <t>Otopné těleso ocelové dekorativní žebříkové max přičle zaoblené se spodním krajním připojením vč. Základní barvy RAL, odvzdušnění a uchycení,připojovacích bodů, teplovodní 38°, např. KRM€ 1820.600</t>
  </si>
  <si>
    <t>Elektropatrona typizovaná pro topidlo s termostatem, výkon 400-500W s příslušenstvím</t>
  </si>
  <si>
    <t>Těleso deskové ocelové s integrovaným ventilem,spovrch. Úpravou -základní nátěr RAL, vč. Odvzdušnění a armatur,připoj.body, teplovodní spád 38/32°, 33VK 900/900</t>
  </si>
  <si>
    <t>Radiátorová termostatická hlavice nastavení (cca 6 - 28°C) s úpravou pro veřejné prostory vč.ochrany proti zcizení - konkrétní typ dle požadavku investora - vyvzorkování</t>
  </si>
  <si>
    <t>Připojení těles na otopnou soustavu (šroubení, kroužky,…)</t>
  </si>
  <si>
    <t>Montáž topných ploch podlahového vytápění a příslušenství</t>
  </si>
  <si>
    <t>Rozdělovač sběrač podlahových okruhů nízkoteplotní skompletovaný mosazný povrchově upravený(pochromovaný) vč.uzavírání RS, průtokoměrů, odvzdušnění, vypouštění, úchytů, regulačních ventilů okruhů a příslušenství 5/18</t>
  </si>
  <si>
    <t>Rozdělovač sběrač podlahových okruhů nízkoteplotní skompletovaný mosazný povrchově upravený(pochromovaný) vč.uzavírání RS, průtokoměrů, odvzdušnění, vypouštění, úchytů, regulačních ventilů okruhů a příslušenství 8/18</t>
  </si>
  <si>
    <t>Rozdělovač sběrač podlahových okruhů nízkoteplotní skompletovaný mosazný povrchově upravený(pochromovaný) vč.uzavírání RS, průtokoměrů, odvzdušnění, vypouštění, úchytů, regulačních ventilů okruhů a příslušenství 9/18</t>
  </si>
  <si>
    <t>Rozdělovač sběrač podlahových okruhů nízkoteplotní skompletovaný mosazný povrchově upravený(pochromovaný) vč.uzavírání RS, průtokoměrů, odvzdušnění, vypouštění, úchytů, regulačních ventilů okruhů a příslušenství 10/18</t>
  </si>
  <si>
    <t>Deska zámková tepelně izolační ze šedého polystyrenu se souč.tepel.vodivosti 0.033 a lepší, systém.řada 75mm s výstupky a spoj.zámky, (včetně dilatačních pásu stěnový tl. 10 mm, Ochranná trubka z PE, Potrubí pro topnou vodu a tvarovky)</t>
  </si>
  <si>
    <t>Skříňka rozdělovače podlah.vytápění typizovaná komfortní pozinkovaná např.Revel (pro zazdění) komaxitovaná uzavíratelná bílá - případně dle architekt.návrhu, včetně držáků rozdělovače sběrače, 400*600*140</t>
  </si>
  <si>
    <t>Skříňka rozdělovače podlah.vytápění typizovaná komfortní pozinkovaná např.Revel (pro zazdění) komaxitovaná uzavíratelná bílá - případně dle architekt.návrhu, včetně držáků rozdělovače sběrače, 600*600*140</t>
  </si>
  <si>
    <t>Skříňka rozdělovače podlah.vytápění typizovaná komfortní pozinkovaná např.Revel (pro zazdění) komaxitovaná uzavíratelná bílá - případně dle architekt.návrhu, včetně držáků rozdělovače sběrače, 800*600*140</t>
  </si>
  <si>
    <t xml:space="preserve">Termopohon na okruhy podlah.smyček 230V -finální počet dle dohody s investorem, </t>
  </si>
  <si>
    <t>Prostorový termostat pro podlah.okruhy programovatelný otočný, konkrétní typ dle požadavku investora</t>
  </si>
  <si>
    <t>Platifikátor</t>
  </si>
  <si>
    <t>Připojení na potrubí - přechody, šroubení</t>
  </si>
  <si>
    <t>Zaregulování ventilů okruhů podlah.vytápění</t>
  </si>
  <si>
    <t>hod</t>
  </si>
  <si>
    <t>Sejmutí a opětovné nandání těles po omítkách</t>
  </si>
  <si>
    <t>Drobný montážní materiál - tělesová/podlahová - cca 40 kg</t>
  </si>
  <si>
    <t>Zaregul.těles,výpoč.nastavení hydrauliky-provede mont.organizace</t>
  </si>
  <si>
    <t>ROZVODY TOPNÉHO POTRUBÍ,TEPELNÁ IZOLACE POTRUBÍ</t>
  </si>
  <si>
    <t>Montáž potrubí a izolací</t>
  </si>
  <si>
    <t>Potrubní rozvod pro vytápění do 95°C ze síťovaného polyethylenu PEXb s kyslík.bariérou pro ústřední vytápění vč.přirážky na tvarovky a přípojky PEX 16E</t>
  </si>
  <si>
    <t>Potrubní rozvod pro vytápění do 95°C ze síťovaného polyethylenu PEXb s kyslík.bariérou pro ústřední vytápění vč.přirážky na tvarovky a přípojky PEX 18E</t>
  </si>
  <si>
    <t>Potrubí pro ÚT měděné polotvrdé kvalitní  vč.přirážky na tvarovky a připojení otopných ploch Cu 15x1</t>
  </si>
  <si>
    <t>Potrubí pro ÚT měděné polotvrdé kvalitní  vč.přirážky na tvarovky a připojení otopných ploch Cu 22x1</t>
  </si>
  <si>
    <t>Potrubí pro ÚT měděné polotvrdé kvalitní  vč.přirážky na tvarovky a připojení otopných ploch Cu 28x1.5</t>
  </si>
  <si>
    <t>Potrubí pro ÚT měděné polotvrdé kvalitní  vč.přirážky na tvarovky a připojení otopných ploch Cu 35x1.5</t>
  </si>
  <si>
    <t>Potrubí pro ÚT měděné polotvrdé kvalitní  vč.přirážky na tvarovky a připojení otopných ploch Cu 42x1.5</t>
  </si>
  <si>
    <t xml:space="preserve">Tepelná izolace návleková potrubí alfa ekv. 0.035 - 0.04 W/m2K odolnost min.80°C, včetně přirážky na prořez do tl.iz.20mm, nad tl.20mm miner.(skelná) vata s AL folií nebo oplechováním Cu15/tl.13mm </t>
  </si>
  <si>
    <t xml:space="preserve">Tepelná izolace návleková potrubí alfa ekv. 0.035 - 0.04 W/m2K odolnost min.80°C, včetně přirážky na prořez do tl.iz.20mm, nad tl.20mm miner.(skelná) vata s AL folií nebo oplechováním Cu22/tl.20mm </t>
  </si>
  <si>
    <t xml:space="preserve">Tepelná izolace návleková potrubí alfa ekv. 0.035 - 0.04 W/m2K odolnost min.80°C, včetně přirážky na prořez do tl.iz.20mm, nad tl.20mm miner.(skelná) vata s AL folií nebo oplechováním Cu28/tl.20mm </t>
  </si>
  <si>
    <t xml:space="preserve">Tepelná izolace návleková potrubí alfa ekv. 0.035 - 0.04 W/m2K odolnost min.80°C, včetně přirážky na prořez do tl.iz.20mm, nad tl.20mm miner.(skelná) vata s AL folií nebo oplechováním Cu35/tl.30mm </t>
  </si>
  <si>
    <t xml:space="preserve">Tepelná izolace návleková potrubí alfa ekv. 0.035 - 0.04 W/m2K odolnost min.80°C, včetně přirážky na prořez do tl.iz.20mm, nad tl.20mm miner.(skelná) vata s AL folií nebo oplechováním Cu42/tl.30mm </t>
  </si>
  <si>
    <t>Tepelná izolace kaučuková nenasákavá návleková potrubí alfa ekv. 0.04 W/m2K, dif.odpor min.7000, včetně přirážky na prořez CU42/tl.19mm</t>
  </si>
  <si>
    <t>dodatková tepel.izolace z min.vaty tl.20mm s oplechováním</t>
  </si>
  <si>
    <t>Drobný montážní materiál (uchyty konzolky, objimky..) - potrubní rozvody - cca 35 kg</t>
  </si>
  <si>
    <t>ZDROJ TEPLA,STROJNÍ VYBAVENÍ UT, ARMATURY</t>
  </si>
  <si>
    <t>Montáž technické místnosti vč.zdroje, technologie, armatur a zařízení, příslušenství</t>
  </si>
  <si>
    <t xml:space="preserve">podstavné konzoly typizované pro jednotku TČ nerezové nebo komaxitované </t>
  </si>
  <si>
    <t>typizované připojení tepel.čerpadla na rozvod ÚT - flexibilní přípojky, šroubení, izolace,..</t>
  </si>
  <si>
    <t>Odvod kondenzátu od tepelného čerpadla včetně výhřevu Kondenzátního potrubí elektr.kabelem</t>
  </si>
  <si>
    <t>Pružné připojení venkovní jednotky tepelného čerpadla vč.příslušenství</t>
  </si>
  <si>
    <t>Tepelné čerpadlo - Oběhové čerpadlo elektronické s regulací otáček, včetně regulace, napojení na potrubí, adapt.fce a příslušenství - M = cca 2500 kg/h, Pext = min.87kPa,</t>
  </si>
  <si>
    <t>Plynový kondenzační kotel 3,4-26,7 kW při 50/30°C (integrované oběh. čerpadlo, expanz. nádoba 10 l, automat. odvzduš. ventil, odvaděč kondenzátu, třícestný přepínací ventil, vestavná regulace nepřímotop. zásobníku)</t>
  </si>
  <si>
    <t>Připojovací sada kotle na topnou soustavu - typizovaná</t>
  </si>
  <si>
    <t xml:space="preserve">Řízení topných okruhů - 1 topný okruh - modul nadřazené regulace  + ohřev TV přednostní (spínání - integrováno v kotli), příslušenství </t>
  </si>
  <si>
    <t>Regulační systém - řízení 1 směšovaného okruhu vč.havarijního čidla, řízení TČ - nabíjení akunádoby, řízení připínání plyn.kotle pro ÚT, vzdálený přístup atd. ohřev TV v zásobníku pomocí plyn.kotle řešen regulátorem kotle</t>
  </si>
  <si>
    <t>Prokabelování - snímací čidla a snímače, ovlád.přístroje, ovládání - dod.elektro a MaR</t>
  </si>
  <si>
    <t xml:space="preserve">Akumulační nádoba kombinovaná pro akumulaci topné vody a průtočný ohřev TV - objem - 475lt-celk./429 lt.-užitný objem, nerezový výměník TV - obj.50 lt., plocha výměníku TV - 5.7m2, průměr bez izolace 650mm, výška 1720mm,  např. </t>
  </si>
  <si>
    <t>Izolace pro akumulační nádobu typizovaná pro nádobu vel.500 - tl.iz.100mm+povrch.úprava koženka vč.příslušenství</t>
  </si>
  <si>
    <t xml:space="preserve">Ohřívač TV nepřímoohřívaný 500 litrů (2x teplovodní výměník 1.4 m2+2m2, s termostatem, teplot.odolnost TV 90°C, krytí IP44, včetně tepelně izolačního opláštění  s ovládacím prvkem, otvor pro elektropatronu, připojovací sady na média od výrobce bojleru a příslušenství, </t>
  </si>
  <si>
    <t xml:space="preserve">Příslušenství zásobníku TV - připojovací sada, pojist.ventil </t>
  </si>
  <si>
    <t xml:space="preserve">Expanzní tlaková nádoba objem 100 litrů, včetně uzavírání, dopouštění, základ.úpravy vody a příslušenství, podstavná konstrukce nádoby, </t>
  </si>
  <si>
    <t>Pojistný ventil pružinový s otevír.přetlakem min.250kPa, DN25/20  vč.příslušenství</t>
  </si>
  <si>
    <t xml:space="preserve">okruh podlah.vytápění - Oběhové čerpadlo elektronické s regulací otáček, včetně regulace, adpat.fce, napojení na potrubí a příslušenství - M = cca 3000 kg/h, Pext = min.48kPa, </t>
  </si>
  <si>
    <t>Směšovací trojcestný ventil s pohonem  -  vč.pohonu motorického, přílsušenství a napojení na MaR</t>
  </si>
  <si>
    <t>konkrét.pohon dle typu regulátoru(tříbodový 230/24V) + napojení na regul.systém</t>
  </si>
  <si>
    <t>Dvoucestný ventil/kohut vysokoprůtokový motorický s pohonem (ovládání termostat)  vč.příslušenství, DN20+pohon k ventilům</t>
  </si>
  <si>
    <t xml:space="preserve">Prostorový termostat programovatelný týdenní program s displayem - vyvzorkování vč.propojení na zónový ventil </t>
  </si>
  <si>
    <t>Dopouštěcí sada zdroje s úpravou dopouštěcí vody - filtrace</t>
  </si>
  <si>
    <t>Armatury:</t>
  </si>
  <si>
    <t>KK- Kulový kohout PN 6  povrchově upravený DN 25</t>
  </si>
  <si>
    <t>KK- Kulový kohout PN 6  povrchově upravený DN 32</t>
  </si>
  <si>
    <t>KK- Kulový kohout PN 6  povrchově upravený DN 40</t>
  </si>
  <si>
    <t>RK - Regulační kohout s nastavením průtoku závitový PN6, povrch.upravený, vč.přísluš.DN 40</t>
  </si>
  <si>
    <t>RV - Regulační ventil s měřením a nastavením průtoku závitový PN6, povrch.upravený, vč.přísluš.DN20</t>
  </si>
  <si>
    <t>RV - Regulační ventil s měřením a nastavením průtoku závitový PN6, povrch.upravený, vč.přísluš.DN25</t>
  </si>
  <si>
    <t>Zpětná klapka povrchově upravená DN40</t>
  </si>
  <si>
    <t>F - Filtr se sítkem z NiRo oceli DN32</t>
  </si>
  <si>
    <t>F - Filtr se sítkem z NiRo oceli DN40</t>
  </si>
  <si>
    <t>VK - Vypouštěcí kohout DN 15 povrchově upravený</t>
  </si>
  <si>
    <t>T - teploměr do jímky 0 - 120°C - topná voda</t>
  </si>
  <si>
    <t>M - Manometr 0-600kPa</t>
  </si>
  <si>
    <t>Tlaková nebo teplotní čidla do jímky</t>
  </si>
  <si>
    <t xml:space="preserve">jímky pro teplotní nebo tlaková čidla </t>
  </si>
  <si>
    <t>AOV - autom.odvzušňovací ventil DN10</t>
  </si>
  <si>
    <t>Dávkování inhibitoru koroze vč.příslušenství</t>
  </si>
  <si>
    <t>Drobný montážní materiál - techn.místnost</t>
  </si>
  <si>
    <t>kg</t>
  </si>
  <si>
    <t>Tlakové, topné zkoušky dle ČSN, chemikálie, dopouštění systému - cca 40hod</t>
  </si>
  <si>
    <t>Zaregulování a oživení systému topení a MaR</t>
  </si>
  <si>
    <t>Zprovoznění systému a regulace, propojení kabeláží, provoz investora, zaškolení obsluhy</t>
  </si>
  <si>
    <t>Drobný montážní materiál - ostatní - cca 10kg</t>
  </si>
  <si>
    <t>Drobný materiál ostatní (štítky - max. 10*10cm, cedule,……), nátěry potrubí - předpoklad 10ks</t>
  </si>
  <si>
    <t>Ostatní položky neuvedené</t>
  </si>
  <si>
    <t>BOURACÍ PRÁCE-1.PP</t>
  </si>
  <si>
    <t>BOURACÍ PRÁCE-1.NP</t>
  </si>
  <si>
    <t>BOURACÍ PRÁCE-2.NP</t>
  </si>
  <si>
    <t>BOURACÍ PRÁCE-3.NP</t>
  </si>
  <si>
    <t>BOURACÍ PRÁCE - 4.NP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</si>
  <si>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</si>
  <si>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</si>
  <si>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</si>
  <si>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</si>
  <si>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</si>
  <si>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</si>
  <si>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</si>
  <si>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</si>
  <si>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</si>
  <si>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</si>
  <si>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</si>
  <si>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</si>
  <si>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</si>
  <si>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</si>
  <si>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</si>
  <si>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</si>
  <si>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</si>
  <si>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</si>
  <si>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</si>
  <si>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</si>
  <si>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</si>
  <si>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</si>
  <si>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</si>
  <si>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</si>
  <si>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</si>
  <si>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</si>
  <si>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</si>
  <si>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</si>
  <si>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</si>
  <si>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</si>
  <si>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</si>
  <si>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</si>
  <si>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</si>
  <si>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</si>
  <si>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</si>
  <si>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</si>
  <si>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</si>
  <si>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</si>
  <si>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</si>
  <si>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</si>
  <si>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</si>
  <si>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</si>
  <si>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</si>
  <si>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</si>
  <si>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</si>
  <si>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</si>
  <si>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</si>
  <si>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</si>
  <si>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</si>
  <si>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</si>
  <si>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</si>
  <si>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</si>
  <si>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</si>
  <si>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</si>
  <si>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</si>
  <si>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</si>
  <si>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</si>
  <si>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</si>
  <si>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</si>
  <si>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</si>
  <si>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</si>
  <si>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</si>
  <si>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</si>
  <si>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</si>
  <si>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</si>
  <si>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</si>
  <si>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</si>
  <si>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</si>
  <si>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</si>
  <si>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</si>
  <si>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</si>
  <si>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</si>
  <si>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</si>
  <si>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</si>
  <si>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</si>
  <si>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</si>
  <si>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</si>
  <si>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</si>
  <si>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</si>
  <si>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</si>
  <si>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</si>
  <si>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</si>
  <si>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</si>
  <si>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</si>
  <si>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</si>
  <si>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</si>
  <si>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</si>
  <si>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</si>
  <si>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</si>
  <si>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</si>
  <si>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</si>
  <si>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</si>
  <si>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</si>
  <si>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</si>
  <si>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</si>
  <si>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</si>
  <si>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</si>
  <si>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</si>
  <si>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</si>
  <si>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</si>
  <si>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</si>
  <si>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</si>
  <si>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</si>
  <si>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</si>
  <si>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</si>
  <si>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</si>
  <si>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</si>
  <si>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</si>
  <si>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</si>
  <si>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</si>
  <si>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</si>
  <si>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</si>
  <si>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</si>
  <si>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</si>
  <si>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</si>
  <si>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</si>
  <si>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</si>
  <si>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</si>
  <si>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</si>
  <si>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</si>
  <si>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</si>
  <si>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</si>
  <si>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</si>
  <si>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</si>
  <si>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</si>
  <si>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</si>
  <si>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</si>
  <si>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</si>
  <si>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</si>
  <si>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</si>
  <si>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</si>
  <si>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</si>
  <si>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</si>
  <si>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Pokládka TI polyestern EPS tl. 60 mm</t>
  </si>
  <si>
    <t>Zřízení celoplošného záklopu z OSB desek tl. 18 mm P+D</t>
  </si>
  <si>
    <t>OSB deska P+D tl. 15 mm 2500x675 mm</t>
  </si>
  <si>
    <t>Zřízení celoplošného záklopu z OSB desek tl. 15 mm P+D</t>
  </si>
  <si>
    <t>OSB deska P+D tl. 18 mm 2500x675 mm</t>
  </si>
  <si>
    <t>Zřízení lepící stěrky s perlinkou</t>
  </si>
  <si>
    <t>Zateplovací systém sokl XPS tl. 120 mm s kotvením dle výrobce</t>
  </si>
  <si>
    <t>Zřízení lepící stěrky tl. 5 mm</t>
  </si>
  <si>
    <t>Celeplošné vyrovnání stávající fasády</t>
  </si>
  <si>
    <t>Revize a zkoušky kanalizace dle ČSN EN</t>
  </si>
  <si>
    <t>Revize a tlakové zkoušky dle ČSN EN</t>
  </si>
  <si>
    <t xml:space="preserve"> Příplatek za každý měsíc použití lešení</t>
  </si>
  <si>
    <t xml:space="preserve">Montáž lešení leh.řad.s podlahami,š.1,2 m, H 15 m </t>
  </si>
  <si>
    <t xml:space="preserve">Demontáž lešení leh.řad.s podlahami,š.1,2 m, H 15 m </t>
  </si>
  <si>
    <t>Demontáž stávající elektroinstalace</t>
  </si>
  <si>
    <t>07 - ELEKTROINSTALACE</t>
  </si>
  <si>
    <t>Montáž elektroinstalace</t>
  </si>
  <si>
    <t>kabel CYKY 3x1,5</t>
  </si>
  <si>
    <t>kabel CYKY 3×2,5</t>
  </si>
  <si>
    <t>kabel CYKY 5x2,5</t>
  </si>
  <si>
    <t>kabel CYKY J-4x25</t>
  </si>
  <si>
    <t>kabel CY 4</t>
  </si>
  <si>
    <t>kabel 5G4</t>
  </si>
  <si>
    <t>UTP BELDEN</t>
  </si>
  <si>
    <t>koax</t>
  </si>
  <si>
    <t>trubka 13</t>
  </si>
  <si>
    <t>krabice KU 68 hluboká(bez víčka)</t>
  </si>
  <si>
    <t>krabice K0 125</t>
  </si>
  <si>
    <t xml:space="preserve">rozvaděč elektroměrový </t>
  </si>
  <si>
    <t>rozvodnice FG 56 M</t>
  </si>
  <si>
    <t>zemnící svorka včetně pásku</t>
  </si>
  <si>
    <t>zásuvka jednoduchá</t>
  </si>
  <si>
    <t>přípojovací svorkovnice</t>
  </si>
  <si>
    <t>zásuvka TV</t>
  </si>
  <si>
    <t>zásuvka DAT 5e</t>
  </si>
  <si>
    <t>jistič 1x10A/B</t>
  </si>
  <si>
    <t>jistič 1x16A/B</t>
  </si>
  <si>
    <t>jistič 3x16A/B</t>
  </si>
  <si>
    <t>jistič 3x63/B</t>
  </si>
  <si>
    <t>proudový chránič PFL7 10/B/003</t>
  </si>
  <si>
    <t>proudový chránič PF7 40/4/003</t>
  </si>
  <si>
    <t>puls rele</t>
  </si>
  <si>
    <t>pohybové čidlo</t>
  </si>
  <si>
    <t>revize dle ČSN</t>
  </si>
  <si>
    <t>KONSTRUKCE KLEMPÍŘSKÉ - STŘECHA</t>
  </si>
  <si>
    <t>Ventilač. nást.na vln. kryt. do prům. 200</t>
  </si>
  <si>
    <t>Žlab podokap. půlkruh. rš.330</t>
  </si>
  <si>
    <t>Rohy-Žlab podokap.půlkruh.do rš.330</t>
  </si>
  <si>
    <t>Čela-Žlab podokap.půlkruh.do rš.330</t>
  </si>
  <si>
    <t>Háky-Žlab podokap.půlkruh.</t>
  </si>
  <si>
    <t>Kotlík trycht. do prům. 150</t>
  </si>
  <si>
    <t>Závětrná lišta rš. 400</t>
  </si>
  <si>
    <t>Rohy- Závětrná lišta do rš. 500</t>
  </si>
  <si>
    <t>Úžlabí rš. 660</t>
  </si>
  <si>
    <t>Spoj úžlabí v hřebeni, rohy</t>
  </si>
  <si>
    <t>Demontáž starého oplechování</t>
  </si>
  <si>
    <t>Demont.+ zpětná mont. stáv. krytiny</t>
  </si>
  <si>
    <t>Řezání krytiny- diamant. Kotouč</t>
  </si>
  <si>
    <t>Utěsňovací klínový pás 30*60 samolep.</t>
  </si>
  <si>
    <t>Montáž střešních oken</t>
  </si>
  <si>
    <t>KONSTRUKCE KLEMPÍŘSKÉ - FASÁDA</t>
  </si>
  <si>
    <t>Parapet rš. 330</t>
  </si>
  <si>
    <t>Lepení klemp prvků - Enkolit</t>
  </si>
  <si>
    <t>Svod prům. 100</t>
  </si>
  <si>
    <t xml:space="preserve">Spony-Svod do prům. 200 </t>
  </si>
  <si>
    <t>Zaústění do kanalizace</t>
  </si>
  <si>
    <t>Etáž-Svod prům. 100</t>
  </si>
  <si>
    <t>Krytina z pasů š. 670 - markýza</t>
  </si>
  <si>
    <t>Podkladní plech rš. 250</t>
  </si>
  <si>
    <t>Maska hladká rš. 330</t>
  </si>
  <si>
    <t>Rohy,Čela- Maska hladká do rš. 330</t>
  </si>
  <si>
    <t>Podkladní plech rš. 200</t>
  </si>
  <si>
    <t>Dilatační lišta rš. 80,tmel,hmožď.</t>
  </si>
  <si>
    <t>Plošné podepření přilehlé klenby a klenebných pasů vč. Stojek a desek</t>
  </si>
  <si>
    <t>Vybourání skladby podlahy 1.pp v místě jímky</t>
  </si>
  <si>
    <t>Zřízení štěrkového lože tl. 100 mm</t>
  </si>
  <si>
    <t>Obklad soklíků keram rovných tmel výška 10 cm, lepidlo, spár. Hmota</t>
  </si>
  <si>
    <t>Řezání dlaždic keram. Pro soklíky</t>
  </si>
  <si>
    <t>Zřízení soklové lišty PVC</t>
  </si>
  <si>
    <t>Soklová lišta PVC</t>
  </si>
  <si>
    <t>Okapový LT profil</t>
  </si>
  <si>
    <t>parapetní LPE profil</t>
  </si>
  <si>
    <t>Provedení antikorózní nátěr ocelových prvků vč. Nátěru</t>
  </si>
  <si>
    <t>Montáž autonomního hlásiče kouře</t>
  </si>
  <si>
    <t>Autonomní hlásič kouře</t>
  </si>
  <si>
    <t>Montáž nouzového osvětlení</t>
  </si>
  <si>
    <t>HROMOSVOD</t>
  </si>
  <si>
    <t>Montáž drát nebo lano hromosvodné svodové D do 10 mm s podpěrou</t>
  </si>
  <si>
    <t>drát průměr 10 mm AlMgSi (1 kg=6,2 m)</t>
  </si>
  <si>
    <t>podpěry vedení hromosvodu PV17 nerez</t>
  </si>
  <si>
    <t>Montáž svorka hromosvodná typ SU, SS, SZ, se 3 šrouby</t>
  </si>
  <si>
    <t>svorka uzemnění  SU univerzální</t>
  </si>
  <si>
    <t>svorka uzemnění  SS  spojovací</t>
  </si>
  <si>
    <t>svorka uzemnění SZ zkušební</t>
  </si>
  <si>
    <t>Montáž vedení hromosvodné-úhelník nebo trubka s držáky do zdiva</t>
  </si>
  <si>
    <t>úhelník ochranný  OU 1,7 nerez na ochranu svodu</t>
  </si>
  <si>
    <t>držák ochranného úhelníku boční se středovým  vrutem DUDa-18 nerez</t>
  </si>
  <si>
    <t>jímací tyč 1,5 m vč. Příslušenství a montáže</t>
  </si>
  <si>
    <t>antikorozní ochran svodů</t>
  </si>
  <si>
    <t>SVĚTLA</t>
  </si>
  <si>
    <t>Montáž stropních přisazených svítidel</t>
  </si>
  <si>
    <t>Svítidlo stropní přisazené LED, 1000 lumenů</t>
  </si>
  <si>
    <t>Svítidlo stropní přisazené 3X LED E14, 400 lm, IP44,</t>
  </si>
  <si>
    <t>Montáž nástěnných přisazených svítidel</t>
  </si>
  <si>
    <t xml:space="preserve">Svítidlo nástěnné přisazené, IP44, LED, 200 lm, </t>
  </si>
  <si>
    <t xml:space="preserve">Svítidlo nástěnné přisazené, IP44, LED E27, 1000 lm, </t>
  </si>
  <si>
    <t>Montáž stropní svítislo závěsné</t>
  </si>
  <si>
    <t>Svítidlo stropní závěsné, LED E27, 400 lm</t>
  </si>
  <si>
    <t>Montáž reflektoru s pohybovým čidlem</t>
  </si>
  <si>
    <t>Reflektor s pohybovým čidlem, LED 10W, 700 lm, IP65</t>
  </si>
  <si>
    <t>Nouzové osvětlení hranaté, 2 W, 3,6V 800 mAh, IP20, 15xLED</t>
  </si>
  <si>
    <t>RE20181001</t>
  </si>
  <si>
    <t>RE20181002</t>
  </si>
  <si>
    <t>RE20181003</t>
  </si>
  <si>
    <t>RE20181004</t>
  </si>
  <si>
    <t>RE20181005</t>
  </si>
  <si>
    <t>RE20181006</t>
  </si>
  <si>
    <t>RE20181007</t>
  </si>
  <si>
    <t>RE20181008</t>
  </si>
  <si>
    <t>RE20181009</t>
  </si>
  <si>
    <t>RE20181010</t>
  </si>
  <si>
    <t>RE20181011</t>
  </si>
  <si>
    <t>RE20181012</t>
  </si>
  <si>
    <t>RE20181013</t>
  </si>
  <si>
    <t>RE20181014</t>
  </si>
  <si>
    <t>RE20181015</t>
  </si>
  <si>
    <t>RE20181016</t>
  </si>
  <si>
    <t>RE20181017</t>
  </si>
  <si>
    <t>RE20181018</t>
  </si>
  <si>
    <t>RE20181019</t>
  </si>
  <si>
    <t>RE20181020</t>
  </si>
  <si>
    <t>RE20181021</t>
  </si>
  <si>
    <t>RE20181022</t>
  </si>
  <si>
    <t>RE20181023</t>
  </si>
  <si>
    <t>RE20181024</t>
  </si>
  <si>
    <t>RE20181025</t>
  </si>
  <si>
    <t>RE20181026</t>
  </si>
  <si>
    <t>RE20181027</t>
  </si>
  <si>
    <t>RE20181028</t>
  </si>
  <si>
    <t>RE20181029</t>
  </si>
  <si>
    <t>RE20181030</t>
  </si>
  <si>
    <t>RE20181031</t>
  </si>
  <si>
    <t>RE20181032</t>
  </si>
  <si>
    <t>RE20181033</t>
  </si>
  <si>
    <t>RE20181034</t>
  </si>
  <si>
    <t>RE20181035</t>
  </si>
  <si>
    <t>RE20181036</t>
  </si>
  <si>
    <t>RE20181037</t>
  </si>
  <si>
    <t>RE20181038</t>
  </si>
  <si>
    <t>RE20181039</t>
  </si>
  <si>
    <t>ROZVODY</t>
  </si>
  <si>
    <t>Odvoz odpadu elektro</t>
  </si>
  <si>
    <t>drobný materiál</t>
  </si>
  <si>
    <t>RE20181040</t>
  </si>
  <si>
    <t>RE20181041</t>
  </si>
  <si>
    <t>RE20181042</t>
  </si>
  <si>
    <t>RE20181043</t>
  </si>
  <si>
    <t>RE20181044</t>
  </si>
  <si>
    <t>RE20181045</t>
  </si>
  <si>
    <t>RE20181046</t>
  </si>
  <si>
    <t>RE20181047</t>
  </si>
  <si>
    <t>RE20181048</t>
  </si>
  <si>
    <t>RE20181049</t>
  </si>
  <si>
    <t>RE20181050</t>
  </si>
  <si>
    <t>RE20181051</t>
  </si>
  <si>
    <t>RE20181052</t>
  </si>
  <si>
    <t>RE20181053</t>
  </si>
  <si>
    <t>RE20181054</t>
  </si>
  <si>
    <t>RE20181055</t>
  </si>
  <si>
    <t>RE20181056</t>
  </si>
  <si>
    <t>RE20181057</t>
  </si>
  <si>
    <t>RE20181058</t>
  </si>
  <si>
    <t>RE20181059</t>
  </si>
  <si>
    <t>RE20181060</t>
  </si>
  <si>
    <t>RE20181061</t>
  </si>
  <si>
    <t>RE20181062</t>
  </si>
  <si>
    <t>RE20181063</t>
  </si>
  <si>
    <t>RE20181064</t>
  </si>
  <si>
    <t>RE20181065</t>
  </si>
  <si>
    <t>RE20181066</t>
  </si>
  <si>
    <t>RE20181067</t>
  </si>
  <si>
    <t>Předávací dokumentace včetně protokolů VZT</t>
  </si>
  <si>
    <t>RVZT20181062</t>
  </si>
  <si>
    <t>RVZT20181001</t>
  </si>
  <si>
    <t>RVZT20181002</t>
  </si>
  <si>
    <t>RVZT20181003</t>
  </si>
  <si>
    <t>RVZT20181004</t>
  </si>
  <si>
    <t>RVZT20181005</t>
  </si>
  <si>
    <t>RVZT20181006</t>
  </si>
  <si>
    <t>RVZT20181007</t>
  </si>
  <si>
    <t>RVZT20181008</t>
  </si>
  <si>
    <t>RVZT20181009</t>
  </si>
  <si>
    <t>RVZT20181010</t>
  </si>
  <si>
    <t>RVZT20181011</t>
  </si>
  <si>
    <t>RVZT20181012</t>
  </si>
  <si>
    <t>RVZT20181013</t>
  </si>
  <si>
    <t>RVZT20181014</t>
  </si>
  <si>
    <t>RVZT20181015</t>
  </si>
  <si>
    <t>RVZT20181016</t>
  </si>
  <si>
    <t>RVZT20181017</t>
  </si>
  <si>
    <t>RVZT20181018</t>
  </si>
  <si>
    <t>RVZT20181019</t>
  </si>
  <si>
    <t>RVZT20181020</t>
  </si>
  <si>
    <t>RVZT20181021</t>
  </si>
  <si>
    <t>RVZT20181022</t>
  </si>
  <si>
    <t>RVZT20181023</t>
  </si>
  <si>
    <t>RVZT20181024</t>
  </si>
  <si>
    <t>RVZT20181025</t>
  </si>
  <si>
    <t>RVZT20181026</t>
  </si>
  <si>
    <t>RVZT20181027</t>
  </si>
  <si>
    <t>RVZT20181028</t>
  </si>
  <si>
    <t>RVZT20181029</t>
  </si>
  <si>
    <t>RVZT20181030</t>
  </si>
  <si>
    <t>RVZT20181031</t>
  </si>
  <si>
    <t>RVZT20181032</t>
  </si>
  <si>
    <t>RVZT20181033</t>
  </si>
  <si>
    <t>RVZT20181034</t>
  </si>
  <si>
    <t>RVZT20181035</t>
  </si>
  <si>
    <t>RVZT20181036</t>
  </si>
  <si>
    <t>RVZT20181037</t>
  </si>
  <si>
    <t>RVZT20181038</t>
  </si>
  <si>
    <t>RVZT20181039</t>
  </si>
  <si>
    <t>RVZT20181040</t>
  </si>
  <si>
    <t>RVZT20181041</t>
  </si>
  <si>
    <t>RVZT20181042</t>
  </si>
  <si>
    <t>RVZT20181043</t>
  </si>
  <si>
    <t>RVZT20181044</t>
  </si>
  <si>
    <t>RVZT20181045</t>
  </si>
  <si>
    <t>RVZT20181046</t>
  </si>
  <si>
    <t>RVZT20181047</t>
  </si>
  <si>
    <t>RVZT20181048</t>
  </si>
  <si>
    <t>RVZT20181049</t>
  </si>
  <si>
    <t>RVZT20181050</t>
  </si>
  <si>
    <t>RVZT20181051</t>
  </si>
  <si>
    <t>RVZT20181052</t>
  </si>
  <si>
    <t>RVZT20181053</t>
  </si>
  <si>
    <t>RVZT20181054</t>
  </si>
  <si>
    <t>RVZT20181055</t>
  </si>
  <si>
    <t>RVZT20181056</t>
  </si>
  <si>
    <t>RVZT20181057</t>
  </si>
  <si>
    <t>RVZT20181058</t>
  </si>
  <si>
    <t>RVZT20181059</t>
  </si>
  <si>
    <t>RVZT20181060</t>
  </si>
  <si>
    <t>RVZT20181061</t>
  </si>
  <si>
    <t>RVZT20181063</t>
  </si>
  <si>
    <t>RVZT20181064</t>
  </si>
  <si>
    <t>RVZT20181065</t>
  </si>
  <si>
    <t>RVZT20181066</t>
  </si>
  <si>
    <t>RVZT20181067</t>
  </si>
  <si>
    <t>RVZT20181068</t>
  </si>
  <si>
    <t>RVZT20181069</t>
  </si>
  <si>
    <t>RVZT20181070</t>
  </si>
  <si>
    <t>RVZT20181071</t>
  </si>
  <si>
    <t>RP20181001</t>
  </si>
  <si>
    <t>RP20181002</t>
  </si>
  <si>
    <t>RP20181003</t>
  </si>
  <si>
    <t>RP20181004</t>
  </si>
  <si>
    <t>RP20181005</t>
  </si>
  <si>
    <t>RP20181006</t>
  </si>
  <si>
    <t>RP20181007</t>
  </si>
  <si>
    <t>RP20181008</t>
  </si>
  <si>
    <t>RP20181009</t>
  </si>
  <si>
    <t>RP20181010</t>
  </si>
  <si>
    <t>RP20181011</t>
  </si>
  <si>
    <t>RP20181012</t>
  </si>
  <si>
    <t>RP20181013</t>
  </si>
  <si>
    <t>Tepelné čerpadlo vzduch - voda monoblokové tlačné, venkovní provedení s možností reverzibilního provozu, s kompresorem typu Scroll, tepel.nom.výkon 12.1 kW(A2/W35) - COP 3.5, 11.2kW(A2/W45) - COP 2.7,  elektr.příkon max.4,8kW, 400V, 9.1A/37.5A minim.do -25°C, chladivo R410a, akust.výkon - 70.6dB(A), průtok vzduchu - 4400 m3/h, včetně vybavení, regulace, příslušenství, podstavce a fundamentu</t>
  </si>
  <si>
    <t>RT20181001</t>
  </si>
  <si>
    <t>RT20181002</t>
  </si>
  <si>
    <t>RT20181003</t>
  </si>
  <si>
    <t>RT20181004</t>
  </si>
  <si>
    <t>RT20181005</t>
  </si>
  <si>
    <t>RT20181006</t>
  </si>
  <si>
    <t>RT20181007</t>
  </si>
  <si>
    <t>RT20181008</t>
  </si>
  <si>
    <t>RT20181009</t>
  </si>
  <si>
    <t>RT20181010</t>
  </si>
  <si>
    <t>RT20181011</t>
  </si>
  <si>
    <t>RT20181012</t>
  </si>
  <si>
    <t>RT20181013</t>
  </si>
  <si>
    <t>RT20181014</t>
  </si>
  <si>
    <t>RT20181015</t>
  </si>
  <si>
    <t>RT20181016</t>
  </si>
  <si>
    <t>RT20181017</t>
  </si>
  <si>
    <t>RT20181018</t>
  </si>
  <si>
    <t>RT20181019</t>
  </si>
  <si>
    <t>RT20181020</t>
  </si>
  <si>
    <t>RT20181021</t>
  </si>
  <si>
    <t>RT20181022</t>
  </si>
  <si>
    <t>RT20181023</t>
  </si>
  <si>
    <t>RT20181024</t>
  </si>
  <si>
    <t>RT20181025</t>
  </si>
  <si>
    <t>RT20181026</t>
  </si>
  <si>
    <t>RT20181027</t>
  </si>
  <si>
    <t>RT20181028</t>
  </si>
  <si>
    <t>RT20181029</t>
  </si>
  <si>
    <t>RT20181030</t>
  </si>
  <si>
    <t>RT20181031</t>
  </si>
  <si>
    <t>RT20181032</t>
  </si>
  <si>
    <t>RT20181033</t>
  </si>
  <si>
    <t>RT20181034</t>
  </si>
  <si>
    <t>RT20181035</t>
  </si>
  <si>
    <t>RT20181036</t>
  </si>
  <si>
    <t>RT20181037</t>
  </si>
  <si>
    <t>RT20181038</t>
  </si>
  <si>
    <t>RT20181039</t>
  </si>
  <si>
    <t>RT20181040</t>
  </si>
  <si>
    <t>RT20181041</t>
  </si>
  <si>
    <t>RT20181042</t>
  </si>
  <si>
    <t>RT20181043</t>
  </si>
  <si>
    <t>RT20181044</t>
  </si>
  <si>
    <t>RT20181045</t>
  </si>
  <si>
    <t>RT20181046</t>
  </si>
  <si>
    <t>RT20181047</t>
  </si>
  <si>
    <t>RT20181048</t>
  </si>
  <si>
    <t>RT20181049</t>
  </si>
  <si>
    <t>RT20181050</t>
  </si>
  <si>
    <t>RT20181051</t>
  </si>
  <si>
    <t>RT20181052</t>
  </si>
  <si>
    <t>RT20181053</t>
  </si>
  <si>
    <t>RT20181054</t>
  </si>
  <si>
    <t>RT20181055</t>
  </si>
  <si>
    <t>RT20181056</t>
  </si>
  <si>
    <t>RT20181057</t>
  </si>
  <si>
    <t>RT20181058</t>
  </si>
  <si>
    <t>RT20181059</t>
  </si>
  <si>
    <t>RT20181060</t>
  </si>
  <si>
    <t>RT20181061</t>
  </si>
  <si>
    <t>RT20181062</t>
  </si>
  <si>
    <t>RT20181063</t>
  </si>
  <si>
    <t>RT20181064</t>
  </si>
  <si>
    <t>RT20181065</t>
  </si>
  <si>
    <t>RT20181066</t>
  </si>
  <si>
    <t>RT20181067</t>
  </si>
  <si>
    <t>RT20181068</t>
  </si>
  <si>
    <t>RT20181069</t>
  </si>
  <si>
    <t>RT20181070</t>
  </si>
  <si>
    <t>RT20181071</t>
  </si>
  <si>
    <t>RT20181073</t>
  </si>
  <si>
    <t>RT20181074</t>
  </si>
  <si>
    <t>RT20181075</t>
  </si>
  <si>
    <t>RT20181076</t>
  </si>
  <si>
    <t>RT20181077</t>
  </si>
  <si>
    <t>RT20181078</t>
  </si>
  <si>
    <t>RT20181079</t>
  </si>
  <si>
    <t>RT20181080</t>
  </si>
  <si>
    <t>RT20181081</t>
  </si>
  <si>
    <t>RT20181082</t>
  </si>
  <si>
    <t>RT20181083</t>
  </si>
  <si>
    <t>RT20181084</t>
  </si>
  <si>
    <t>RT20181085</t>
  </si>
  <si>
    <t>RT20181086</t>
  </si>
  <si>
    <t>RT20181087</t>
  </si>
  <si>
    <t>RT20181088</t>
  </si>
  <si>
    <t>RT20181089</t>
  </si>
  <si>
    <t>RT20181090</t>
  </si>
  <si>
    <t>RT20181091</t>
  </si>
  <si>
    <t>RT20181092</t>
  </si>
  <si>
    <t>RT20181093</t>
  </si>
  <si>
    <t>RT20181094</t>
  </si>
  <si>
    <t>RT20181095</t>
  </si>
  <si>
    <t>RT20181096</t>
  </si>
  <si>
    <t>RT20181097</t>
  </si>
  <si>
    <t>RT20181098</t>
  </si>
  <si>
    <t>RT20181099</t>
  </si>
  <si>
    <t>RT20181100</t>
  </si>
  <si>
    <t>RT20181101</t>
  </si>
  <si>
    <t>RT20181102</t>
  </si>
  <si>
    <t>RT20181103</t>
  </si>
  <si>
    <t xml:space="preserve">Dokumentace a měření </t>
  </si>
  <si>
    <t>RVV20181001</t>
  </si>
  <si>
    <t>RVV20181002</t>
  </si>
  <si>
    <t>RVV20181003</t>
  </si>
  <si>
    <t>RVV20181004</t>
  </si>
  <si>
    <t>RVV20181005</t>
  </si>
  <si>
    <t>RVV20181006</t>
  </si>
  <si>
    <t>RVV20181007</t>
  </si>
  <si>
    <t>RVV20181008</t>
  </si>
  <si>
    <t>RVV20181009</t>
  </si>
  <si>
    <t>RVV20181010</t>
  </si>
  <si>
    <t>RVV20181011</t>
  </si>
  <si>
    <t>RVV20181012</t>
  </si>
  <si>
    <t>RVV20181013</t>
  </si>
  <si>
    <t>RVV20181014</t>
  </si>
  <si>
    <t>RVV20181015</t>
  </si>
  <si>
    <t>RVV20181016</t>
  </si>
  <si>
    <t>Doplňkový materiál, fitinky, manžety, odbočky, redukce, kolena, závěsy držáky apod.</t>
  </si>
  <si>
    <t>RVV20181017</t>
  </si>
  <si>
    <t>RVV20181019</t>
  </si>
  <si>
    <t>RVV20181020</t>
  </si>
  <si>
    <t>RVV20181021</t>
  </si>
  <si>
    <t>RVV20181022</t>
  </si>
  <si>
    <t>RVV20181023</t>
  </si>
  <si>
    <t>RVV20181024</t>
  </si>
  <si>
    <t>RVV20181025</t>
  </si>
  <si>
    <t>RVV20181026</t>
  </si>
  <si>
    <t>RVV20181027</t>
  </si>
  <si>
    <t>RVV20181028</t>
  </si>
  <si>
    <t>RVV20181029</t>
  </si>
  <si>
    <t>RVV20181030</t>
  </si>
  <si>
    <t>RVV20181031</t>
  </si>
  <si>
    <t>RVV20181032</t>
  </si>
  <si>
    <t>RVV20181033</t>
  </si>
  <si>
    <t>RVV20181034</t>
  </si>
  <si>
    <t>RVV20181035</t>
  </si>
  <si>
    <t>RVV20181036</t>
  </si>
  <si>
    <t>RVV20181037</t>
  </si>
  <si>
    <t>RVV20181038</t>
  </si>
  <si>
    <t>RVV20181039</t>
  </si>
  <si>
    <t>RVV20181040</t>
  </si>
  <si>
    <t>RVV20181041</t>
  </si>
  <si>
    <t>RVV20181042</t>
  </si>
  <si>
    <t>RVV20181043</t>
  </si>
  <si>
    <t>RVV20181044</t>
  </si>
  <si>
    <t>RVV20181045</t>
  </si>
  <si>
    <t>RPV20181001</t>
  </si>
  <si>
    <t>RPV20181002</t>
  </si>
  <si>
    <t>RPV20181003</t>
  </si>
  <si>
    <t>RPV20181004</t>
  </si>
  <si>
    <t>RPV20181005</t>
  </si>
  <si>
    <t>RPV20181006</t>
  </si>
  <si>
    <t>RPV20181007</t>
  </si>
  <si>
    <t>RPV20181009</t>
  </si>
  <si>
    <t>RVV20181099</t>
  </si>
  <si>
    <t>RVK20181001</t>
  </si>
  <si>
    <t>RVK20181002</t>
  </si>
  <si>
    <t>RVK20181003</t>
  </si>
  <si>
    <t>RVK20181004</t>
  </si>
  <si>
    <t>RVK20181005</t>
  </si>
  <si>
    <t>RVK20181006</t>
  </si>
  <si>
    <t>RVK20181007</t>
  </si>
  <si>
    <t>RVK20181008</t>
  </si>
  <si>
    <t>RVK20181009</t>
  </si>
  <si>
    <t>RVK20181010</t>
  </si>
  <si>
    <t>RVK20181011</t>
  </si>
  <si>
    <t>RVK20181012</t>
  </si>
  <si>
    <t>RVK20181013</t>
  </si>
  <si>
    <t>RVK20181014</t>
  </si>
  <si>
    <t>RVK20181015</t>
  </si>
  <si>
    <t>RVK20181016</t>
  </si>
  <si>
    <t>RVK20181017</t>
  </si>
  <si>
    <t>RVK20181018</t>
  </si>
  <si>
    <t>RVK20181043</t>
  </si>
  <si>
    <t>RVK20181046</t>
  </si>
  <si>
    <t>RVK20181047</t>
  </si>
  <si>
    <t>RVK20181048</t>
  </si>
  <si>
    <t>RVK20181049</t>
  </si>
  <si>
    <t>RVK20181050</t>
  </si>
  <si>
    <t>Měření a regulace - řízení mezi zdroji tepla</t>
  </si>
  <si>
    <t>RVK20181051</t>
  </si>
  <si>
    <t>RVK20181052</t>
  </si>
  <si>
    <t>RVK20181053</t>
  </si>
  <si>
    <t>RVK20181054</t>
  </si>
  <si>
    <t>RVK20181055</t>
  </si>
  <si>
    <t>RVK20181056</t>
  </si>
  <si>
    <t>RVK20181057</t>
  </si>
  <si>
    <t>RVK20181058</t>
  </si>
  <si>
    <t>RVK20181059</t>
  </si>
  <si>
    <t>RVK20181060</t>
  </si>
  <si>
    <t>RVK20181061</t>
  </si>
  <si>
    <t>RVK20181062</t>
  </si>
  <si>
    <t>RVK20181063</t>
  </si>
  <si>
    <t>RVK20181064</t>
  </si>
  <si>
    <t>RVK20181065</t>
  </si>
  <si>
    <t>RVK20181066</t>
  </si>
  <si>
    <t>RVK20181067</t>
  </si>
  <si>
    <t>RVK20181068</t>
  </si>
  <si>
    <t>RVK20181069</t>
  </si>
  <si>
    <t>RVK20181070</t>
  </si>
  <si>
    <t>RVK20181101</t>
  </si>
  <si>
    <t>RVK20181102</t>
  </si>
  <si>
    <t>RVK20181103</t>
  </si>
  <si>
    <t>RVK20181104</t>
  </si>
  <si>
    <t>RVK20181105</t>
  </si>
  <si>
    <t>RVK20181106</t>
  </si>
  <si>
    <t>RVK20181107</t>
  </si>
  <si>
    <t>RVK20181108</t>
  </si>
  <si>
    <t>RVK20181109</t>
  </si>
  <si>
    <t>RVK20181110</t>
  </si>
  <si>
    <t>RVK20181111</t>
  </si>
  <si>
    <t>RVK20181112</t>
  </si>
  <si>
    <t>RVK20181113</t>
  </si>
  <si>
    <t>RVK20181114</t>
  </si>
  <si>
    <t>RVK20181115</t>
  </si>
  <si>
    <t>RVK20181116</t>
  </si>
  <si>
    <t>RVK20181117</t>
  </si>
  <si>
    <t>RVK20181118</t>
  </si>
  <si>
    <t>RVK20181119</t>
  </si>
  <si>
    <t>RVK20181120</t>
  </si>
  <si>
    <t>RVK20181121</t>
  </si>
  <si>
    <t>RVK20181123</t>
  </si>
  <si>
    <t>RVK20181124</t>
  </si>
  <si>
    <t>Osazení umyvadla</t>
  </si>
  <si>
    <t>RVK20181210</t>
  </si>
  <si>
    <t>RVK20181071</t>
  </si>
  <si>
    <t>RVK20181072</t>
  </si>
  <si>
    <t>Osazení sifonu sprchové vaničky 800x800mm</t>
  </si>
  <si>
    <t>Sifon sprchové vaničky 800x800mm</t>
  </si>
  <si>
    <t>RVK20181315</t>
  </si>
  <si>
    <t>RVK20181316</t>
  </si>
  <si>
    <t>RVK20181317</t>
  </si>
  <si>
    <t>RVK20181318</t>
  </si>
  <si>
    <t>RVK20181501</t>
  </si>
  <si>
    <t>RVK20181502</t>
  </si>
  <si>
    <t>RVK20181505</t>
  </si>
  <si>
    <t>RVK20181506</t>
  </si>
  <si>
    <t>RVK20181967</t>
  </si>
  <si>
    <t>RVK20181968</t>
  </si>
  <si>
    <t>Trubní a doplňkový materiál, fitinky, manžety, odbočky, redukce, kolena, závěsy držáky apod.</t>
  </si>
  <si>
    <t>RVK20181998</t>
  </si>
  <si>
    <t>Osazení výlevky</t>
  </si>
  <si>
    <t>Úklidová výlevka 485x320x340 vč. Roštu a sifonu</t>
  </si>
  <si>
    <t>Oszazení a zapojení pračky</t>
  </si>
  <si>
    <t>Osazení sušičky</t>
  </si>
  <si>
    <t>Kuchyňský dvoudřez z nerezavějící oceli</t>
  </si>
  <si>
    <t>Osazení kuchyňského dvoudřezu</t>
  </si>
  <si>
    <t>RVK20182001</t>
  </si>
  <si>
    <t>RVK20182002</t>
  </si>
  <si>
    <t>RVK20182003</t>
  </si>
  <si>
    <t>RVK20182004</t>
  </si>
  <si>
    <t>RVK20182005</t>
  </si>
  <si>
    <t>RVK20182006</t>
  </si>
  <si>
    <t>RVK20182007</t>
  </si>
  <si>
    <t>RVK20182008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</si>
  <si>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</si>
  <si>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</si>
  <si>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</si>
  <si>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</si>
  <si>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</si>
  <si>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</si>
  <si>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</si>
  <si>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</si>
  <si>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</si>
  <si>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</si>
  <si>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</si>
  <si>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</si>
  <si>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</si>
  <si>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</si>
  <si>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</si>
  <si>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</si>
  <si>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</si>
  <si>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</si>
  <si>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</si>
  <si>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</si>
  <si>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</si>
  <si>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</si>
  <si>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</si>
  <si>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</si>
  <si>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</si>
  <si>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</si>
  <si>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</si>
  <si>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</si>
  <si>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</si>
  <si>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</si>
  <si>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</si>
  <si>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</si>
  <si>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</si>
  <si>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</si>
  <si>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</si>
  <si>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</si>
  <si>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</si>
  <si>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</si>
  <si>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</si>
  <si>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</si>
  <si>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</si>
  <si>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</si>
  <si>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</si>
  <si>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</si>
  <si>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</si>
  <si>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</si>
  <si>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</si>
  <si>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</si>
  <si>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</si>
  <si>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</si>
  <si>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</si>
  <si>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</si>
  <si>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</si>
  <si>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</si>
  <si>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</si>
  <si>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</si>
  <si>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</si>
  <si>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</si>
  <si>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</si>
  <si>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</si>
  <si>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</si>
  <si>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</si>
  <si>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</si>
  <si>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</si>
  <si>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</si>
  <si>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</si>
  <si>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</si>
  <si>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</si>
  <si>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</si>
  <si>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</si>
  <si>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</si>
  <si>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</si>
  <si>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</si>
  <si>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</si>
  <si>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</si>
  <si>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</si>
  <si>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</si>
  <si>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</si>
  <si>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RBP20181001</t>
  </si>
  <si>
    <t>RBP20181002</t>
  </si>
  <si>
    <t>RBP20181003</t>
  </si>
  <si>
    <t>RBP20181004</t>
  </si>
  <si>
    <t>RBP20181005</t>
  </si>
  <si>
    <t>RBP20181006</t>
  </si>
  <si>
    <t>RBP20181007</t>
  </si>
  <si>
    <t>RBP20181008</t>
  </si>
  <si>
    <t>RBP20181009</t>
  </si>
  <si>
    <t>RBP20181010</t>
  </si>
  <si>
    <t>RBP20181011</t>
  </si>
  <si>
    <t>RBP20181012</t>
  </si>
  <si>
    <t>RBP20181013</t>
  </si>
  <si>
    <t>RBP20181014</t>
  </si>
  <si>
    <t>RBP20181015</t>
  </si>
  <si>
    <t>RBP20181016</t>
  </si>
  <si>
    <t>RBP20181017</t>
  </si>
  <si>
    <t>RBP20181018</t>
  </si>
  <si>
    <t>RBP20181019</t>
  </si>
  <si>
    <t>RBP20181020</t>
  </si>
  <si>
    <t>RBP20181021</t>
  </si>
  <si>
    <t>RBP20181022</t>
  </si>
  <si>
    <t>RBP20181023</t>
  </si>
  <si>
    <t>RBP20181024</t>
  </si>
  <si>
    <t>RBP20181025</t>
  </si>
  <si>
    <t>RBP20181026</t>
  </si>
  <si>
    <t>RBP20181027</t>
  </si>
  <si>
    <t>RBP20181028</t>
  </si>
  <si>
    <t>RBP20181029</t>
  </si>
  <si>
    <t>RBP20181030</t>
  </si>
  <si>
    <t>RBP20181031</t>
  </si>
  <si>
    <t>RBP20181032</t>
  </si>
  <si>
    <t>RBP20181033</t>
  </si>
  <si>
    <t>RBP20181034</t>
  </si>
  <si>
    <t>RBP20181035</t>
  </si>
  <si>
    <t>RBP20181036</t>
  </si>
  <si>
    <t>RBP20181037</t>
  </si>
  <si>
    <t>RBP20181038</t>
  </si>
  <si>
    <t>RBP20181101</t>
  </si>
  <si>
    <t>RBP20181102</t>
  </si>
  <si>
    <t>RBP20181103</t>
  </si>
  <si>
    <t>RBP20181104</t>
  </si>
  <si>
    <t>RBP20181105</t>
  </si>
  <si>
    <t>RBP20181106</t>
  </si>
  <si>
    <t>RBP20181107</t>
  </si>
  <si>
    <t>RBP20181108</t>
  </si>
  <si>
    <t>RBP20181109</t>
  </si>
  <si>
    <t>RBP20181110</t>
  </si>
  <si>
    <t>RBP20181201</t>
  </si>
  <si>
    <t>RBP20181202</t>
  </si>
  <si>
    <t>RBP20181203</t>
  </si>
  <si>
    <t>RBP20181204</t>
  </si>
  <si>
    <t>RBP20181205</t>
  </si>
  <si>
    <t>RBP20181206</t>
  </si>
  <si>
    <t>RBP20181207</t>
  </si>
  <si>
    <t>RBP20181637</t>
  </si>
  <si>
    <t>RBP20181916</t>
  </si>
  <si>
    <t>RBP20181716</t>
  </si>
  <si>
    <t>RBP20181516</t>
  </si>
  <si>
    <t>RBP20181501</t>
  </si>
  <si>
    <t>RBP20181502</t>
  </si>
  <si>
    <t>RBP20181503</t>
  </si>
  <si>
    <t>RBP20181816</t>
  </si>
  <si>
    <t>RBP2018917</t>
  </si>
  <si>
    <t>Pomocné lešení</t>
  </si>
  <si>
    <t>RBP2018918</t>
  </si>
  <si>
    <t>RBP2018919</t>
  </si>
  <si>
    <t>RBP2018920</t>
  </si>
  <si>
    <t>RBP2018921</t>
  </si>
  <si>
    <t>RBP2018922</t>
  </si>
  <si>
    <t>Úklid stavby</t>
  </si>
  <si>
    <t>Oškrábání omítek 1.-4.NP stěn ze 80%</t>
  </si>
  <si>
    <t>Otlučení omítek 1.-4.NP stěn ze 20%</t>
  </si>
  <si>
    <t>RBP20181995</t>
  </si>
  <si>
    <t>005121R</t>
  </si>
  <si>
    <t>Dokumentace skutečného provedení</t>
  </si>
  <si>
    <t>Fotodokumentace stavby</t>
  </si>
  <si>
    <t>0052610356R</t>
  </si>
  <si>
    <t>0052610365R</t>
  </si>
  <si>
    <t>005241010R</t>
  </si>
  <si>
    <t>0052610323R</t>
  </si>
  <si>
    <t>Zábor veřejného prostranství</t>
  </si>
  <si>
    <t>5211040</t>
  </si>
  <si>
    <t>Bezpečnostní a hygienická opatření na staveništi, ochrana před vstupem nepovolaných osob</t>
  </si>
  <si>
    <t>5211080</t>
  </si>
  <si>
    <t>Zajištění koordinační a kompletační činnosti</t>
  </si>
  <si>
    <t xml:space="preserve">    VRN1 - Projektové práce a dokumentace</t>
  </si>
  <si>
    <t>Zaměření a příprava výroby</t>
  </si>
  <si>
    <t>Ostatní:</t>
  </si>
  <si>
    <t>800 S dřezová</t>
  </si>
  <si>
    <t>PD 600x38</t>
  </si>
  <si>
    <t xml:space="preserve">stojna dvojitá LTD </t>
  </si>
  <si>
    <t>Montáž kuchyňské linky</t>
  </si>
  <si>
    <t>T7 - č.m. 0.01</t>
  </si>
  <si>
    <t>Trouba</t>
  </si>
  <si>
    <t>Varná deska 4 plotýnková</t>
  </si>
  <si>
    <t>madlo</t>
  </si>
  <si>
    <t>sokl plast</t>
  </si>
  <si>
    <t>výplň horní</t>
  </si>
  <si>
    <t>600 HV pravá</t>
  </si>
  <si>
    <t>750 HV 2x HV</t>
  </si>
  <si>
    <t>600 HV ods</t>
  </si>
  <si>
    <t>600 S D pravá</t>
  </si>
  <si>
    <t>750 S 3T</t>
  </si>
  <si>
    <t>600 S sporáková</t>
  </si>
  <si>
    <t>výplň spodní</t>
  </si>
  <si>
    <t>T6 - č.m. 4.05</t>
  </si>
  <si>
    <t>Vestavná kombi chladnička</t>
  </si>
  <si>
    <t>madla</t>
  </si>
  <si>
    <t>výplň ke komínu</t>
  </si>
  <si>
    <t>bočnice ke komínu</t>
  </si>
  <si>
    <t>475 HV</t>
  </si>
  <si>
    <t>600 komín lednice, HKS</t>
  </si>
  <si>
    <t>825 s 3T</t>
  </si>
  <si>
    <t>600 SD levá</t>
  </si>
  <si>
    <t>600 komínek lednicový, HKS</t>
  </si>
  <si>
    <t>T5 - č.m. 3.02</t>
  </si>
  <si>
    <t>PD 600 x38</t>
  </si>
  <si>
    <t>výplň ke komínku</t>
  </si>
  <si>
    <t>600 SD pravá</t>
  </si>
  <si>
    <t>825 S3T</t>
  </si>
  <si>
    <t>600 komínek ledvicový, HKS</t>
  </si>
  <si>
    <t>Bočnice ke komínku</t>
  </si>
  <si>
    <t>T4 - č.m. 2.02</t>
  </si>
  <si>
    <t>obkladová záda a bok</t>
  </si>
  <si>
    <t>640 spodní mělká</t>
  </si>
  <si>
    <t>PD 600 x 38+bar</t>
  </si>
  <si>
    <t>bočnice horní</t>
  </si>
  <si>
    <t>900 HV 2xHK</t>
  </si>
  <si>
    <t>600 HV</t>
  </si>
  <si>
    <t>bočnice spodní</t>
  </si>
  <si>
    <t>900 S 3T</t>
  </si>
  <si>
    <t>600 S</t>
  </si>
  <si>
    <t>T3 - č.m. 1.09</t>
  </si>
  <si>
    <t>Vestavná chladnička</t>
  </si>
  <si>
    <t>Varná deska 2 plotýnky</t>
  </si>
  <si>
    <t>600 komínek policový</t>
  </si>
  <si>
    <t>600 S P</t>
  </si>
  <si>
    <t xml:space="preserve"> Bok spodní</t>
  </si>
  <si>
    <t>T2 - č.m. 1.06</t>
  </si>
  <si>
    <t>bořnice komínu</t>
  </si>
  <si>
    <t>600 komín spižní</t>
  </si>
  <si>
    <t>dveře lednice</t>
  </si>
  <si>
    <t>Bok spodní</t>
  </si>
  <si>
    <t>T1 - č.m. 1.04</t>
  </si>
  <si>
    <t>09-TRUHLÁŘSKÉ PRÁCE</t>
  </si>
  <si>
    <t>RTP2018001</t>
  </si>
  <si>
    <t>RTP2018002</t>
  </si>
  <si>
    <t>RTP2018003</t>
  </si>
  <si>
    <t>RTP2018004</t>
  </si>
  <si>
    <t>RTP2018005</t>
  </si>
  <si>
    <t>RTP2018006</t>
  </si>
  <si>
    <t>RTP2018007</t>
  </si>
  <si>
    <t>RTP2018008</t>
  </si>
  <si>
    <t>RTP2018009</t>
  </si>
  <si>
    <t>RTP2018010</t>
  </si>
  <si>
    <t>RTP2018011</t>
  </si>
  <si>
    <t>RTP2018012</t>
  </si>
  <si>
    <t>RTP2018014</t>
  </si>
  <si>
    <t>RTP2018015</t>
  </si>
  <si>
    <t>RTP2018016</t>
  </si>
  <si>
    <t>RTP2018018</t>
  </si>
  <si>
    <t>RTP2018019</t>
  </si>
  <si>
    <t>RTP2018020</t>
  </si>
  <si>
    <t>RTP2018021</t>
  </si>
  <si>
    <t>RTP2018022</t>
  </si>
  <si>
    <t>RTP2018023</t>
  </si>
  <si>
    <t>RTP2018024</t>
  </si>
  <si>
    <t>RTP2018025</t>
  </si>
  <si>
    <t>RTP2018026</t>
  </si>
  <si>
    <t>RTP2018027</t>
  </si>
  <si>
    <t>RTP2018028</t>
  </si>
  <si>
    <t>RTP2018029</t>
  </si>
  <si>
    <t>RTP2018030</t>
  </si>
  <si>
    <t>RTP2018031</t>
  </si>
  <si>
    <t>RTP2018032</t>
  </si>
  <si>
    <t>RTP2018034</t>
  </si>
  <si>
    <t>RTP2018035</t>
  </si>
  <si>
    <t>RTP2018036</t>
  </si>
  <si>
    <t>RTP2018038</t>
  </si>
  <si>
    <t>RTP2018039</t>
  </si>
  <si>
    <t>RTP2018040</t>
  </si>
  <si>
    <t>RTP2018041</t>
  </si>
  <si>
    <t>RTP2018042</t>
  </si>
  <si>
    <t>RTP2018043</t>
  </si>
  <si>
    <t>RTP2018044</t>
  </si>
  <si>
    <t>RTP2018045</t>
  </si>
  <si>
    <t>RTP2018046</t>
  </si>
  <si>
    <t>RTP2018047</t>
  </si>
  <si>
    <t>RTP2018048</t>
  </si>
  <si>
    <t>RTP2018049</t>
  </si>
  <si>
    <t>RTP2018050</t>
  </si>
  <si>
    <t>RTP2018051</t>
  </si>
  <si>
    <t>RTP2018052</t>
  </si>
  <si>
    <t>RTP2018053</t>
  </si>
  <si>
    <t>RTP2018054</t>
  </si>
  <si>
    <t>RTP2018055</t>
  </si>
  <si>
    <t>RTP2018056</t>
  </si>
  <si>
    <t>RTP2018057</t>
  </si>
  <si>
    <t>RTP2018058</t>
  </si>
  <si>
    <t>RTP2018059</t>
  </si>
  <si>
    <t>RTP2018060</t>
  </si>
  <si>
    <t>RTP2018061</t>
  </si>
  <si>
    <t>RTP2018062</t>
  </si>
  <si>
    <t>RTP2018063</t>
  </si>
  <si>
    <t>RTP2018064</t>
  </si>
  <si>
    <t>RTP2018065</t>
  </si>
  <si>
    <t>RTP2018066</t>
  </si>
  <si>
    <t>RTP2018067</t>
  </si>
  <si>
    <t>RTP2018068</t>
  </si>
  <si>
    <t>RTP2018069</t>
  </si>
  <si>
    <t>RTP2018070</t>
  </si>
  <si>
    <t>RTP2018071</t>
  </si>
  <si>
    <t>RTP2018072</t>
  </si>
  <si>
    <t>RTP2018073</t>
  </si>
  <si>
    <t>RTP2018074</t>
  </si>
  <si>
    <t>RTP2018075</t>
  </si>
  <si>
    <t>RTP2018076</t>
  </si>
  <si>
    <t>RTP2018077</t>
  </si>
  <si>
    <t>RTP2018078</t>
  </si>
  <si>
    <t>RTP2018079</t>
  </si>
  <si>
    <t>RTP2018080</t>
  </si>
  <si>
    <t>RTP2018081</t>
  </si>
  <si>
    <t>RTP2018082</t>
  </si>
  <si>
    <t>RTP2018083</t>
  </si>
  <si>
    <t>RTP2018084</t>
  </si>
  <si>
    <t>RTP2018085</t>
  </si>
  <si>
    <t>RTP2018086</t>
  </si>
  <si>
    <t>RTP2018087</t>
  </si>
  <si>
    <t>RTP2018088</t>
  </si>
  <si>
    <t>RTP2018089</t>
  </si>
  <si>
    <t>RTP2018090</t>
  </si>
  <si>
    <t>RTP2018091</t>
  </si>
  <si>
    <t>RTP2018092</t>
  </si>
  <si>
    <t>RTP2018093</t>
  </si>
  <si>
    <t>RTP2018094</t>
  </si>
  <si>
    <t>RTP2018095</t>
  </si>
  <si>
    <t>RTP2018096</t>
  </si>
  <si>
    <t>RTP2018097</t>
  </si>
  <si>
    <t>RTP2018098</t>
  </si>
  <si>
    <t>RTP2018099</t>
  </si>
  <si>
    <t>RTP2018100</t>
  </si>
  <si>
    <t>RTP2018101</t>
  </si>
  <si>
    <t>RTP2018102</t>
  </si>
  <si>
    <t>RTP2018103</t>
  </si>
  <si>
    <t>RTP2018104</t>
  </si>
  <si>
    <t>RTP2018105</t>
  </si>
  <si>
    <t>RTP2018106</t>
  </si>
  <si>
    <t>RTP2018107</t>
  </si>
  <si>
    <t>RTP2018108</t>
  </si>
  <si>
    <t>RTP2018109</t>
  </si>
  <si>
    <t>RTP2018110</t>
  </si>
  <si>
    <t>RTP2018111</t>
  </si>
  <si>
    <t>RTP2018112</t>
  </si>
  <si>
    <t>RTP2018113</t>
  </si>
  <si>
    <t>RTP2018114</t>
  </si>
  <si>
    <t>RTP2018115</t>
  </si>
  <si>
    <t>RTP2018116</t>
  </si>
  <si>
    <t>RTP2018117</t>
  </si>
  <si>
    <t>RTP2018118</t>
  </si>
  <si>
    <t>RTP2018119</t>
  </si>
  <si>
    <t>RTP2018120</t>
  </si>
  <si>
    <t>RTP2018121</t>
  </si>
  <si>
    <t>RTP2018122</t>
  </si>
  <si>
    <t>RTP2018123</t>
  </si>
  <si>
    <t>RTP2018124</t>
  </si>
  <si>
    <t>RTP2018125</t>
  </si>
  <si>
    <t>RTP2018126</t>
  </si>
  <si>
    <t>RTP2018127</t>
  </si>
  <si>
    <t>RTP2018128</t>
  </si>
  <si>
    <t>09</t>
  </si>
  <si>
    <t>Truhlářské práce</t>
  </si>
  <si>
    <t>OCELOVÉ PRVKY A PŘEKLADY</t>
  </si>
  <si>
    <t>Osazení ocelové překlady HEA 100</t>
  </si>
  <si>
    <t xml:space="preserve">Osazení ocelový překlad IPE 160 </t>
  </si>
  <si>
    <t>Ocelový profil IPE 160</t>
  </si>
  <si>
    <t>Osazení ocelové profily stropu IPE200</t>
  </si>
  <si>
    <t xml:space="preserve">Osazení ocelové profily stropu nad IPE 220 </t>
  </si>
  <si>
    <t xml:space="preserve">Osazení ocelový profil IPE 270 </t>
  </si>
  <si>
    <t xml:space="preserve">Osazení ocelové profily-příložky vazných trámů UPE 240 </t>
  </si>
  <si>
    <t xml:space="preserve">Osazení ocelové profily stropu UPE 270 </t>
  </si>
  <si>
    <t>Osazení sloupek JEKL 100/100/4</t>
  </si>
  <si>
    <t>JEKL 100/100/4</t>
  </si>
  <si>
    <t xml:space="preserve">Osazení ocelová pásnice 50/10 </t>
  </si>
  <si>
    <t>Osazení keramické ploché překlady osazené do maltového lože, výšky 71 mm, šířky 145 mm,délky 1250 mm</t>
  </si>
  <si>
    <t>DŘEVĚNÉ PRVKY</t>
  </si>
  <si>
    <t>Zhotovení dřevěné trámky stropu 100/100</t>
  </si>
  <si>
    <t>Zhotovení dřevěné trámky stropu 80/80</t>
  </si>
  <si>
    <t>Zhotovení dřevěná fošna 100/150 kotvena na chemickou kotvu, závitová tyč ∅10 mm,uložení 300 mm</t>
  </si>
  <si>
    <t xml:space="preserve">BETONOVÉ KONSTRUKCE </t>
  </si>
  <si>
    <t>Provětrávaná předstěna tl. 125 mm, HLINÍKOVÝ ROŠT tl. 100 mm vodovzdorná překližka tl. 12 mm, 1x SDK deska RBI tl. 12,5 mm</t>
  </si>
  <si>
    <t>Příčka SDK, ocel.kce, 2xoplášť. Tl. 100 mm, RB 12,5 mm</t>
  </si>
  <si>
    <t>Příčka SDK, ocel.kce, 2xoplášť. Tl. 100 mm, 2x RB 12,5 mm, 2xRBI 12,5 mm</t>
  </si>
  <si>
    <t>Příčka SDK, ocel.kce, 2xoplášť. Tl. 150 mm, 2x RB 12,5 mm, 2xRBI 12,5 mm</t>
  </si>
  <si>
    <t>Příčka SDK, ocel.kce, 2xoplášť. Tl. 150 mm, 2x RB 12,5 mm</t>
  </si>
  <si>
    <t>SDK podhled 1xoplášť 1xRBI 12,5 mm</t>
  </si>
  <si>
    <t>OBKLADY</t>
  </si>
  <si>
    <t xml:space="preserve">VÝPLNĚ OTVORŮ </t>
  </si>
  <si>
    <t>O2-Plastové okno 1150x1950</t>
  </si>
  <si>
    <t>O3-Plastové okno 1150x1250</t>
  </si>
  <si>
    <t xml:space="preserve">Deska parapetní plastová </t>
  </si>
  <si>
    <t>Celoplošné obroušení a protipožární nátěr dřevěných prvků krovu</t>
  </si>
  <si>
    <t>Střešní okna včetně tep.izolačního rámu a lemování</t>
  </si>
  <si>
    <t>ROC20181001</t>
  </si>
  <si>
    <t>ROC20181002</t>
  </si>
  <si>
    <t>ROC20181003</t>
  </si>
  <si>
    <t>ROC20181004</t>
  </si>
  <si>
    <t>ROC20181005</t>
  </si>
  <si>
    <t>ROC20181006</t>
  </si>
  <si>
    <t>ROC20181007</t>
  </si>
  <si>
    <t>ROC20181008</t>
  </si>
  <si>
    <t>ROC20181009</t>
  </si>
  <si>
    <t>ROC20181010</t>
  </si>
  <si>
    <t>ROC20181011</t>
  </si>
  <si>
    <t>ROC20181012</t>
  </si>
  <si>
    <t>ROC20181013</t>
  </si>
  <si>
    <t>ROC20181014</t>
  </si>
  <si>
    <t>ROC20181015</t>
  </si>
  <si>
    <t>ROC20181016</t>
  </si>
  <si>
    <t>ROC20181017</t>
  </si>
  <si>
    <t>ROC20181018</t>
  </si>
  <si>
    <t>ROC20181019</t>
  </si>
  <si>
    <t>ROC20181020</t>
  </si>
  <si>
    <t>ROC20181021</t>
  </si>
  <si>
    <t>ROC20181022</t>
  </si>
  <si>
    <t>ROC20181023</t>
  </si>
  <si>
    <t>ROC20181024</t>
  </si>
  <si>
    <t>ROC20181025</t>
  </si>
  <si>
    <t>ROC20181026</t>
  </si>
  <si>
    <t>ROC20181027</t>
  </si>
  <si>
    <t>ROC20181028</t>
  </si>
  <si>
    <t>ROC20181029</t>
  </si>
  <si>
    <t>ROC20181030</t>
  </si>
  <si>
    <t>ROC20181031</t>
  </si>
  <si>
    <t>ROC20181032</t>
  </si>
  <si>
    <t>ROC20181033</t>
  </si>
  <si>
    <t>ROC20181034</t>
  </si>
  <si>
    <t>ROC20181035</t>
  </si>
  <si>
    <t>ROC20181036</t>
  </si>
  <si>
    <t>ROC20181037</t>
  </si>
  <si>
    <t>ROC20181038</t>
  </si>
  <si>
    <t>ROC20181039</t>
  </si>
  <si>
    <t>ROC20181040</t>
  </si>
  <si>
    <t>ROC20181041</t>
  </si>
  <si>
    <t>ROC20181042</t>
  </si>
  <si>
    <t>ROC20181043</t>
  </si>
  <si>
    <t>ROC20181044</t>
  </si>
  <si>
    <t>ROC20181045</t>
  </si>
  <si>
    <t>ROC20181046</t>
  </si>
  <si>
    <t>ROC20181047</t>
  </si>
  <si>
    <t>ROC20181048</t>
  </si>
  <si>
    <t>ROC20181049</t>
  </si>
  <si>
    <t>ROC20181050</t>
  </si>
  <si>
    <t>ROC20181051</t>
  </si>
  <si>
    <t>ROC20181052</t>
  </si>
  <si>
    <t>ROC20181053</t>
  </si>
  <si>
    <t>Dozdívky z cihel plných pálených na maltu M5 D+M</t>
  </si>
  <si>
    <t>ROC20181054</t>
  </si>
  <si>
    <t>ROC20181055</t>
  </si>
  <si>
    <t>ROC20181056</t>
  </si>
  <si>
    <t>ROC20181057</t>
  </si>
  <si>
    <t>ROC20181058</t>
  </si>
  <si>
    <t>ROC20181059</t>
  </si>
  <si>
    <t>ROC20181060</t>
  </si>
  <si>
    <t>ROC20181061</t>
  </si>
  <si>
    <t>ROC20181062</t>
  </si>
  <si>
    <t>ROC20181063</t>
  </si>
  <si>
    <t>ROC20181064</t>
  </si>
  <si>
    <t>ROC20181065</t>
  </si>
  <si>
    <t>ROC20181066</t>
  </si>
  <si>
    <t>ROC20181067</t>
  </si>
  <si>
    <t>ROC20181068</t>
  </si>
  <si>
    <t>ROC20181069</t>
  </si>
  <si>
    <t>ROC20181070</t>
  </si>
  <si>
    <t>ROC20181071</t>
  </si>
  <si>
    <t>ROC20181072</t>
  </si>
  <si>
    <t>ROC20181073</t>
  </si>
  <si>
    <t>ROC20181074</t>
  </si>
  <si>
    <t>ROC20181075</t>
  </si>
  <si>
    <t>Polystyren EPS tl. 100 mm</t>
  </si>
  <si>
    <t>ROC20181076</t>
  </si>
  <si>
    <t>ROC20181077</t>
  </si>
  <si>
    <t>ROC20181078</t>
  </si>
  <si>
    <t>ROC20181079</t>
  </si>
  <si>
    <t>ROC20181080</t>
  </si>
  <si>
    <t>ROC20181081</t>
  </si>
  <si>
    <t>ROC20181082</t>
  </si>
  <si>
    <t>ROC20181083</t>
  </si>
  <si>
    <t>ROC20181084</t>
  </si>
  <si>
    <t>ROC20181085</t>
  </si>
  <si>
    <t>ROC20181086</t>
  </si>
  <si>
    <t>ROC20181087</t>
  </si>
  <si>
    <t>ROC20181088</t>
  </si>
  <si>
    <t>ROC20181089</t>
  </si>
  <si>
    <t>ROC20181090</t>
  </si>
  <si>
    <t>ROC20181091</t>
  </si>
  <si>
    <t>ROC20181092</t>
  </si>
  <si>
    <t>ROC20181093</t>
  </si>
  <si>
    <t>ROC20181094</t>
  </si>
  <si>
    <t>ROC20181095</t>
  </si>
  <si>
    <t>ROC20181096</t>
  </si>
  <si>
    <t>ROC20181097</t>
  </si>
  <si>
    <t>ROC20181098</t>
  </si>
  <si>
    <t>ROC20181099</t>
  </si>
  <si>
    <t>ROC20181100</t>
  </si>
  <si>
    <t>ROC20181101</t>
  </si>
  <si>
    <t>ROC20181102</t>
  </si>
  <si>
    <t>ROC20181103</t>
  </si>
  <si>
    <t>ROC20181104</t>
  </si>
  <si>
    <t>ROC20181105</t>
  </si>
  <si>
    <t>ROC20181106</t>
  </si>
  <si>
    <t>ROC20181107</t>
  </si>
  <si>
    <t>ROC20181108</t>
  </si>
  <si>
    <t>ROC20181109</t>
  </si>
  <si>
    <t>ROC20181110</t>
  </si>
  <si>
    <t>ROC20181111</t>
  </si>
  <si>
    <t>ROC20181112</t>
  </si>
  <si>
    <t>ROC20181113</t>
  </si>
  <si>
    <t>ROC20181114</t>
  </si>
  <si>
    <t>ROC20181115</t>
  </si>
  <si>
    <t>ROC20181116</t>
  </si>
  <si>
    <t>ROC20181117</t>
  </si>
  <si>
    <t>ROC20181118</t>
  </si>
  <si>
    <t>ROC20181119</t>
  </si>
  <si>
    <t>ROC20181120</t>
  </si>
  <si>
    <t>ROC20181121</t>
  </si>
  <si>
    <t>Fasádní polystyren EPS tl. 150 mm</t>
  </si>
  <si>
    <t>Zřízení fasádní probarvené omítky na penetrační nátěrtl.5 mm</t>
  </si>
  <si>
    <t>ROC20181122</t>
  </si>
  <si>
    <t>ROC20181123</t>
  </si>
  <si>
    <t>ROC20181124</t>
  </si>
  <si>
    <t>ROC20181125</t>
  </si>
  <si>
    <t>ROC20181126</t>
  </si>
  <si>
    <t>ROC20181127</t>
  </si>
  <si>
    <t>ROC20181128</t>
  </si>
  <si>
    <t>ROC20181129</t>
  </si>
  <si>
    <t>ROC20181130</t>
  </si>
  <si>
    <t>ROC20181131</t>
  </si>
  <si>
    <t>ROC20181132</t>
  </si>
  <si>
    <t>ROC20181133</t>
  </si>
  <si>
    <t>ROC20181134</t>
  </si>
  <si>
    <t>ROC20181135</t>
  </si>
  <si>
    <t>ROC20181136</t>
  </si>
  <si>
    <t>ROC20181137</t>
  </si>
  <si>
    <t>ROC20181138</t>
  </si>
  <si>
    <t>ROC20181139</t>
  </si>
  <si>
    <t>ROC20181140</t>
  </si>
  <si>
    <t>ROC20181141</t>
  </si>
  <si>
    <t>ROC20181142</t>
  </si>
  <si>
    <t>ROC20181143</t>
  </si>
  <si>
    <t>ROC20181144</t>
  </si>
  <si>
    <t>ROC20181145</t>
  </si>
  <si>
    <t>ROC20181146</t>
  </si>
  <si>
    <t>ROC20181147</t>
  </si>
  <si>
    <t>ROC20181148</t>
  </si>
  <si>
    <t>ROC20181149</t>
  </si>
  <si>
    <t>ROC20181150</t>
  </si>
  <si>
    <t>ROC20181151</t>
  </si>
  <si>
    <t>ROC20181152</t>
  </si>
  <si>
    <t>ROC20181153</t>
  </si>
  <si>
    <t>ROC20181154</t>
  </si>
  <si>
    <t>ROC20181155</t>
  </si>
  <si>
    <t>ROC20181156</t>
  </si>
  <si>
    <t>ROC20181157</t>
  </si>
  <si>
    <t>ROC20181158</t>
  </si>
  <si>
    <t>ROC20181159</t>
  </si>
  <si>
    <t>ROC20181160</t>
  </si>
  <si>
    <t>ROC20181161</t>
  </si>
  <si>
    <t>ROC20181162</t>
  </si>
  <si>
    <t>ROC20181163</t>
  </si>
  <si>
    <t>ROC20181164</t>
  </si>
  <si>
    <t>ROC20181165</t>
  </si>
  <si>
    <t>ROC20181166</t>
  </si>
  <si>
    <t>ROC20181167</t>
  </si>
  <si>
    <t>ROC20181168</t>
  </si>
  <si>
    <t>ROC20181169</t>
  </si>
  <si>
    <t>ROC20181170</t>
  </si>
  <si>
    <t>ROC20181171</t>
  </si>
  <si>
    <t>ROC20181172</t>
  </si>
  <si>
    <t>ROC20181173</t>
  </si>
  <si>
    <t>ROC20181174</t>
  </si>
  <si>
    <t>ROC20181175</t>
  </si>
  <si>
    <t>ROC20181176</t>
  </si>
  <si>
    <t>ROC20181177</t>
  </si>
  <si>
    <t>ROC20181178</t>
  </si>
  <si>
    <t>ROC20181179</t>
  </si>
  <si>
    <t>ROC20181180</t>
  </si>
  <si>
    <t>ROC20181181</t>
  </si>
  <si>
    <t>ROC20181182</t>
  </si>
  <si>
    <t>ROC20181183</t>
  </si>
  <si>
    <t>ROC20181184</t>
  </si>
  <si>
    <t>ROC20181185</t>
  </si>
  <si>
    <t>ROC20181186</t>
  </si>
  <si>
    <t>ROC20181187</t>
  </si>
  <si>
    <t>ROC20181188</t>
  </si>
  <si>
    <t>ROC20181189</t>
  </si>
  <si>
    <t>ROC20181190</t>
  </si>
  <si>
    <t>ROC20181191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</si>
  <si>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</si>
  <si>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</si>
  <si>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</si>
  <si>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</si>
  <si>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</si>
  <si>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</si>
  <si>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</si>
  <si>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</si>
  <si>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</si>
  <si>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</si>
  <si>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</si>
  <si>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</si>
  <si>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</si>
  <si>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</si>
  <si>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</si>
  <si>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</si>
  <si>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</si>
  <si>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</si>
  <si>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</si>
  <si>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</si>
  <si>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</si>
  <si>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</si>
  <si>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</si>
  <si>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</si>
  <si>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</si>
  <si>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</si>
  <si>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</si>
  <si>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</si>
  <si>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</si>
  <si>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</si>
  <si>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</si>
  <si>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</si>
  <si>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</si>
  <si>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</si>
  <si>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</si>
  <si>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</si>
  <si>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</si>
  <si>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</si>
  <si>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</si>
  <si>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</si>
  <si>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</si>
  <si>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</si>
  <si>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</si>
  <si>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</si>
  <si>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</si>
  <si>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</si>
  <si>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</si>
  <si>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</si>
  <si>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</si>
  <si>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</si>
  <si>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</si>
  <si>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</si>
  <si>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</si>
  <si>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</si>
  <si>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</si>
  <si>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</si>
  <si>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</si>
  <si>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</si>
  <si>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</si>
  <si>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</si>
  <si>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</si>
  <si>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</si>
  <si>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</si>
  <si>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</si>
  <si>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</si>
  <si>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</si>
  <si>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</si>
  <si>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</si>
  <si>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</si>
  <si>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</si>
  <si>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ROC20181192</t>
  </si>
  <si>
    <t>ROC20181193</t>
  </si>
  <si>
    <t>ROC20181194</t>
  </si>
  <si>
    <t>ROC20181195</t>
  </si>
  <si>
    <t>ROC20181196</t>
  </si>
  <si>
    <t>ROC20181197</t>
  </si>
  <si>
    <t>ROC20181198</t>
  </si>
  <si>
    <t>ROC20181199</t>
  </si>
  <si>
    <t>ROC20181200</t>
  </si>
  <si>
    <t>ROC20181201</t>
  </si>
  <si>
    <t>ROC20181202</t>
  </si>
  <si>
    <t>ROC20181203</t>
  </si>
  <si>
    <t>ROC20181204</t>
  </si>
  <si>
    <t>ROC20181205</t>
  </si>
  <si>
    <t>ROC20181206</t>
  </si>
  <si>
    <t>ROC20181207</t>
  </si>
  <si>
    <t>ROC20181208</t>
  </si>
  <si>
    <t>ROC20181209</t>
  </si>
  <si>
    <t>ROC20181210</t>
  </si>
  <si>
    <t>ROC20181211</t>
  </si>
  <si>
    <t>ROC20181212</t>
  </si>
  <si>
    <t>ROC20181213</t>
  </si>
  <si>
    <t>ROC20181214</t>
  </si>
  <si>
    <t>ROC20181215</t>
  </si>
  <si>
    <t>ROC20181216</t>
  </si>
  <si>
    <t>ROC20181217</t>
  </si>
  <si>
    <t>ROC20181218</t>
  </si>
  <si>
    <t>ROC20181219</t>
  </si>
  <si>
    <t>ROC20181220</t>
  </si>
  <si>
    <t>ROC20181221</t>
  </si>
  <si>
    <t>ROC20181222</t>
  </si>
  <si>
    <t>Provedení výměny krovu v místě střešního okna</t>
  </si>
  <si>
    <t>ROC20181223</t>
  </si>
  <si>
    <t>ROC20181224</t>
  </si>
  <si>
    <t>ROC20181225</t>
  </si>
  <si>
    <t>ROC20181226</t>
  </si>
  <si>
    <t>ROC20181227</t>
  </si>
  <si>
    <t>ROC20181228</t>
  </si>
  <si>
    <t>ROC20181229</t>
  </si>
  <si>
    <t>ROC20181230</t>
  </si>
  <si>
    <t>ROC20181231</t>
  </si>
  <si>
    <t>ROC20181232</t>
  </si>
  <si>
    <t>ROC20181233</t>
  </si>
  <si>
    <t>ROC20181234</t>
  </si>
  <si>
    <t>ROC20181235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</si>
  <si>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</si>
  <si>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</si>
  <si>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</si>
  <si>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</si>
  <si>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</si>
  <si>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</si>
  <si>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</si>
  <si>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</si>
  <si>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</si>
  <si>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</si>
  <si>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</si>
  <si>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</si>
  <si>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</si>
  <si>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ROC20181265</t>
  </si>
  <si>
    <t>Dodávka a montáž kování, klik a vložek</t>
  </si>
  <si>
    <t>327.</t>
  </si>
  <si>
    <t>MALBY A NÁTĚRY</t>
  </si>
  <si>
    <t>OMÍTKY STÁVAJÍCÍ 1.-4.NP-BOURACÍ PRÁCE</t>
  </si>
  <si>
    <t>Otlučení omítky 1.-4.np stěn ze 100 %</t>
  </si>
  <si>
    <t>Otlučení omítky 1.-4.np stropů ze 100 %</t>
  </si>
  <si>
    <t>Otlučení omítky 1.np kleneb ze 100 %</t>
  </si>
  <si>
    <t>OMÍTKY</t>
  </si>
  <si>
    <t>Omítka vápenocementová vnitřních stěn nanášená ručně jednovrstvá, tl. Do 20 mm</t>
  </si>
  <si>
    <t>Provedení Štuku stěn tl. 5 mm</t>
  </si>
  <si>
    <t>ROC20181236</t>
  </si>
  <si>
    <t>ROC20181237</t>
  </si>
  <si>
    <t>ROC20181238</t>
  </si>
  <si>
    <t>ROC20181239</t>
  </si>
  <si>
    <t>ROC20181240</t>
  </si>
  <si>
    <t>ROC20181241</t>
  </si>
  <si>
    <t>ROC20181242</t>
  </si>
  <si>
    <t>ROC20181243</t>
  </si>
  <si>
    <t>ROC20181244</t>
  </si>
  <si>
    <t>ROC20181245</t>
  </si>
  <si>
    <t>ROC20181246</t>
  </si>
  <si>
    <t>ROC20181247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</si>
  <si>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</si>
  <si>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</si>
  <si>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</si>
  <si>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</si>
  <si>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</si>
  <si>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</si>
  <si>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</si>
  <si>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</si>
  <si>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</si>
  <si>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</si>
  <si>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</si>
  <si>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</si>
  <si>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</si>
  <si>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</si>
  <si>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</si>
  <si>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ROC20181248</t>
  </si>
  <si>
    <t>ROC20181249</t>
  </si>
  <si>
    <t>ROC20181250</t>
  </si>
  <si>
    <t>ROC20181251</t>
  </si>
  <si>
    <t>ROC20181252</t>
  </si>
  <si>
    <t>ROC20181253</t>
  </si>
  <si>
    <t>ROC20181254</t>
  </si>
  <si>
    <t>ROC20181255</t>
  </si>
  <si>
    <t>ROC20181256</t>
  </si>
  <si>
    <t>343.</t>
  </si>
  <si>
    <t>344.</t>
  </si>
  <si>
    <t>345.</t>
  </si>
  <si>
    <t>346.</t>
  </si>
  <si>
    <t>347.</t>
  </si>
  <si>
    <t>348.</t>
  </si>
  <si>
    <t>Odkouření kotle D+M včetně revize a protokolu o spalinové cestě</t>
  </si>
  <si>
    <t>Pračka 600x600 mm (NENÍ PŘEDMĚTEM VŘ)</t>
  </si>
  <si>
    <t>Sušička 600x600 mm (NENÍ PŘEDMĚTEM VŘ)</t>
  </si>
  <si>
    <t>(NENÍ PŘEDMĚTEM VŘ)</t>
  </si>
  <si>
    <t>349.</t>
  </si>
  <si>
    <t>ROC20181257</t>
  </si>
  <si>
    <t>ROC20181919</t>
  </si>
  <si>
    <t>ROC20181258</t>
  </si>
  <si>
    <t>ROC20181259</t>
  </si>
  <si>
    <t>ROC20181260</t>
  </si>
  <si>
    <t>D+M Zábradlí 1.PP a 5.NP</t>
  </si>
  <si>
    <t>ZÁMĚČNICKÉ KONSTRUKCE</t>
  </si>
  <si>
    <t>Interiérové schody do vložených pater včetně,zábradlí dodávky a montáže (NENÍ PŘEDMĚTEM VŘ)</t>
  </si>
  <si>
    <t>Smrkové řezivo C24 impregnované proti dřevokazným škůdcům</t>
  </si>
  <si>
    <t>KONSTRUKCE TRUHLÁŘSKÉ</t>
  </si>
  <si>
    <t>Ochrané bednění schodiště D, M, Demontáž a likvidace</t>
  </si>
  <si>
    <t>ROC20181962</t>
  </si>
  <si>
    <t>ROC20181963</t>
  </si>
  <si>
    <t>ROC20181964</t>
  </si>
  <si>
    <t>SDK Kastlík v zrcátku schodiště na dřevěný rošt (D+M)</t>
  </si>
  <si>
    <t>Obroušení a nátěr stávajícího schodiště (NENÍ PŘEDMĚTEM VŘ)</t>
  </si>
  <si>
    <t>Zhotovení dřevěné oboustranné příložky stropních trámů fošna 80/200 (předpoklad 50% sanace stávající konstrukce)</t>
  </si>
  <si>
    <t>Štěrk 0/63</t>
  </si>
  <si>
    <t>Štěrk fr. 0/32</t>
  </si>
  <si>
    <t>Polystyren EPS tl. 80 mm</t>
  </si>
  <si>
    <t>Polystyren EPS tl. 60 mm</t>
  </si>
  <si>
    <t>Polystyren EPS tl. 50 mm</t>
  </si>
  <si>
    <t>Polystyren EPS tl. 40 mm</t>
  </si>
  <si>
    <t>Polystyren EPS tl. 20 mm</t>
  </si>
  <si>
    <t>D+M Hydroizolační stěrka koupelnová (pouze v prostoru sprch a van)</t>
  </si>
  <si>
    <t xml:space="preserve">Zateplovací systém fasády EPS tl. 150 mm s kotvením dle výrobce </t>
  </si>
  <si>
    <t>Smrkové řezivo včetně impregnace proti dřevojazným škůdcům</t>
  </si>
  <si>
    <t>Omítka vápenocementová vnitřních kleneb stropů nanášená ručně jednovrstvá, tl. Do 20 mm (nebude provedeno na žádost klienta)</t>
  </si>
  <si>
    <t>Omítka vápenocementová vnitřních stropů nanášená ručně jednovrstvá, tl. Do 20 mm (nebude provedeno na žádost klienta)</t>
  </si>
  <si>
    <t>Provedení Štuku kleneb tl. 5 mm (nebude provedeno na žádost klienta)</t>
  </si>
  <si>
    <t>Provedení Štuku stropů tl. 5 mm (nebude provedeno na žádost klienta)</t>
  </si>
  <si>
    <t>D+M Konstrukce pororoštů nad jímkou (není předmětem výběrového řízení)</t>
  </si>
  <si>
    <t>Oškrábání omítek 1.-4.NP stropů ze 80% (nebude provedeno na žádost investora)</t>
  </si>
  <si>
    <t>Otlučení omítek 1.-4.NP stropů ze 20% (nebude provedeno na žádost investora)</t>
  </si>
  <si>
    <t>Montáž Led Pásku (není předmětem VŘ)</t>
  </si>
  <si>
    <t>Led pásek  (není předmětem VŘ)</t>
  </si>
  <si>
    <t>UPOZORNĚNÍ: Součástí jednotlivých položek soupisu prací jsou i veškeré údaje a souvislosti uvedené v přiložené projektové (zadávací) dokumentaci vč. výkresů - bez nich nelze stanovit cenu prací!
Sondy nebyly prováděny, mnoho prací a dodávek vychází z předpokladu stavu zakrytých konstrukcí. Rozsah prací stanovený projektovou dokumentací pro provedení stavby je nadřazenou dokumentací.  
Vlastní cenová soustava DB 2018.</t>
  </si>
  <si>
    <t>Demontáž stávající technologie - vnější trubní zakončení vodovodu a kanalizace (roháčky, syfony apod..)</t>
  </si>
  <si>
    <t>Doprava materiálu na stavbu</t>
  </si>
  <si>
    <t>soubor</t>
  </si>
  <si>
    <t>Výmalba stěn včetně penetrace a dvojitého nátěru - práce</t>
  </si>
  <si>
    <t>Výmalba kleneb včetně penetrace a dvojitého nátěru - práce</t>
  </si>
  <si>
    <t>Výmalba stropů rovných včetně penetrace a dvojitého nátěru - práce</t>
  </si>
  <si>
    <t>Výmalba stropů šikmých včetně penetrace a dvojitého nátěru - práce</t>
  </si>
  <si>
    <t>Vnitřní malířský nátěr - matriál bezotěrový bílý  např. v abrevnosti RAL 9010</t>
  </si>
  <si>
    <t>Vnitřní malířský nátěr omyvatelný např. v barevnosti RAL 9010</t>
  </si>
  <si>
    <t>Odvoz stávající technologie do skladu objednatele</t>
  </si>
  <si>
    <t>Drobný spotř.materiál - obalový materiál pro technologii tepelného čerpadla - zakrytí v průběhu výstavby</t>
  </si>
  <si>
    <t>Ostatní položky - záruční prohlídka dle dodavatele technologie</t>
  </si>
  <si>
    <t>Prokabelování dle schématu dodavatele - kabeláže komponenty topného systému</t>
  </si>
  <si>
    <t>Napojovací armatura DN15 pro elektropatronu</t>
  </si>
  <si>
    <t>vypínač č. 6  - spínač střídavý</t>
  </si>
  <si>
    <t>vypínač č. 5 - spínač seriový</t>
  </si>
  <si>
    <t>vypínač č. 1  - spínač  jednopolový</t>
  </si>
  <si>
    <t>vypínač č. 7  - spínač křížový</t>
  </si>
  <si>
    <t>tlačítko - spínač impulzový</t>
  </si>
  <si>
    <t>hřeben - propojovací lišta jističů v rozvaděči</t>
  </si>
  <si>
    <t>Zajištění všech dokladů o zkouškách, revizích, atestech - admonistrativní činnost</t>
  </si>
  <si>
    <t>07</t>
  </si>
  <si>
    <t>Topení</t>
  </si>
  <si>
    <t>Vzduchotechnika</t>
  </si>
  <si>
    <t>Montáž kuchyňská digestoř - Vo=350 m3/h, dp=95 Pa - NEBUDE PROVEDENO NA ŽÁDOST INVESTORA</t>
  </si>
  <si>
    <t>Kuchyňská vestavná digestoř - Vo=350 m3/h, dp=95 Pa, 59,9x38-64/21,5 - NEBUDE PROVEDENO NA ŽÁDOST INVESTORA</t>
  </si>
  <si>
    <t>Dopouštěcí sestava - dodávka ZTI - Je rozloženo do položek v souboru 04-VODOVOD</t>
  </si>
  <si>
    <t>podstavný odpružený fundament pro jednotku tepel.čerpadla - půdorys.rozměr min.1200*600 - dod.stavby - nebude realizováno, bude provedeno na konzole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</si>
</sst>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73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b/>
      <sz val="10"/>
      <color indexed="56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7"/>
      <color indexed="55"/>
      <name val="Trebuchet MS"/>
      <family val="2"/>
    </font>
    <font>
      <sz val="8"/>
      <color indexed="10"/>
      <name val="Trebuchet MS"/>
      <family val="2"/>
    </font>
    <font>
      <sz val="8"/>
      <name val="Arial"/>
      <family val="2"/>
    </font>
    <font>
      <sz val="8"/>
      <color indexed="62"/>
      <name val="Trebuchet MS"/>
      <family val="2"/>
    </font>
    <font>
      <b/>
      <sz val="24"/>
      <color indexed="63"/>
      <name val="Heading"/>
      <family val="2"/>
    </font>
    <font>
      <sz val="27"/>
      <color indexed="63"/>
      <name val="Arial"/>
      <family val="2"/>
    </font>
    <font>
      <i/>
      <sz val="8"/>
      <name val="Trebuchet MS"/>
      <family val="2"/>
    </font>
    <font>
      <b/>
      <sz val="8"/>
      <color indexed="10"/>
      <name val="Trebuchet MS"/>
      <family val="2"/>
    </font>
    <font>
      <sz val="6"/>
      <name val="Calibri"/>
      <family val="2"/>
    </font>
    <font>
      <sz val="6"/>
      <color indexed="56"/>
      <name val="Calibri"/>
      <family val="2"/>
    </font>
    <font>
      <sz val="6"/>
      <color indexed="10"/>
      <name val="Calibri"/>
      <family val="2"/>
    </font>
    <font>
      <sz val="6"/>
      <color indexed="62"/>
      <name val="Calibri"/>
      <family val="2"/>
    </font>
    <font>
      <u val="single"/>
      <sz val="11"/>
      <color theme="10"/>
      <name val="Calibri"/>
      <family val="2"/>
      <scheme val="minor"/>
    </font>
    <font>
      <i/>
      <sz val="8"/>
      <color rgb="FF00B0F0"/>
      <name val="Trebuchet MS"/>
      <family val="2"/>
    </font>
    <font>
      <b/>
      <sz val="11"/>
      <name val="Trebuchet MS"/>
      <family val="2"/>
    </font>
    <font>
      <sz val="12"/>
      <color rgb="FFFF0000"/>
      <name val="Trebuchet MS"/>
      <family val="2"/>
    </font>
    <font>
      <sz val="12"/>
      <color theme="3"/>
      <name val="Trebuchet MS"/>
      <family val="2"/>
    </font>
    <font>
      <sz val="8"/>
      <color rgb="FF00B0F0"/>
      <name val="Trebuchet MS"/>
      <family val="2"/>
    </font>
    <font>
      <sz val="8"/>
      <color rgb="FFFF0000"/>
      <name val="Trebuchet MS"/>
      <family val="2"/>
    </font>
    <font>
      <i/>
      <sz val="7"/>
      <name val="Trebuchet MS"/>
      <family val="2"/>
    </font>
    <font>
      <i/>
      <sz val="12"/>
      <color rgb="FF00B0F0"/>
      <name val="Trebuchet MS"/>
      <family val="2"/>
    </font>
    <font>
      <sz val="12"/>
      <color rgb="FF00B0F0"/>
      <name val="Trebuchet MS"/>
      <family val="2"/>
    </font>
    <font>
      <sz val="6"/>
      <color rgb="FF00B0F0"/>
      <name val="Calibri"/>
      <family val="2"/>
    </font>
    <font>
      <i/>
      <sz val="8"/>
      <color rgb="FFFF0000"/>
      <name val="Trebuchet MS"/>
      <family val="2"/>
    </font>
    <font>
      <sz val="8"/>
      <color theme="4"/>
      <name val="Trebuchet MS"/>
      <family val="2"/>
    </font>
    <font>
      <i/>
      <sz val="8"/>
      <color theme="4"/>
      <name val="Trebuchet MS"/>
      <family val="2"/>
    </font>
    <font>
      <sz val="12"/>
      <color theme="4"/>
      <name val="Trebuchet MS"/>
      <family val="2"/>
    </font>
    <font>
      <i/>
      <sz val="12"/>
      <color theme="4"/>
      <name val="Trebuchet MS"/>
      <family val="2"/>
    </font>
    <font>
      <b/>
      <i/>
      <sz val="24"/>
      <color rgb="FF00B0F0"/>
      <name val="Heading"/>
      <family val="2"/>
    </font>
    <font>
      <sz val="12"/>
      <color rgb="FF0070C0"/>
      <name val="Trebuchet MS"/>
      <family val="2"/>
    </font>
    <font>
      <sz val="8"/>
      <color rgb="FF0070C0"/>
      <name val="Trebuchet MS"/>
      <family val="2"/>
    </font>
    <font>
      <sz val="6"/>
      <color rgb="FFFF0000"/>
      <name val="Calibri"/>
      <family val="2"/>
    </font>
    <font>
      <i/>
      <sz val="12"/>
      <color rgb="FFFF0000"/>
      <name val="Trebuchet MS"/>
      <family val="2"/>
    </font>
    <font>
      <sz val="8"/>
      <color rgb="FF00B050"/>
      <name val="Trebuchet MS"/>
      <family val="2"/>
    </font>
    <font>
      <i/>
      <sz val="8"/>
      <color rgb="FF00B050"/>
      <name val="Trebuchet MS"/>
      <family val="2"/>
    </font>
    <font>
      <sz val="12"/>
      <color rgb="FF00B050"/>
      <name val="Trebuchet MS"/>
      <family val="2"/>
    </font>
    <font>
      <sz val="10"/>
      <color rgb="FF00B050"/>
      <name val="Trebuchet MS"/>
      <family val="2"/>
    </font>
    <font>
      <sz val="7"/>
      <color rgb="FFFF0000"/>
      <name val="Trebuchet MS"/>
      <family val="2"/>
    </font>
    <font>
      <sz val="10"/>
      <color rgb="FFFF0000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hair">
        <color indexed="55"/>
      </bottom>
    </border>
    <border>
      <left style="thin"/>
      <right style="thin"/>
      <top/>
      <bottom style="thin"/>
    </border>
    <border>
      <left/>
      <right/>
      <top style="hair">
        <color indexed="55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/>
      <top style="thin"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1">
    <xf numFmtId="0" fontId="0" fillId="0" borderId="0" xfId="0"/>
    <xf numFmtId="0" fontId="10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2" borderId="0" xfId="0" applyFont="1" applyFill="1" applyProtection="1"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2" fillId="2" borderId="0" xfId="0" applyFont="1" applyFill="1" applyProtection="1">
      <protection/>
    </xf>
    <xf numFmtId="0" fontId="44" fillId="2" borderId="0" xfId="0" applyFont="1" applyFill="1" applyProtection="1"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" fontId="58" fillId="3" borderId="1" xfId="0" applyNumberFormat="1" applyFont="1" applyFill="1" applyBorder="1" applyAlignment="1" applyProtection="1">
      <alignment vertical="center"/>
      <protection locked="0"/>
    </xf>
    <xf numFmtId="4" fontId="59" fillId="3" borderId="1" xfId="0" applyNumberFormat="1" applyFont="1" applyFill="1" applyBorder="1" applyAlignment="1" applyProtection="1">
      <alignment vertical="center"/>
      <protection locked="0"/>
    </xf>
    <xf numFmtId="4" fontId="58" fillId="4" borderId="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ont="1" applyFill="1" applyProtection="1">
      <protection/>
    </xf>
    <xf numFmtId="0" fontId="0" fillId="0" borderId="0" xfId="0" applyFont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3" borderId="4" xfId="0" applyNumberFormat="1" applyFont="1" applyFill="1" applyBorder="1" applyAlignment="1" applyProtection="1">
      <alignment vertical="center"/>
      <protection locked="0"/>
    </xf>
    <xf numFmtId="4" fontId="51" fillId="3" borderId="1" xfId="0" applyNumberFormat="1" applyFont="1" applyFill="1" applyBorder="1" applyAlignment="1" applyProtection="1">
      <alignment vertical="center"/>
      <protection locked="0"/>
    </xf>
    <xf numFmtId="4" fontId="47" fillId="3" borderId="1" xfId="0" applyNumberFormat="1" applyFont="1" applyFill="1" applyBorder="1" applyAlignment="1" applyProtection="1">
      <alignment vertical="center"/>
      <protection locked="0"/>
    </xf>
    <xf numFmtId="4" fontId="51" fillId="3" borderId="1" xfId="0" applyNumberFormat="1" applyFont="1" applyFill="1" applyBorder="1" applyAlignment="1" applyProtection="1">
      <alignment vertical="center"/>
      <protection locked="0"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4" fontId="47" fillId="4" borderId="1" xfId="0" applyNumberFormat="1" applyFont="1" applyFill="1" applyBorder="1" applyAlignment="1" applyProtection="1">
      <alignment vertical="center"/>
      <protection locked="0"/>
    </xf>
    <xf numFmtId="4" fontId="40" fillId="3" borderId="1" xfId="0" applyNumberFormat="1" applyFont="1" applyFill="1" applyBorder="1" applyAlignment="1" applyProtection="1">
      <alignment vertical="center"/>
      <protection locked="0"/>
    </xf>
    <xf numFmtId="4" fontId="0" fillId="5" borderId="1" xfId="0" applyNumberFormat="1" applyFont="1" applyFill="1" applyBorder="1" applyAlignment="1" applyProtection="1">
      <alignment vertical="center"/>
      <protection locked="0"/>
    </xf>
    <xf numFmtId="4" fontId="52" fillId="3" borderId="1" xfId="0" applyNumberFormat="1" applyFont="1" applyFill="1" applyBorder="1" applyAlignment="1" applyProtection="1">
      <alignment vertical="center"/>
      <protection/>
    </xf>
    <xf numFmtId="4" fontId="57" fillId="3" borderId="1" xfId="0" applyNumberFormat="1" applyFont="1" applyFill="1" applyBorder="1" applyAlignment="1" applyProtection="1">
      <alignment vertical="center"/>
      <protection/>
    </xf>
    <xf numFmtId="4" fontId="52" fillId="3" borderId="1" xfId="0" applyNumberFormat="1" applyFont="1" applyFill="1" applyBorder="1" applyAlignment="1" applyProtection="1">
      <alignment vertical="center"/>
      <protection/>
    </xf>
    <xf numFmtId="4" fontId="67" fillId="4" borderId="1" xfId="0" applyNumberFormat="1" applyFont="1" applyFill="1" applyBorder="1" applyAlignment="1" applyProtection="1">
      <alignment vertical="center"/>
      <protection locked="0"/>
    </xf>
    <xf numFmtId="4" fontId="67" fillId="4" borderId="4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0" fillId="5" borderId="1" xfId="0" applyNumberFormat="1" applyFont="1" applyFill="1" applyBorder="1" applyAlignment="1" applyProtection="1">
      <alignment horizontal="right" vertical="center"/>
      <protection/>
    </xf>
    <xf numFmtId="168" fontId="47" fillId="0" borderId="1" xfId="0" applyNumberFormat="1" applyFont="1" applyFill="1" applyBorder="1" applyAlignment="1" applyProtection="1">
      <alignment horizontal="right" vertical="center"/>
      <protection/>
    </xf>
    <xf numFmtId="168" fontId="47" fillId="5" borderId="1" xfId="0" applyNumberFormat="1" applyFont="1" applyFill="1" applyBorder="1" applyAlignment="1" applyProtection="1">
      <alignment horizontal="right" vertical="center"/>
      <protection/>
    </xf>
    <xf numFmtId="168" fontId="40" fillId="0" borderId="1" xfId="0" applyNumberFormat="1" applyFont="1" applyFill="1" applyBorder="1" applyAlignment="1" applyProtection="1">
      <alignment horizontal="right" vertical="center"/>
      <protection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0" fillId="5" borderId="1" xfId="0" applyNumberFormat="1" applyFont="1" applyFill="1" applyBorder="1" applyAlignment="1" applyProtection="1">
      <alignment horizontal="right" vertical="center"/>
      <protection/>
    </xf>
    <xf numFmtId="167" fontId="67" fillId="5" borderId="1" xfId="0" applyNumberFormat="1" applyFont="1" applyFill="1" applyBorder="1" applyAlignment="1" applyProtection="1">
      <alignment vertical="center"/>
      <protection/>
    </xf>
    <xf numFmtId="168" fontId="7" fillId="6" borderId="0" xfId="0" applyNumberFormat="1" applyFont="1" applyFill="1" applyBorder="1" applyAlignment="1" applyProtection="1">
      <alignment horizontal="right"/>
      <protection/>
    </xf>
    <xf numFmtId="168" fontId="37" fillId="5" borderId="1" xfId="0" applyNumberFormat="1" applyFont="1" applyFill="1" applyBorder="1" applyAlignment="1" applyProtection="1">
      <alignment horizontal="right" vertical="center"/>
      <protection/>
    </xf>
    <xf numFmtId="168" fontId="47" fillId="0" borderId="1" xfId="0" applyNumberFormat="1" applyFont="1" applyBorder="1" applyAlignment="1" applyProtection="1">
      <alignment horizontal="right" vertical="center"/>
      <protection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 vertical="center"/>
      <protection/>
    </xf>
    <xf numFmtId="168" fontId="9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 vertical="center"/>
      <protection/>
    </xf>
    <xf numFmtId="167" fontId="0" fillId="0" borderId="1" xfId="0" applyNumberFormat="1" applyFont="1" applyBorder="1" applyAlignment="1" applyProtection="1">
      <alignment vertical="center"/>
      <protection/>
    </xf>
    <xf numFmtId="167" fontId="47" fillId="0" borderId="1" xfId="0" applyNumberFormat="1" applyFont="1" applyBorder="1" applyAlignment="1" applyProtection="1">
      <alignment vertical="center"/>
      <protection/>
    </xf>
    <xf numFmtId="168" fontId="0" fillId="5" borderId="1" xfId="0" applyNumberFormat="1" applyFont="1" applyFill="1" applyBorder="1" applyAlignment="1" applyProtection="1">
      <alignment horizontal="right" vertical="center"/>
      <protection/>
    </xf>
    <xf numFmtId="167" fontId="57" fillId="0" borderId="1" xfId="0" applyNumberFormat="1" applyFont="1" applyBorder="1" applyAlignment="1" applyProtection="1">
      <alignment vertical="center"/>
      <protection/>
    </xf>
    <xf numFmtId="168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7" fontId="47" fillId="0" borderId="1" xfId="0" applyNumberFormat="1" applyFon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47" fillId="0" borderId="4" xfId="0" applyNumberFormat="1" applyFont="1" applyFill="1" applyBorder="1" applyAlignment="1" applyProtection="1">
      <alignment horizontal="right" vertical="center"/>
      <protection/>
    </xf>
    <xf numFmtId="168" fontId="0" fillId="0" borderId="4" xfId="0" applyNumberFormat="1" applyFont="1" applyFill="1" applyBorder="1" applyAlignment="1" applyProtection="1">
      <alignment horizontal="right" vertical="center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168" fontId="7" fillId="6" borderId="0" xfId="0" applyNumberFormat="1" applyFont="1" applyFill="1" applyBorder="1" applyAlignment="1" applyProtection="1">
      <alignment horizontal="right" vertical="center"/>
      <protection/>
    </xf>
    <xf numFmtId="168" fontId="0" fillId="0" borderId="1" xfId="0" applyNumberFormat="1" applyFont="1" applyFill="1" applyBorder="1" applyAlignment="1" applyProtection="1">
      <alignment horizontal="right" vertical="center" wrapText="1"/>
      <protection/>
    </xf>
    <xf numFmtId="168" fontId="47" fillId="0" borderId="1" xfId="0" applyNumberFormat="1" applyFont="1" applyFill="1" applyBorder="1" applyAlignment="1" applyProtection="1">
      <alignment horizontal="right" vertical="center" wrapText="1"/>
      <protection/>
    </xf>
    <xf numFmtId="168" fontId="40" fillId="0" borderId="1" xfId="0" applyNumberFormat="1" applyFont="1" applyFill="1" applyBorder="1" applyAlignment="1" applyProtection="1">
      <alignment horizontal="right" vertical="center" wrapText="1"/>
      <protection/>
    </xf>
    <xf numFmtId="1" fontId="47" fillId="0" borderId="1" xfId="0" applyNumberFormat="1" applyFont="1" applyFill="1" applyBorder="1" applyAlignment="1" applyProtection="1">
      <alignment horizontal="right" vertical="center"/>
      <protection/>
    </xf>
    <xf numFmtId="168" fontId="51" fillId="0" borderId="1" xfId="0" applyNumberFormat="1" applyFont="1" applyFill="1" applyBorder="1" applyAlignment="1" applyProtection="1">
      <alignment horizontal="right" vertical="center"/>
      <protection/>
    </xf>
    <xf numFmtId="168" fontId="47" fillId="0" borderId="4" xfId="0" applyNumberFormat="1" applyFont="1" applyFill="1" applyBorder="1" applyAlignment="1" applyProtection="1">
      <alignment horizontal="right" vertical="center" wrapText="1"/>
      <protection/>
    </xf>
    <xf numFmtId="168" fontId="40" fillId="0" borderId="4" xfId="0" applyNumberFormat="1" applyFont="1" applyFill="1" applyBorder="1" applyAlignment="1" applyProtection="1">
      <alignment horizontal="right" vertical="center"/>
      <protection/>
    </xf>
    <xf numFmtId="168" fontId="0" fillId="0" borderId="2" xfId="0" applyNumberFormat="1" applyFont="1" applyFill="1" applyBorder="1" applyAlignment="1" applyProtection="1">
      <alignment horizontal="right" vertical="center"/>
      <protection/>
    </xf>
    <xf numFmtId="168" fontId="40" fillId="0" borderId="1" xfId="0" applyNumberFormat="1" applyFont="1" applyBorder="1" applyAlignment="1" applyProtection="1">
      <alignment horizontal="right" vertical="center"/>
      <protection/>
    </xf>
    <xf numFmtId="168" fontId="52" fillId="0" borderId="1" xfId="0" applyNumberFormat="1" applyFont="1" applyBorder="1" applyAlignment="1" applyProtection="1">
      <alignment horizontal="right" vertical="center"/>
      <protection/>
    </xf>
    <xf numFmtId="168" fontId="57" fillId="0" borderId="1" xfId="0" applyNumberFormat="1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/>
      <protection/>
    </xf>
    <xf numFmtId="168" fontId="52" fillId="0" borderId="1" xfId="0" applyNumberFormat="1" applyFont="1" applyBorder="1" applyAlignment="1" applyProtection="1">
      <alignment horizontal="right" vertical="center"/>
      <protection/>
    </xf>
    <xf numFmtId="168" fontId="51" fillId="0" borderId="1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8" fontId="0" fillId="5" borderId="1" xfId="0" applyNumberFormat="1" applyFont="1" applyFill="1" applyBorder="1" applyAlignment="1" applyProtection="1">
      <alignment horizontal="center" vertical="center"/>
      <protection/>
    </xf>
    <xf numFmtId="168" fontId="7" fillId="6" borderId="0" xfId="0" applyNumberFormat="1" applyFont="1" applyFill="1" applyBorder="1" applyAlignment="1" applyProtection="1">
      <alignment horizontal="right"/>
      <protection/>
    </xf>
    <xf numFmtId="168" fontId="37" fillId="0" borderId="0" xfId="0" applyNumberFormat="1" applyFont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right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67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horizontal="center" vertical="center" wrapText="1"/>
      <protection/>
    </xf>
    <xf numFmtId="167" fontId="37" fillId="0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 vertical="center" wrapText="1"/>
      <protection/>
    </xf>
    <xf numFmtId="167" fontId="47" fillId="0" borderId="1" xfId="0" applyNumberFormat="1" applyFont="1" applyFill="1" applyBorder="1" applyAlignment="1" applyProtection="1">
      <alignment horizontal="center" vertical="center"/>
      <protection/>
    </xf>
    <xf numFmtId="0" fontId="47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9" fontId="67" fillId="0" borderId="1" xfId="22" applyFont="1" applyBorder="1" applyAlignment="1" applyProtection="1">
      <alignment horizontal="center" vertical="center" wrapText="1"/>
      <protection/>
    </xf>
    <xf numFmtId="168" fontId="6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67" fontId="51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47" fillId="0" borderId="1" xfId="0" applyFont="1" applyFill="1" applyBorder="1" applyAlignment="1" applyProtection="1">
      <alignment vertical="center"/>
      <protection/>
    </xf>
    <xf numFmtId="167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67" fillId="0" borderId="1" xfId="0" applyFont="1" applyBorder="1" applyAlignment="1" applyProtection="1">
      <alignment horizontal="center" vertical="center" wrapText="1"/>
      <protection/>
    </xf>
    <xf numFmtId="167" fontId="68" fillId="0" borderId="1" xfId="0" applyNumberFormat="1" applyFont="1" applyFill="1" applyBorder="1" applyAlignment="1" applyProtection="1">
      <alignment vertical="center"/>
      <protection/>
    </xf>
    <xf numFmtId="4" fontId="68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168" fontId="68" fillId="0" borderId="1" xfId="0" applyNumberFormat="1" applyFont="1" applyBorder="1" applyAlignment="1" applyProtection="1">
      <alignment horizontal="right" vertical="center"/>
      <protection/>
    </xf>
    <xf numFmtId="4" fontId="68" fillId="3" borderId="1" xfId="0" applyNumberFormat="1" applyFont="1" applyFill="1" applyBorder="1" applyAlignment="1" applyProtection="1">
      <alignment vertical="center"/>
      <protection locked="0"/>
    </xf>
    <xf numFmtId="4" fontId="67" fillId="3" borderId="1" xfId="0" applyNumberFormat="1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/>
    </xf>
    <xf numFmtId="167" fontId="67" fillId="0" borderId="1" xfId="0" applyNumberFormat="1" applyFont="1" applyFill="1" applyBorder="1" applyAlignment="1" applyProtection="1">
      <alignment vertical="center"/>
      <protection/>
    </xf>
    <xf numFmtId="167" fontId="0" fillId="0" borderId="1" xfId="0" applyNumberFormat="1" applyFont="1" applyFill="1" applyBorder="1" applyAlignment="1" applyProtection="1">
      <alignment vertical="center"/>
      <protection/>
    </xf>
    <xf numFmtId="167" fontId="58" fillId="0" borderId="1" xfId="0" applyNumberFormat="1" applyFont="1" applyFill="1" applyBorder="1" applyAlignment="1" applyProtection="1">
      <alignment vertical="center"/>
      <protection/>
    </xf>
    <xf numFmtId="167" fontId="59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167" fontId="37" fillId="0" borderId="1" xfId="0" applyNumberFormat="1" applyFont="1" applyFill="1" applyBorder="1" applyAlignment="1" applyProtection="1">
      <alignment vertical="center"/>
      <protection/>
    </xf>
    <xf numFmtId="167" fontId="58" fillId="0" borderId="1" xfId="0" applyNumberFormat="1" applyFont="1" applyFill="1" applyBorder="1" applyAlignment="1" applyProtection="1">
      <alignment horizontal="left" vertical="center"/>
      <protection/>
    </xf>
    <xf numFmtId="4" fontId="67" fillId="3" borderId="2" xfId="0" applyNumberFormat="1" applyFont="1" applyFill="1" applyBorder="1" applyAlignment="1" applyProtection="1">
      <alignment vertical="center"/>
      <protection locked="0"/>
    </xf>
    <xf numFmtId="0" fontId="59" fillId="0" borderId="1" xfId="0" applyFont="1" applyFill="1" applyBorder="1" applyAlignment="1" applyProtection="1">
      <alignment horizontal="center" vertical="center" wrapText="1"/>
      <protection/>
    </xf>
    <xf numFmtId="0" fontId="40" fillId="0" borderId="1" xfId="0" applyFont="1" applyFill="1" applyBorder="1" applyAlignment="1" applyProtection="1">
      <alignment horizontal="center" vertical="center" wrapText="1"/>
      <protection/>
    </xf>
    <xf numFmtId="167" fontId="4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67" fontId="67" fillId="0" borderId="2" xfId="0" applyNumberFormat="1" applyFont="1" applyFill="1" applyBorder="1" applyAlignment="1" applyProtection="1">
      <alignment vertical="center"/>
      <protection/>
    </xf>
    <xf numFmtId="0" fontId="58" fillId="0" borderId="1" xfId="0" applyFont="1" applyFill="1" applyBorder="1" applyAlignment="1" applyProtection="1">
      <alignment horizontal="center" vertical="center" wrapText="1"/>
      <protection/>
    </xf>
    <xf numFmtId="0" fontId="40" fillId="0" borderId="1" xfId="0" applyFont="1" applyFill="1" applyBorder="1" applyAlignment="1" applyProtection="1">
      <alignment horizontal="center" vertical="center" wrapText="1"/>
      <protection/>
    </xf>
    <xf numFmtId="167" fontId="40" fillId="0" borderId="1" xfId="0" applyNumberFormat="1" applyFont="1" applyFill="1" applyBorder="1" applyAlignment="1" applyProtection="1">
      <alignment vertical="center"/>
      <protection/>
    </xf>
    <xf numFmtId="0" fontId="57" fillId="0" borderId="1" xfId="0" applyFont="1" applyFill="1" applyBorder="1" applyAlignment="1" applyProtection="1">
      <alignment horizontal="center" vertical="center" wrapText="1"/>
      <protection/>
    </xf>
    <xf numFmtId="167" fontId="57" fillId="0" borderId="1" xfId="0" applyNumberFormat="1" applyFont="1" applyFill="1" applyBorder="1" applyAlignment="1" applyProtection="1">
      <alignment vertical="center"/>
      <protection/>
    </xf>
    <xf numFmtId="167" fontId="67" fillId="5" borderId="2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9" fontId="58" fillId="0" borderId="1" xfId="22" applyFont="1" applyBorder="1" applyAlignment="1" applyProtection="1">
      <alignment horizontal="center" vertical="center" wrapText="1"/>
      <protection/>
    </xf>
    <xf numFmtId="167" fontId="58" fillId="5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8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/>
    </xf>
    <xf numFmtId="0" fontId="59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8" fillId="0" borderId="1" xfId="0" applyFont="1" applyBorder="1" applyAlignment="1" applyProtection="1">
      <alignment horizontal="center" vertical="center" wrapText="1"/>
      <protection/>
    </xf>
    <xf numFmtId="167" fontId="58" fillId="0" borderId="1" xfId="0" applyNumberFormat="1" applyFont="1" applyBorder="1" applyAlignment="1" applyProtection="1">
      <alignment vertical="center"/>
      <protection/>
    </xf>
    <xf numFmtId="167" fontId="0" fillId="0" borderId="1" xfId="0" applyNumberFormat="1" applyFont="1" applyBorder="1" applyAlignment="1" applyProtection="1">
      <alignment vertical="center"/>
      <protection/>
    </xf>
    <xf numFmtId="0" fontId="59" fillId="0" borderId="1" xfId="0" applyFont="1" applyBorder="1" applyAlignment="1" applyProtection="1">
      <alignment horizontal="center" vertical="center" wrapText="1"/>
      <protection/>
    </xf>
    <xf numFmtId="167" fontId="59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6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3" fillId="3" borderId="0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/>
    </xf>
    <xf numFmtId="4" fontId="0" fillId="3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/>
      <protection/>
    </xf>
    <xf numFmtId="0" fontId="47" fillId="0" borderId="1" xfId="0" applyFont="1" applyFill="1" applyBorder="1" applyAlignment="1" applyProtection="1">
      <alignment horizontal="center" vertical="center" wrapText="1"/>
      <protection/>
    </xf>
    <xf numFmtId="167" fontId="47" fillId="0" borderId="1" xfId="0" applyNumberFormat="1" applyFont="1" applyFill="1" applyBorder="1" applyAlignment="1" applyProtection="1">
      <alignment vertical="center"/>
      <protection/>
    </xf>
    <xf numFmtId="4" fontId="47" fillId="3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0" fillId="0" borderId="1" xfId="0" applyFont="1" applyBorder="1" applyAlignment="1" applyProtection="1">
      <alignment horizontal="center" vertical="center"/>
      <protection/>
    </xf>
    <xf numFmtId="167" fontId="40" fillId="5" borderId="1" xfId="0" applyNumberFormat="1" applyFont="1" applyFill="1" applyBorder="1" applyAlignment="1" applyProtection="1">
      <alignment vertical="center"/>
      <protection/>
    </xf>
    <xf numFmtId="4" fontId="40" fillId="3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4" fontId="0" fillId="4" borderId="1" xfId="0" applyNumberFormat="1" applyFont="1" applyFill="1" applyBorder="1" applyAlignment="1" applyProtection="1">
      <alignment vertical="center"/>
      <protection/>
    </xf>
    <xf numFmtId="9" fontId="0" fillId="0" borderId="1" xfId="22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47" fillId="0" borderId="1" xfId="0" applyFont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center" vertical="center" wrapText="1"/>
      <protection/>
    </xf>
    <xf numFmtId="167" fontId="47" fillId="0" borderId="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7" fillId="0" borderId="0" xfId="0" applyFont="1" applyProtection="1">
      <protection/>
    </xf>
    <xf numFmtId="0" fontId="51" fillId="0" borderId="1" xfId="0" applyFont="1" applyBorder="1" applyAlignment="1" applyProtection="1">
      <alignment vertical="center"/>
      <protection/>
    </xf>
    <xf numFmtId="0" fontId="51" fillId="0" borderId="1" xfId="0" applyFont="1" applyBorder="1" applyAlignment="1" applyProtection="1">
      <alignment horizontal="left"/>
      <protection/>
    </xf>
    <xf numFmtId="0" fontId="47" fillId="0" borderId="1" xfId="0" applyFont="1" applyBorder="1" applyProtection="1">
      <protection/>
    </xf>
    <xf numFmtId="0" fontId="40" fillId="0" borderId="0" xfId="0" applyFont="1" applyAlignment="1" applyProtection="1">
      <alignment vertical="center"/>
      <protection/>
    </xf>
    <xf numFmtId="0" fontId="40" fillId="0" borderId="1" xfId="0" applyFont="1" applyBorder="1" applyAlignment="1" applyProtection="1">
      <alignment horizontal="center" vertical="center" wrapText="1"/>
      <protection/>
    </xf>
    <xf numFmtId="167" fontId="4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Protection="1">
      <protection/>
    </xf>
    <xf numFmtId="0" fontId="0" fillId="0" borderId="0" xfId="0" applyFont="1" applyBorder="1" applyProtection="1">
      <protection/>
    </xf>
    <xf numFmtId="4" fontId="47" fillId="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Border="1" applyProtection="1">
      <protection/>
    </xf>
    <xf numFmtId="0" fontId="17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0" fillId="0" borderId="0" xfId="0" applyProtection="1">
      <protection/>
    </xf>
    <xf numFmtId="0" fontId="48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44" fontId="26" fillId="0" borderId="0" xfId="2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Border="1" applyProtection="1">
      <protection/>
    </xf>
    <xf numFmtId="0" fontId="0" fillId="0" borderId="14" xfId="0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4" fontId="0" fillId="0" borderId="0" xfId="21" applyFont="1" applyAlignment="1" applyProtection="1">
      <alignment vertical="center"/>
      <protection/>
    </xf>
    <xf numFmtId="44" fontId="0" fillId="0" borderId="0" xfId="21" applyFont="1" applyProtection="1">
      <protection/>
    </xf>
    <xf numFmtId="0" fontId="0" fillId="0" borderId="9" xfId="0" applyFont="1" applyBorder="1" applyAlignment="1" applyProtection="1">
      <alignment vertical="center"/>
      <protection/>
    </xf>
    <xf numFmtId="4" fontId="0" fillId="0" borderId="0" xfId="21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1" xfId="0" applyNumberFormat="1" applyFont="1" applyBorder="1" applyAlignment="1" applyProtection="1">
      <alignment vertical="center"/>
      <protection/>
    </xf>
    <xf numFmtId="44" fontId="4" fillId="0" borderId="0" xfId="2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4" fontId="27" fillId="0" borderId="10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 vertical="center"/>
      <protection/>
    </xf>
    <xf numFmtId="44" fontId="5" fillId="0" borderId="0" xfId="2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1" xfId="0" applyNumberFormat="1" applyFont="1" applyBorder="1" applyAlignment="1" applyProtection="1">
      <alignment vertical="center"/>
      <protection/>
    </xf>
    <xf numFmtId="44" fontId="6" fillId="0" borderId="0" xfId="2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4" fontId="27" fillId="0" borderId="3" xfId="0" applyNumberFormat="1" applyFont="1" applyBorder="1" applyAlignment="1" applyProtection="1">
      <alignment vertical="center"/>
      <protection/>
    </xf>
    <xf numFmtId="166" fontId="27" fillId="0" borderId="3" xfId="0" applyNumberFormat="1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0" fontId="19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Protection="1"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Font="1" applyBorder="1" applyProtection="1">
      <protection/>
    </xf>
    <xf numFmtId="0" fontId="0" fillId="0" borderId="14" xfId="0" applyFont="1" applyBorder="1" applyProtection="1">
      <protection/>
    </xf>
    <xf numFmtId="0" fontId="0" fillId="0" borderId="21" xfId="0" applyFont="1" applyBorder="1" applyProtection="1">
      <protection/>
    </xf>
    <xf numFmtId="0" fontId="0" fillId="0" borderId="22" xfId="0" applyFont="1" applyBorder="1" applyProtection="1">
      <protection/>
    </xf>
    <xf numFmtId="0" fontId="0" fillId="0" borderId="23" xfId="0" applyFont="1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right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41" fillId="0" borderId="0" xfId="0" applyFont="1" applyBorder="1" applyProtection="1"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23" fillId="3" borderId="0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166" fontId="32" fillId="0" borderId="5" xfId="0" applyNumberFormat="1" applyFont="1" applyBorder="1" applyAlignment="1" applyProtection="1">
      <alignment/>
      <protection/>
    </xf>
    <xf numFmtId="166" fontId="32" fillId="0" borderId="9" xfId="0" applyNumberFormat="1" applyFont="1" applyBorder="1" applyAlignment="1" applyProtection="1">
      <alignment/>
      <protection/>
    </xf>
    <xf numFmtId="44" fontId="0" fillId="0" borderId="0" xfId="21" applyFont="1" applyAlignment="1" applyProtection="1">
      <alignment vertical="center"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1" xfId="0" applyNumberFormat="1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66" fontId="2" fillId="0" borderId="3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167" fontId="67" fillId="0" borderId="1" xfId="0" applyNumberFormat="1" applyFont="1" applyBorder="1" applyAlignment="1" applyProtection="1">
      <alignment vertical="center"/>
      <protection/>
    </xf>
    <xf numFmtId="4" fontId="67" fillId="7" borderId="1" xfId="0" applyNumberFormat="1" applyFont="1" applyFill="1" applyBorder="1" applyAlignment="1" applyProtection="1">
      <alignment vertical="center"/>
      <protection locked="0"/>
    </xf>
    <xf numFmtId="0" fontId="7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2" fillId="0" borderId="0" xfId="0" applyFont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Font="1" applyBorder="1" applyProtection="1">
      <protection/>
    </xf>
    <xf numFmtId="0" fontId="0" fillId="0" borderId="14" xfId="0" applyFont="1" applyBorder="1" applyProtection="1">
      <protection/>
    </xf>
    <xf numFmtId="0" fontId="0" fillId="0" borderId="21" xfId="0" applyFont="1" applyBorder="1" applyProtection="1">
      <protection/>
    </xf>
    <xf numFmtId="0" fontId="0" fillId="0" borderId="22" xfId="0" applyFont="1" applyBorder="1" applyProtection="1">
      <protection/>
    </xf>
    <xf numFmtId="0" fontId="0" fillId="0" borderId="23" xfId="0" applyFont="1" applyBorder="1" applyProtection="1">
      <protection/>
    </xf>
    <xf numFmtId="0" fontId="42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166" fontId="32" fillId="0" borderId="5" xfId="0" applyNumberFormat="1" applyFont="1" applyBorder="1" applyAlignment="1" applyProtection="1">
      <alignment/>
      <protection/>
    </xf>
    <xf numFmtId="166" fontId="32" fillId="0" borderId="9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6" borderId="0" xfId="0" applyFont="1" applyFill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166" fontId="37" fillId="0" borderId="0" xfId="0" applyNumberFormat="1" applyFont="1" applyBorder="1" applyAlignment="1" applyProtection="1">
      <alignment vertical="center"/>
      <protection/>
    </xf>
    <xf numFmtId="166" fontId="37" fillId="0" borderId="11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4" fontId="37" fillId="0" borderId="0" xfId="0" applyNumberFormat="1" applyFont="1" applyAlignment="1" applyProtection="1">
      <alignment vertical="center"/>
      <protection/>
    </xf>
    <xf numFmtId="9" fontId="0" fillId="0" borderId="1" xfId="22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4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52" fillId="5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166" fontId="2" fillId="0" borderId="3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0" fontId="42" fillId="0" borderId="0" xfId="0" applyFont="1" applyBorder="1" applyProtection="1">
      <protection/>
    </xf>
    <xf numFmtId="168" fontId="7" fillId="0" borderId="0" xfId="0" applyNumberFormat="1" applyFont="1" applyBorder="1" applyAlignment="1" applyProtection="1">
      <alignment horizontal="left"/>
      <protection/>
    </xf>
    <xf numFmtId="167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4" fillId="0" borderId="0" xfId="0" applyFont="1" applyProtection="1"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Protection="1"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54" fillId="0" borderId="1" xfId="0" applyFont="1" applyBorder="1" applyAlignment="1" applyProtection="1">
      <alignment horizontal="left"/>
      <protection/>
    </xf>
    <xf numFmtId="0" fontId="47" fillId="0" borderId="1" xfId="0" applyFont="1" applyFill="1" applyBorder="1" applyAlignment="1" applyProtection="1">
      <alignment horizontal="center" vertical="center"/>
      <protection/>
    </xf>
    <xf numFmtId="9" fontId="47" fillId="0" borderId="1" xfId="22" applyFont="1" applyFill="1" applyBorder="1" applyAlignment="1" applyProtection="1">
      <alignment horizontal="center" vertical="center" wrapText="1"/>
      <protection/>
    </xf>
    <xf numFmtId="0" fontId="47" fillId="0" borderId="4" xfId="0" applyFont="1" applyBorder="1" applyAlignment="1" applyProtection="1">
      <alignment horizontal="center" vertical="center"/>
      <protection/>
    </xf>
    <xf numFmtId="0" fontId="47" fillId="0" borderId="4" xfId="0" applyFont="1" applyFill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55" fillId="0" borderId="1" xfId="0" applyFont="1" applyBorder="1" applyAlignment="1" applyProtection="1">
      <alignment horizontal="left"/>
      <protection/>
    </xf>
    <xf numFmtId="0" fontId="67" fillId="0" borderId="0" xfId="0" applyFont="1" applyProtection="1">
      <protection/>
    </xf>
    <xf numFmtId="0" fontId="69" fillId="0" borderId="0" xfId="0" applyFont="1" applyBorder="1" applyAlignment="1" applyProtection="1">
      <alignment horizontal="left"/>
      <protection/>
    </xf>
    <xf numFmtId="4" fontId="0" fillId="0" borderId="0" xfId="0" applyNumberFormat="1" applyFont="1" applyProtection="1">
      <protection/>
    </xf>
    <xf numFmtId="9" fontId="0" fillId="0" borderId="1" xfId="22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9" fontId="47" fillId="0" borderId="1" xfId="22" applyFont="1" applyBorder="1" applyAlignment="1" applyProtection="1">
      <alignment horizontal="center" vertical="center" wrapText="1"/>
      <protection/>
    </xf>
    <xf numFmtId="9" fontId="40" fillId="0" borderId="1" xfId="22" applyFont="1" applyBorder="1" applyAlignment="1" applyProtection="1">
      <alignment horizontal="center" vertical="center" wrapText="1"/>
      <protection/>
    </xf>
    <xf numFmtId="0" fontId="50" fillId="0" borderId="1" xfId="0" applyFont="1" applyBorder="1" applyAlignment="1" applyProtection="1">
      <alignment horizontal="left"/>
      <protection/>
    </xf>
    <xf numFmtId="0" fontId="54" fillId="0" borderId="4" xfId="0" applyFont="1" applyBorder="1" applyAlignment="1" applyProtection="1">
      <alignment horizontal="left"/>
      <protection/>
    </xf>
    <xf numFmtId="0" fontId="50" fillId="0" borderId="4" xfId="0" applyFont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4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40" fillId="0" borderId="1" xfId="0" applyFont="1" applyFill="1" applyBorder="1" applyAlignment="1" applyProtection="1">
      <alignment horizontal="center" vertical="center"/>
      <protection/>
    </xf>
    <xf numFmtId="9" fontId="0" fillId="0" borderId="1" xfId="22" applyFont="1" applyFill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40" fillId="0" borderId="1" xfId="0" applyFont="1" applyBorder="1" applyAlignment="1" applyProtection="1">
      <alignment horizontal="center" vertical="center"/>
      <protection/>
    </xf>
    <xf numFmtId="0" fontId="40" fillId="0" borderId="1" xfId="0" applyFont="1" applyBorder="1" applyAlignment="1" applyProtection="1">
      <alignment horizontal="center" vertical="center" wrapText="1"/>
      <protection/>
    </xf>
    <xf numFmtId="0" fontId="65" fillId="0" borderId="0" xfId="0" applyFont="1" applyProtection="1">
      <protection/>
    </xf>
    <xf numFmtId="0" fontId="52" fillId="0" borderId="0" xfId="0" applyFont="1" applyProtection="1">
      <protection/>
    </xf>
    <xf numFmtId="0" fontId="49" fillId="0" borderId="1" xfId="0" applyFont="1" applyBorder="1" applyAlignment="1" applyProtection="1">
      <alignment horizontal="left"/>
      <protection/>
    </xf>
    <xf numFmtId="0" fontId="52" fillId="0" borderId="1" xfId="0" applyFont="1" applyBorder="1" applyAlignment="1" applyProtection="1">
      <alignment horizontal="center" vertical="center"/>
      <protection/>
    </xf>
    <xf numFmtId="0" fontId="52" fillId="0" borderId="1" xfId="0" applyFont="1" applyBorder="1" applyAlignment="1" applyProtection="1">
      <alignment horizontal="center" vertical="center" wrapText="1"/>
      <protection/>
    </xf>
    <xf numFmtId="0" fontId="66" fillId="0" borderId="1" xfId="0" applyFont="1" applyBorder="1" applyAlignment="1" applyProtection="1">
      <alignment horizontal="left"/>
      <protection/>
    </xf>
    <xf numFmtId="0" fontId="57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0" fontId="0" fillId="8" borderId="1" xfId="0" applyFont="1" applyFill="1" applyBorder="1" applyAlignment="1" applyProtection="1">
      <alignment vertical="center"/>
      <protection/>
    </xf>
    <xf numFmtId="0" fontId="52" fillId="0" borderId="1" xfId="0" applyFont="1" applyBorder="1" applyAlignment="1" applyProtection="1">
      <alignment horizontal="center" vertical="center" wrapText="1"/>
      <protection/>
    </xf>
    <xf numFmtId="4" fontId="7" fillId="5" borderId="0" xfId="0" applyNumberFormat="1" applyFont="1" applyFill="1" applyBorder="1" applyAlignment="1" applyProtection="1">
      <alignment/>
      <protection/>
    </xf>
    <xf numFmtId="4" fontId="7" fillId="5" borderId="0" xfId="0" applyNumberFormat="1" applyFont="1" applyFill="1" applyBorder="1" applyAlignment="1" applyProtection="1">
      <alignment vertical="center"/>
      <protection/>
    </xf>
    <xf numFmtId="0" fontId="51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63" fillId="0" borderId="0" xfId="0" applyFont="1" applyBorder="1" applyAlignment="1" applyProtection="1">
      <alignment horizontal="left"/>
      <protection/>
    </xf>
    <xf numFmtId="0" fontId="64" fillId="0" borderId="23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166" fontId="64" fillId="0" borderId="0" xfId="0" applyNumberFormat="1" applyFont="1" applyBorder="1" applyAlignment="1" applyProtection="1">
      <alignment/>
      <protection/>
    </xf>
    <xf numFmtId="166" fontId="64" fillId="0" borderId="11" xfId="0" applyNumberFormat="1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7" fillId="6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22" xfId="0" applyFont="1" applyFill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0" fillId="5" borderId="23" xfId="0" applyFont="1" applyFill="1" applyBorder="1" applyAlignment="1" applyProtection="1">
      <alignment vertical="center"/>
      <protection/>
    </xf>
    <xf numFmtId="0" fontId="2" fillId="5" borderId="26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1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 vertical="center"/>
      <protection/>
    </xf>
    <xf numFmtId="4" fontId="0" fillId="5" borderId="0" xfId="0" applyNumberFormat="1" applyFont="1" applyFill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166" fontId="47" fillId="0" borderId="0" xfId="0" applyNumberFormat="1" applyFont="1" applyBorder="1" applyAlignment="1" applyProtection="1">
      <alignment vertical="center"/>
      <protection/>
    </xf>
    <xf numFmtId="166" fontId="47" fillId="0" borderId="11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4" fontId="47" fillId="0" borderId="0" xfId="0" applyNumberFormat="1" applyFont="1" applyAlignment="1" applyProtection="1">
      <alignment vertical="center"/>
      <protection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47" fillId="5" borderId="1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51" fillId="0" borderId="23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66" fontId="51" fillId="0" borderId="0" xfId="0" applyNumberFormat="1" applyFont="1" applyBorder="1" applyAlignment="1" applyProtection="1">
      <alignment/>
      <protection/>
    </xf>
    <xf numFmtId="166" fontId="51" fillId="0" borderId="11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4" fontId="51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4" fontId="24" fillId="0" borderId="0" xfId="0" applyNumberFormat="1" applyFont="1" applyBorder="1" applyAlignment="1" applyProtection="1">
      <alignment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51" fillId="5" borderId="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166" fontId="37" fillId="0" borderId="0" xfId="0" applyNumberFormat="1" applyFont="1" applyBorder="1" applyAlignment="1" applyProtection="1">
      <alignment/>
      <protection/>
    </xf>
    <xf numFmtId="166" fontId="37" fillId="0" borderId="11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left"/>
      <protection/>
    </xf>
    <xf numFmtId="4" fontId="37" fillId="0" borderId="0" xfId="0" applyNumberFormat="1" applyFont="1" applyAlignment="1" applyProtection="1">
      <alignment vertical="center"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22" xfId="0" applyFont="1" applyFill="1" applyBorder="1" applyAlignment="1" applyProtection="1">
      <alignment vertical="center"/>
      <protection/>
    </xf>
    <xf numFmtId="0" fontId="37" fillId="5" borderId="23" xfId="0" applyFont="1" applyFill="1" applyBorder="1" applyAlignment="1" applyProtection="1">
      <alignment vertical="center"/>
      <protection/>
    </xf>
    <xf numFmtId="166" fontId="37" fillId="5" borderId="0" xfId="0" applyNumberFormat="1" applyFont="1" applyFill="1" applyBorder="1" applyAlignment="1" applyProtection="1">
      <alignment/>
      <protection/>
    </xf>
    <xf numFmtId="166" fontId="37" fillId="5" borderId="11" xfId="0" applyNumberFormat="1" applyFont="1" applyFill="1" applyBorder="1" applyAlignment="1" applyProtection="1">
      <alignment/>
      <protection/>
    </xf>
    <xf numFmtId="0" fontId="37" fillId="5" borderId="0" xfId="0" applyFont="1" applyFill="1" applyAlignment="1" applyProtection="1">
      <alignment/>
      <protection/>
    </xf>
    <xf numFmtId="0" fontId="37" fillId="5" borderId="0" xfId="0" applyFont="1" applyFill="1" applyAlignment="1" applyProtection="1">
      <alignment horizontal="center"/>
      <protection/>
    </xf>
    <xf numFmtId="0" fontId="37" fillId="5" borderId="0" xfId="0" applyFont="1" applyFill="1" applyAlignment="1" applyProtection="1">
      <alignment horizontal="left"/>
      <protection/>
    </xf>
    <xf numFmtId="4" fontId="37" fillId="5" borderId="0" xfId="0" applyNumberFormat="1" applyFont="1" applyFill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166" fontId="47" fillId="0" borderId="0" xfId="0" applyNumberFormat="1" applyFont="1" applyBorder="1" applyAlignment="1" applyProtection="1">
      <alignment/>
      <protection/>
    </xf>
    <xf numFmtId="166" fontId="47" fillId="0" borderId="11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vertical="center"/>
      <protection/>
    </xf>
    <xf numFmtId="0" fontId="2" fillId="5" borderId="27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Protection="1"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62" fillId="0" borderId="0" xfId="0" applyFont="1" applyBorder="1" applyAlignment="1" applyProtection="1">
      <alignment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1" xfId="0" applyNumberFormat="1" applyFont="1" applyFill="1" applyBorder="1" applyAlignment="1" applyProtection="1">
      <alignment vertical="center"/>
      <protection/>
    </xf>
    <xf numFmtId="0" fontId="47" fillId="5" borderId="0" xfId="0" applyFont="1" applyFill="1" applyAlignment="1" applyProtection="1">
      <alignment vertical="center"/>
      <protection/>
    </xf>
    <xf numFmtId="0" fontId="47" fillId="5" borderId="0" xfId="0" applyFont="1" applyFill="1" applyBorder="1" applyAlignment="1" applyProtection="1">
      <alignment horizontal="left" vertical="center"/>
      <protection/>
    </xf>
    <xf numFmtId="0" fontId="47" fillId="5" borderId="0" xfId="0" applyFont="1" applyFill="1" applyBorder="1" applyAlignment="1" applyProtection="1">
      <alignment horizontal="center" vertical="center"/>
      <protection/>
    </xf>
    <xf numFmtId="166" fontId="47" fillId="5" borderId="0" xfId="0" applyNumberFormat="1" applyFont="1" applyFill="1" applyBorder="1" applyAlignment="1" applyProtection="1">
      <alignment vertical="center"/>
      <protection/>
    </xf>
    <xf numFmtId="166" fontId="47" fillId="5" borderId="11" xfId="0" applyNumberFormat="1" applyFont="1" applyFill="1" applyBorder="1" applyAlignment="1" applyProtection="1">
      <alignment vertical="center"/>
      <protection/>
    </xf>
    <xf numFmtId="0" fontId="47" fillId="5" borderId="0" xfId="0" applyFont="1" applyFill="1" applyAlignment="1" applyProtection="1">
      <alignment horizontal="left" vertical="center"/>
      <protection/>
    </xf>
    <xf numFmtId="4" fontId="47" fillId="5" borderId="0" xfId="0" applyNumberFormat="1" applyFont="1" applyFill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0" fontId="57" fillId="5" borderId="0" xfId="0" applyFont="1" applyFill="1" applyAlignment="1" applyProtection="1">
      <alignment vertical="center"/>
      <protection/>
    </xf>
    <xf numFmtId="49" fontId="52" fillId="0" borderId="1" xfId="0" applyNumberFormat="1" applyFont="1" applyFill="1" applyBorder="1" applyAlignment="1" applyProtection="1">
      <alignment horizontal="center" vertical="center" wrapText="1"/>
      <protection/>
    </xf>
    <xf numFmtId="0" fontId="57" fillId="0" borderId="1" xfId="0" applyFont="1" applyBorder="1" applyAlignment="1" applyProtection="1">
      <alignment vertical="center"/>
      <protection/>
    </xf>
    <xf numFmtId="0" fontId="57" fillId="5" borderId="0" xfId="0" applyFont="1" applyFill="1" applyBorder="1" applyAlignment="1" applyProtection="1">
      <alignment horizontal="left" vertical="center"/>
      <protection/>
    </xf>
    <xf numFmtId="0" fontId="57" fillId="5" borderId="0" xfId="0" applyFont="1" applyFill="1" applyBorder="1" applyAlignment="1" applyProtection="1">
      <alignment horizontal="center" vertical="center"/>
      <protection/>
    </xf>
    <xf numFmtId="166" fontId="57" fillId="5" borderId="0" xfId="0" applyNumberFormat="1" applyFont="1" applyFill="1" applyBorder="1" applyAlignment="1" applyProtection="1">
      <alignment vertical="center"/>
      <protection/>
    </xf>
    <xf numFmtId="166" fontId="57" fillId="5" borderId="11" xfId="0" applyNumberFormat="1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/>
      <protection/>
    </xf>
    <xf numFmtId="0" fontId="57" fillId="5" borderId="0" xfId="0" applyFont="1" applyFill="1" applyAlignment="1" applyProtection="1">
      <alignment horizontal="left" vertical="center"/>
      <protection/>
    </xf>
    <xf numFmtId="4" fontId="57" fillId="5" borderId="0" xfId="0" applyNumberFormat="1" applyFont="1" applyFill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vertical="center"/>
      <protection/>
    </xf>
    <xf numFmtId="0" fontId="67" fillId="0" borderId="22" xfId="0" applyFont="1" applyBorder="1" applyAlignment="1" applyProtection="1">
      <alignment vertical="center"/>
      <protection/>
    </xf>
    <xf numFmtId="0" fontId="67" fillId="0" borderId="1" xfId="0" applyFont="1" applyBorder="1" applyAlignment="1" applyProtection="1">
      <alignment horizontal="center"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vertical="center"/>
      <protection/>
    </xf>
    <xf numFmtId="4" fontId="69" fillId="0" borderId="0" xfId="0" applyNumberFormat="1" applyFont="1" applyBorder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7" fillId="0" borderId="27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166" fontId="67" fillId="0" borderId="0" xfId="0" applyNumberFormat="1" applyFont="1" applyBorder="1" applyAlignment="1" applyProtection="1">
      <alignment vertical="center"/>
      <protection/>
    </xf>
    <xf numFmtId="166" fontId="67" fillId="0" borderId="11" xfId="0" applyNumberFormat="1" applyFont="1" applyBorder="1" applyAlignment="1" applyProtection="1">
      <alignment vertical="center"/>
      <protection/>
    </xf>
    <xf numFmtId="4" fontId="67" fillId="0" borderId="0" xfId="0" applyNumberFormat="1" applyFont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center"/>
      <protection/>
    </xf>
    <xf numFmtId="0" fontId="67" fillId="0" borderId="1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center"/>
      <protection/>
    </xf>
    <xf numFmtId="0" fontId="68" fillId="0" borderId="1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7" fillId="0" borderId="0" xfId="0" applyFont="1" applyAlignment="1" applyProtection="1">
      <alignment/>
      <protection/>
    </xf>
    <xf numFmtId="0" fontId="68" fillId="0" borderId="23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left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166" fontId="68" fillId="0" borderId="0" xfId="0" applyNumberFormat="1" applyFont="1" applyBorder="1" applyAlignment="1" applyProtection="1">
      <alignment vertical="center"/>
      <protection/>
    </xf>
    <xf numFmtId="166" fontId="68" fillId="0" borderId="11" xfId="0" applyNumberFormat="1" applyFont="1" applyBorder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horizontal="left" vertical="center"/>
      <protection/>
    </xf>
    <xf numFmtId="4" fontId="68" fillId="0" borderId="0" xfId="0" applyNumberFormat="1" applyFont="1" applyAlignment="1" applyProtection="1">
      <alignment vertical="center"/>
      <protection/>
    </xf>
    <xf numFmtId="0" fontId="47" fillId="0" borderId="22" xfId="0" applyFont="1" applyBorder="1" applyAlignment="1" applyProtection="1">
      <alignment/>
      <protection/>
    </xf>
    <xf numFmtId="0" fontId="47" fillId="0" borderId="23" xfId="0" applyFont="1" applyBorder="1" applyAlignment="1" applyProtection="1">
      <alignment/>
      <protection/>
    </xf>
    <xf numFmtId="0" fontId="67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7" fillId="0" borderId="1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left" vertical="center"/>
      <protection/>
    </xf>
    <xf numFmtId="0" fontId="67" fillId="0" borderId="1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22" xfId="0" applyFont="1" applyBorder="1" applyAlignment="1" applyProtection="1">
      <alignment vertical="center"/>
      <protection/>
    </xf>
    <xf numFmtId="0" fontId="58" fillId="0" borderId="1" xfId="0" applyFont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vertical="center"/>
      <protection/>
    </xf>
    <xf numFmtId="0" fontId="58" fillId="0" borderId="26" xfId="0" applyFont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166" fontId="58" fillId="0" borderId="0" xfId="0" applyNumberFormat="1" applyFont="1" applyBorder="1" applyAlignment="1" applyProtection="1">
      <alignment vertical="center"/>
      <protection/>
    </xf>
    <xf numFmtId="166" fontId="58" fillId="0" borderId="11" xfId="0" applyNumberFormat="1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left" vertical="center"/>
      <protection/>
    </xf>
    <xf numFmtId="4" fontId="58" fillId="0" borderId="0" xfId="0" applyNumberFormat="1" applyFont="1" applyAlignment="1" applyProtection="1">
      <alignment vertical="center"/>
      <protection/>
    </xf>
    <xf numFmtId="0" fontId="37" fillId="0" borderId="1" xfId="0" applyFont="1" applyFill="1" applyBorder="1" applyAlignment="1" applyProtection="1">
      <alignment horizontal="center" vertical="center" wrapText="1"/>
      <protection/>
    </xf>
    <xf numFmtId="0" fontId="37" fillId="0" borderId="1" xfId="0" applyFont="1" applyBorder="1" applyAlignment="1" applyProtection="1">
      <alignment horizontal="center" vertical="center"/>
      <protection/>
    </xf>
    <xf numFmtId="0" fontId="37" fillId="0" borderId="1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166" fontId="58" fillId="0" borderId="0" xfId="0" applyNumberFormat="1" applyFont="1" applyBorder="1" applyAlignment="1" applyProtection="1">
      <alignment/>
      <protection/>
    </xf>
    <xf numFmtId="166" fontId="58" fillId="0" borderId="11" xfId="0" applyNumberFormat="1" applyFont="1" applyBorder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58" fillId="0" borderId="0" xfId="0" applyFont="1" applyAlignment="1" applyProtection="1">
      <alignment horizontal="left"/>
      <protection/>
    </xf>
    <xf numFmtId="0" fontId="58" fillId="0" borderId="1" xfId="0" applyFont="1" applyBorder="1" applyAlignment="1" applyProtection="1">
      <alignment/>
      <protection/>
    </xf>
    <xf numFmtId="0" fontId="58" fillId="0" borderId="1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/>
      <protection/>
    </xf>
    <xf numFmtId="0" fontId="59" fillId="0" borderId="22" xfId="0" applyFont="1" applyBorder="1" applyAlignment="1" applyProtection="1">
      <alignment/>
      <protection/>
    </xf>
    <xf numFmtId="0" fontId="59" fillId="0" borderId="1" xfId="0" applyFont="1" applyBorder="1" applyAlignment="1" applyProtection="1">
      <alignment/>
      <protection/>
    </xf>
    <xf numFmtId="0" fontId="61" fillId="0" borderId="1" xfId="0" applyFont="1" applyBorder="1" applyAlignment="1" applyProtection="1">
      <alignment horizontal="left"/>
      <protection/>
    </xf>
    <xf numFmtId="166" fontId="59" fillId="0" borderId="0" xfId="0" applyNumberFormat="1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left"/>
      <protection/>
    </xf>
    <xf numFmtId="4" fontId="59" fillId="0" borderId="0" xfId="0" applyNumberFormat="1" applyFont="1" applyAlignment="1" applyProtection="1">
      <alignment vertical="center"/>
      <protection/>
    </xf>
    <xf numFmtId="0" fontId="67" fillId="0" borderId="2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22" xfId="0" applyFont="1" applyBorder="1" applyAlignment="1" applyProtection="1">
      <alignment vertical="center"/>
      <protection/>
    </xf>
    <xf numFmtId="0" fontId="59" fillId="0" borderId="1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vertical="center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166" fontId="59" fillId="0" borderId="0" xfId="0" applyNumberFormat="1" applyFont="1" applyBorder="1" applyAlignment="1" applyProtection="1">
      <alignment vertical="center"/>
      <protection/>
    </xf>
    <xf numFmtId="166" fontId="59" fillId="0" borderId="11" xfId="0" applyNumberFormat="1" applyFont="1" applyBorder="1" applyAlignment="1" applyProtection="1">
      <alignment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9" fillId="0" borderId="23" xfId="0" applyFont="1" applyBorder="1" applyAlignment="1" applyProtection="1">
      <alignment/>
      <protection/>
    </xf>
    <xf numFmtId="0" fontId="59" fillId="0" borderId="10" xfId="0" applyFont="1" applyBorder="1" applyAlignment="1" applyProtection="1">
      <alignment/>
      <protection/>
    </xf>
    <xf numFmtId="166" fontId="59" fillId="0" borderId="11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60" fillId="0" borderId="1" xfId="0" applyFont="1" applyBorder="1" applyAlignment="1" applyProtection="1">
      <alignment horizontal="left"/>
      <protection/>
    </xf>
    <xf numFmtId="0" fontId="58" fillId="0" borderId="27" xfId="0" applyFont="1" applyBorder="1" applyAlignment="1" applyProtection="1">
      <alignment horizontal="left" vertical="center"/>
      <protection/>
    </xf>
    <xf numFmtId="0" fontId="40" fillId="0" borderId="1" xfId="0" applyFont="1" applyBorder="1" applyAlignment="1" applyProtection="1">
      <alignment/>
      <protection/>
    </xf>
    <xf numFmtId="0" fontId="59" fillId="0" borderId="32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/>
      <protection/>
    </xf>
    <xf numFmtId="0" fontId="68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58" fillId="0" borderId="22" xfId="0" applyFont="1" applyBorder="1" applyAlignment="1" applyProtection="1">
      <alignment/>
      <protection/>
    </xf>
    <xf numFmtId="0" fontId="58" fillId="0" borderId="23" xfId="0" applyFont="1" applyBorder="1" applyAlignment="1" applyProtection="1">
      <alignment/>
      <protection/>
    </xf>
    <xf numFmtId="0" fontId="58" fillId="0" borderId="32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/>
      <protection/>
    </xf>
    <xf numFmtId="0" fontId="47" fillId="0" borderId="23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/>
      <protection/>
    </xf>
    <xf numFmtId="0" fontId="40" fillId="0" borderId="22" xfId="0" applyFont="1" applyBorder="1" applyAlignment="1" applyProtection="1">
      <alignment/>
      <protection/>
    </xf>
    <xf numFmtId="0" fontId="40" fillId="0" borderId="23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166" fontId="40" fillId="0" borderId="0" xfId="0" applyNumberFormat="1" applyFont="1" applyBorder="1" applyAlignment="1" applyProtection="1">
      <alignment/>
      <protection/>
    </xf>
    <xf numFmtId="166" fontId="40" fillId="0" borderId="11" xfId="0" applyNumberFormat="1" applyFont="1" applyBorder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/>
      <protection/>
    </xf>
    <xf numFmtId="4" fontId="40" fillId="0" borderId="0" xfId="0" applyNumberFormat="1" applyFont="1" applyAlignment="1" applyProtection="1">
      <alignment vertic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3" xfId="0" applyFont="1" applyBorder="1" applyAlignment="1" applyProtection="1">
      <alignment horizontal="center" vertical="center"/>
      <protection/>
    </xf>
    <xf numFmtId="166" fontId="47" fillId="0" borderId="3" xfId="0" applyNumberFormat="1" applyFont="1" applyBorder="1" applyAlignment="1" applyProtection="1">
      <alignment vertical="center"/>
      <protection/>
    </xf>
    <xf numFmtId="166" fontId="47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47" fillId="0" borderId="0" xfId="0" applyFont="1" applyBorder="1" applyProtection="1">
      <protection/>
    </xf>
    <xf numFmtId="0" fontId="47" fillId="0" borderId="0" xfId="0" applyFont="1" applyBorder="1" applyProtection="1">
      <protection/>
    </xf>
    <xf numFmtId="0" fontId="51" fillId="0" borderId="0" xfId="0" applyFont="1" applyBorder="1" applyProtection="1">
      <protection/>
    </xf>
    <xf numFmtId="0" fontId="51" fillId="0" borderId="0" xfId="0" applyFont="1" applyProtection="1">
      <protection/>
    </xf>
    <xf numFmtId="0" fontId="47" fillId="0" borderId="0" xfId="0" applyFont="1" applyProtection="1"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49" fontId="29" fillId="0" borderId="0" xfId="0" applyNumberFormat="1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4" fontId="8" fillId="0" borderId="0" xfId="2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17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horizontal="righ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0" fontId="3" fillId="3" borderId="33" xfId="0" applyFont="1" applyFill="1" applyBorder="1" applyAlignment="1" applyProtection="1">
      <alignment horizontal="left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0" borderId="8" xfId="0" applyFont="1" applyBorder="1" applyAlignment="1" applyProtection="1">
      <alignment horizontal="center" vertical="center"/>
      <protection/>
    </xf>
    <xf numFmtId="0" fontId="22" fillId="0" borderId="5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4" fillId="3" borderId="6" xfId="0" applyNumberFormat="1" applyFont="1" applyFill="1" applyBorder="1" applyAlignment="1" applyProtection="1">
      <alignment vertical="center"/>
      <protection/>
    </xf>
    <xf numFmtId="0" fontId="0" fillId="3" borderId="33" xfId="0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4" fontId="23" fillId="3" borderId="0" xfId="0" applyNumberFormat="1" applyFont="1" applyFill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4" fillId="3" borderId="6" xfId="0" applyNumberFormat="1" applyFont="1" applyFill="1" applyBorder="1" applyAlignment="1" applyProtection="1">
      <alignment vertical="center"/>
      <protection/>
    </xf>
    <xf numFmtId="4" fontId="4" fillId="3" borderId="33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3" fillId="3" borderId="0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34" fillId="0" borderId="29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31" fillId="3" borderId="17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4" fontId="23" fillId="0" borderId="5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 vertical="center"/>
      <protection/>
    </xf>
    <xf numFmtId="0" fontId="67" fillId="0" borderId="1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5" borderId="34" xfId="0" applyFont="1" applyFill="1" applyBorder="1" applyAlignment="1" applyProtection="1">
      <alignment horizontal="left" vertical="center" wrapText="1"/>
      <protection/>
    </xf>
    <xf numFmtId="0" fontId="0" fillId="5" borderId="35" xfId="0" applyFont="1" applyFill="1" applyBorder="1" applyAlignment="1" applyProtection="1">
      <alignment horizontal="left" vertical="center" wrapText="1"/>
      <protection/>
    </xf>
    <xf numFmtId="0" fontId="0" fillId="5" borderId="36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67" fillId="5" borderId="34" xfId="0" applyFont="1" applyFill="1" applyBorder="1" applyAlignment="1" applyProtection="1">
      <alignment horizontal="left" vertical="center" wrapText="1"/>
      <protection/>
    </xf>
    <xf numFmtId="0" fontId="67" fillId="5" borderId="35" xfId="0" applyFont="1" applyFill="1" applyBorder="1" applyAlignment="1" applyProtection="1">
      <alignment horizontal="left" vertical="center" wrapText="1"/>
      <protection/>
    </xf>
    <xf numFmtId="0" fontId="67" fillId="5" borderId="36" xfId="0" applyFont="1" applyFill="1" applyBorder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horizontal="left" vertical="center"/>
      <protection/>
    </xf>
    <xf numFmtId="0" fontId="0" fillId="5" borderId="1" xfId="0" applyFont="1" applyFill="1" applyBorder="1" applyAlignment="1" applyProtection="1">
      <alignment horizontal="left" vertical="center" wrapText="1"/>
      <protection/>
    </xf>
    <xf numFmtId="4" fontId="23" fillId="0" borderId="5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4" fontId="4" fillId="3" borderId="33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1" fillId="3" borderId="17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0" fontId="52" fillId="5" borderId="1" xfId="0" applyFont="1" applyFill="1" applyBorder="1" applyAlignment="1" applyProtection="1">
      <alignment horizontal="left" vertical="center" wrapText="1"/>
      <protection/>
    </xf>
    <xf numFmtId="0" fontId="0" fillId="0" borderId="0" xfId="0" applyFont="1" applyProtection="1"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52" fillId="5" borderId="1" xfId="0" applyNumberFormat="1" applyFont="1" applyFill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horizontal="left"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4" fontId="47" fillId="0" borderId="1" xfId="0" applyNumberFormat="1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47" fillId="0" borderId="1" xfId="0" applyFont="1" applyFill="1" applyBorder="1" applyAlignment="1" applyProtection="1">
      <alignment horizontal="left" vertical="center" wrapText="1"/>
      <protection/>
    </xf>
    <xf numFmtId="0" fontId="47" fillId="0" borderId="34" xfId="0" applyFont="1" applyBorder="1" applyAlignment="1" applyProtection="1">
      <alignment horizontal="left" vertical="center" wrapText="1"/>
      <protection/>
    </xf>
    <xf numFmtId="0" fontId="47" fillId="0" borderId="35" xfId="0" applyFont="1" applyBorder="1" applyAlignment="1" applyProtection="1">
      <alignment horizontal="left" vertical="center" wrapText="1"/>
      <protection/>
    </xf>
    <xf numFmtId="0" fontId="47" fillId="0" borderId="36" xfId="0" applyFont="1" applyBorder="1" applyAlignment="1" applyProtection="1">
      <alignment horizontal="left" vertical="center" wrapText="1"/>
      <protection/>
    </xf>
    <xf numFmtId="0" fontId="47" fillId="0" borderId="1" xfId="0" applyFont="1" applyBorder="1" applyAlignment="1" applyProtection="1">
      <alignment horizontal="left" vertical="center" wrapText="1"/>
      <protection/>
    </xf>
    <xf numFmtId="0" fontId="47" fillId="0" borderId="34" xfId="0" applyFont="1" applyFill="1" applyBorder="1" applyAlignment="1" applyProtection="1">
      <alignment horizontal="left" vertical="center" wrapText="1"/>
      <protection/>
    </xf>
    <xf numFmtId="0" fontId="47" fillId="0" borderId="35" xfId="0" applyFont="1" applyFill="1" applyBorder="1" applyAlignment="1" applyProtection="1">
      <alignment horizontal="left" vertical="center" wrapText="1"/>
      <protection/>
    </xf>
    <xf numFmtId="0" fontId="47" fillId="0" borderId="36" xfId="0" applyFont="1" applyFill="1" applyBorder="1" applyAlignment="1" applyProtection="1">
      <alignment horizontal="left" vertical="center" wrapText="1"/>
      <protection/>
    </xf>
    <xf numFmtId="4" fontId="51" fillId="0" borderId="1" xfId="0" applyNumberFormat="1" applyFont="1" applyBorder="1" applyAlignment="1" applyProtection="1">
      <alignment vertical="center"/>
      <protection/>
    </xf>
    <xf numFmtId="4" fontId="67" fillId="0" borderId="1" xfId="0" applyNumberFormat="1" applyFont="1" applyBorder="1" applyAlignment="1" applyProtection="1">
      <alignment vertical="center"/>
      <protection/>
    </xf>
    <xf numFmtId="4" fontId="51" fillId="0" borderId="1" xfId="0" applyNumberFormat="1" applyFont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47" fillId="5" borderId="34" xfId="0" applyFont="1" applyFill="1" applyBorder="1" applyAlignment="1" applyProtection="1">
      <alignment horizontal="left" vertical="center" wrapText="1"/>
      <protection/>
    </xf>
    <xf numFmtId="0" fontId="47" fillId="5" borderId="35" xfId="0" applyFont="1" applyFill="1" applyBorder="1" applyAlignment="1" applyProtection="1">
      <alignment horizontal="left" vertical="center" wrapText="1"/>
      <protection/>
    </xf>
    <xf numFmtId="0" fontId="47" fillId="5" borderId="36" xfId="0" applyFont="1" applyFill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left" vertical="center" wrapText="1"/>
      <protection/>
    </xf>
    <xf numFmtId="0" fontId="40" fillId="0" borderId="35" xfId="0" applyFont="1" applyFill="1" applyBorder="1" applyAlignment="1" applyProtection="1">
      <alignment horizontal="left" vertical="center" wrapText="1"/>
      <protection/>
    </xf>
    <xf numFmtId="0" fontId="40" fillId="0" borderId="36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4" fontId="52" fillId="5" borderId="1" xfId="0" applyNumberFormat="1" applyFont="1" applyFill="1" applyBorder="1" applyAlignment="1" applyProtection="1">
      <alignment vertical="center"/>
      <protection/>
    </xf>
    <xf numFmtId="0" fontId="51" fillId="0" borderId="1" xfId="0" applyFont="1" applyBorder="1" applyAlignment="1" applyProtection="1">
      <alignment horizontal="left" vertical="center" wrapText="1"/>
      <protection/>
    </xf>
    <xf numFmtId="4" fontId="0" fillId="5" borderId="1" xfId="0" applyNumberFormat="1" applyFont="1" applyFill="1" applyBorder="1" applyAlignment="1" applyProtection="1">
      <alignment vertical="center"/>
      <protection/>
    </xf>
    <xf numFmtId="4" fontId="67" fillId="5" borderId="1" xfId="0" applyNumberFormat="1" applyFont="1" applyFill="1" applyBorder="1" applyAlignment="1" applyProtection="1">
      <alignment vertical="center"/>
      <protection/>
    </xf>
    <xf numFmtId="0" fontId="52" fillId="0" borderId="1" xfId="0" applyFont="1" applyBorder="1" applyAlignment="1" applyProtection="1">
      <alignment horizontal="left" vertical="center" wrapText="1"/>
      <protection/>
    </xf>
    <xf numFmtId="0" fontId="68" fillId="0" borderId="34" xfId="0" applyFont="1" applyBorder="1" applyAlignment="1" applyProtection="1">
      <alignment horizontal="left" vertical="center" wrapText="1"/>
      <protection/>
    </xf>
    <xf numFmtId="0" fontId="68" fillId="0" borderId="35" xfId="0" applyFont="1" applyBorder="1" applyAlignment="1" applyProtection="1">
      <alignment horizontal="left" vertical="center" wrapText="1"/>
      <protection/>
    </xf>
    <xf numFmtId="0" fontId="68" fillId="0" borderId="36" xfId="0" applyFont="1" applyBorder="1" applyAlignment="1" applyProtection="1">
      <alignment horizontal="left" vertical="center" wrapText="1"/>
      <protection/>
    </xf>
    <xf numFmtId="0" fontId="47" fillId="0" borderId="34" xfId="0" applyFont="1" applyFill="1" applyBorder="1" applyAlignment="1" applyProtection="1">
      <alignment horizontal="left" vertical="center" wrapText="1"/>
      <protection/>
    </xf>
    <xf numFmtId="0" fontId="47" fillId="0" borderId="35" xfId="0" applyFont="1" applyFill="1" applyBorder="1" applyAlignment="1" applyProtection="1">
      <alignment horizontal="left" vertical="center" wrapText="1"/>
      <protection/>
    </xf>
    <xf numFmtId="0" fontId="47" fillId="0" borderId="36" xfId="0" applyFont="1" applyFill="1" applyBorder="1" applyAlignment="1" applyProtection="1">
      <alignment horizontal="left" vertical="center" wrapText="1"/>
      <protection/>
    </xf>
    <xf numFmtId="4" fontId="47" fillId="0" borderId="1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4" fontId="67" fillId="0" borderId="4" xfId="0" applyNumberFormat="1" applyFont="1" applyBorder="1" applyAlignment="1" applyProtection="1">
      <alignment vertical="center"/>
      <protection/>
    </xf>
    <xf numFmtId="0" fontId="40" fillId="0" borderId="34" xfId="0" applyFont="1" applyBorder="1" applyAlignment="1" applyProtection="1">
      <alignment horizontal="left" vertical="center" wrapText="1"/>
      <protection/>
    </xf>
    <xf numFmtId="0" fontId="40" fillId="0" borderId="35" xfId="0" applyFont="1" applyBorder="1" applyAlignment="1" applyProtection="1">
      <alignment horizontal="left" vertical="center" wrapText="1"/>
      <protection/>
    </xf>
    <xf numFmtId="0" fontId="40" fillId="0" borderId="36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4" fontId="0" fillId="5" borderId="34" xfId="0" applyNumberFormat="1" applyFont="1" applyFill="1" applyBorder="1" applyAlignment="1" applyProtection="1">
      <alignment vertical="center"/>
      <protection/>
    </xf>
    <xf numFmtId="4" fontId="0" fillId="5" borderId="35" xfId="0" applyNumberFormat="1" applyFont="1" applyFill="1" applyBorder="1" applyAlignment="1" applyProtection="1">
      <alignment vertical="center"/>
      <protection/>
    </xf>
    <xf numFmtId="4" fontId="0" fillId="5" borderId="36" xfId="0" applyNumberFormat="1" applyFont="1" applyFill="1" applyBorder="1" applyAlignment="1" applyProtection="1">
      <alignment vertical="center"/>
      <protection/>
    </xf>
    <xf numFmtId="0" fontId="51" fillId="0" borderId="1" xfId="0" applyFont="1" applyFill="1" applyBorder="1" applyAlignment="1" applyProtection="1">
      <alignment horizontal="left" vertical="center" wrapText="1"/>
      <protection/>
    </xf>
    <xf numFmtId="0" fontId="57" fillId="0" borderId="34" xfId="0" applyFont="1" applyBorder="1" applyAlignment="1" applyProtection="1">
      <alignment horizontal="left" vertical="center" wrapText="1"/>
      <protection/>
    </xf>
    <xf numFmtId="0" fontId="57" fillId="0" borderId="35" xfId="0" applyFont="1" applyBorder="1" applyAlignment="1" applyProtection="1">
      <alignment horizontal="left" vertical="center" wrapText="1"/>
      <protection/>
    </xf>
    <xf numFmtId="0" fontId="57" fillId="0" borderId="36" xfId="0" applyFont="1" applyBorder="1" applyAlignment="1" applyProtection="1">
      <alignment horizontal="left" vertical="center" wrapText="1"/>
      <protection/>
    </xf>
    <xf numFmtId="4" fontId="57" fillId="0" borderId="1" xfId="0" applyNumberFormat="1" applyFont="1" applyBorder="1" applyAlignment="1" applyProtection="1">
      <alignment vertical="center"/>
      <protection/>
    </xf>
    <xf numFmtId="0" fontId="52" fillId="0" borderId="34" xfId="0" applyFont="1" applyBorder="1" applyAlignment="1" applyProtection="1">
      <alignment horizontal="left" vertical="center" wrapText="1"/>
      <protection/>
    </xf>
    <xf numFmtId="0" fontId="52" fillId="0" borderId="35" xfId="0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left" vertical="center" wrapText="1"/>
      <protection/>
    </xf>
    <xf numFmtId="4" fontId="52" fillId="0" borderId="1" xfId="0" applyNumberFormat="1" applyFont="1" applyBorder="1" applyAlignment="1" applyProtection="1">
      <alignment vertical="center"/>
      <protection/>
    </xf>
    <xf numFmtId="0" fontId="67" fillId="0" borderId="1" xfId="0" applyFont="1" applyBorder="1" applyAlignment="1" applyProtection="1">
      <alignment horizontal="left" vertical="center"/>
      <protection/>
    </xf>
    <xf numFmtId="0" fontId="40" fillId="0" borderId="1" xfId="0" applyFont="1" applyBorder="1" applyAlignment="1" applyProtection="1">
      <alignment horizontal="left" vertical="center" wrapText="1"/>
      <protection/>
    </xf>
    <xf numFmtId="4" fontId="40" fillId="0" borderId="1" xfId="0" applyNumberFormat="1" applyFont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 vertical="center"/>
      <protection/>
    </xf>
    <xf numFmtId="0" fontId="47" fillId="0" borderId="34" xfId="0" applyFont="1" applyBorder="1" applyAlignment="1" applyProtection="1">
      <alignment horizontal="left" vertical="center" wrapText="1"/>
      <protection/>
    </xf>
    <xf numFmtId="0" fontId="47" fillId="0" borderId="35" xfId="0" applyFont="1" applyBorder="1" applyAlignment="1" applyProtection="1">
      <alignment horizontal="left" vertical="center" wrapText="1"/>
      <protection/>
    </xf>
    <xf numFmtId="0" fontId="47" fillId="0" borderId="36" xfId="0" applyFont="1" applyBorder="1" applyAlignment="1" applyProtection="1">
      <alignment horizontal="left" vertical="center" wrapText="1"/>
      <protection/>
    </xf>
    <xf numFmtId="0" fontId="0" fillId="5" borderId="34" xfId="0" applyFont="1" applyFill="1" applyBorder="1" applyAlignment="1" applyProtection="1">
      <alignment horizontal="left" vertical="center" wrapText="1"/>
      <protection/>
    </xf>
    <xf numFmtId="0" fontId="0" fillId="5" borderId="35" xfId="0" applyFont="1" applyFill="1" applyBorder="1" applyAlignment="1" applyProtection="1">
      <alignment horizontal="left" vertical="center" wrapText="1"/>
      <protection/>
    </xf>
    <xf numFmtId="0" fontId="0" fillId="5" borderId="36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Protection="1"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68" fillId="0" borderId="1" xfId="0" applyFont="1" applyFill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7" fillId="0" borderId="1" xfId="0" applyFont="1" applyBorder="1" applyAlignment="1" applyProtection="1">
      <alignment horizontal="left" vertical="center"/>
      <protection/>
    </xf>
    <xf numFmtId="4" fontId="63" fillId="0" borderId="0" xfId="0" applyNumberFormat="1" applyFont="1" applyBorder="1" applyAlignment="1" applyProtection="1">
      <alignment/>
      <protection/>
    </xf>
    <xf numFmtId="4" fontId="63" fillId="0" borderId="0" xfId="0" applyNumberFormat="1" applyFont="1" applyBorder="1" applyAlignment="1" applyProtection="1">
      <alignment vertical="center"/>
      <protection/>
    </xf>
    <xf numFmtId="4" fontId="68" fillId="0" borderId="1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7" fillId="0" borderId="1" xfId="0" applyFont="1" applyBorder="1" applyAlignment="1" applyProtection="1">
      <alignment horizontal="left" vertical="center" wrapText="1"/>
      <protection/>
    </xf>
    <xf numFmtId="0" fontId="57" fillId="0" borderId="1" xfId="0" applyFont="1" applyBorder="1" applyAlignment="1" applyProtection="1">
      <alignment horizontal="left" vertical="center"/>
      <protection/>
    </xf>
    <xf numFmtId="0" fontId="68" fillId="0" borderId="1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47" fillId="0" borderId="34" xfId="0" applyFont="1" applyBorder="1" applyAlignment="1" applyProtection="1">
      <alignment vertical="center" wrapText="1"/>
      <protection/>
    </xf>
    <xf numFmtId="0" fontId="47" fillId="0" borderId="35" xfId="0" applyFont="1" applyBorder="1" applyAlignment="1" applyProtection="1">
      <alignment vertical="center" wrapText="1"/>
      <protection/>
    </xf>
    <xf numFmtId="0" fontId="47" fillId="0" borderId="36" xfId="0" applyFont="1" applyBorder="1" applyAlignment="1" applyProtection="1">
      <alignment vertical="center" wrapText="1"/>
      <protection/>
    </xf>
    <xf numFmtId="4" fontId="68" fillId="0" borderId="1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4" fontId="0" fillId="0" borderId="2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horizontal="right" vertical="center"/>
      <protection/>
    </xf>
    <xf numFmtId="4" fontId="58" fillId="0" borderId="1" xfId="0" applyNumberFormat="1" applyFont="1" applyBorder="1" applyAlignment="1" applyProtection="1">
      <alignment horizontal="right" vertical="center"/>
      <protection/>
    </xf>
    <xf numFmtId="4" fontId="67" fillId="0" borderId="1" xfId="0" applyNumberFormat="1" applyFont="1" applyBorder="1" applyAlignment="1" applyProtection="1">
      <alignment horizontal="right" vertical="center"/>
      <protection/>
    </xf>
    <xf numFmtId="4" fontId="0" fillId="0" borderId="34" xfId="0" applyNumberFormat="1" applyFont="1" applyBorder="1" applyAlignment="1" applyProtection="1">
      <alignment horizontal="right" vertical="center"/>
      <protection/>
    </xf>
    <xf numFmtId="4" fontId="0" fillId="0" borderId="35" xfId="0" applyNumberFormat="1" applyFont="1" applyBorder="1" applyAlignment="1" applyProtection="1">
      <alignment horizontal="right" vertical="center"/>
      <protection/>
    </xf>
    <xf numFmtId="4" fontId="0" fillId="0" borderId="36" xfId="0" applyNumberFormat="1" applyFont="1" applyBorder="1" applyAlignment="1" applyProtection="1">
      <alignment horizontal="right" vertical="center"/>
      <protection/>
    </xf>
    <xf numFmtId="0" fontId="58" fillId="0" borderId="1" xfId="0" applyFont="1" applyFill="1" applyBorder="1" applyAlignment="1" applyProtection="1">
      <alignment horizontal="left" vertical="center" wrapText="1"/>
      <protection/>
    </xf>
    <xf numFmtId="0" fontId="58" fillId="0" borderId="34" xfId="0" applyFont="1" applyFill="1" applyBorder="1" applyAlignment="1" applyProtection="1">
      <alignment horizontal="left" vertical="center" wrapText="1"/>
      <protection/>
    </xf>
    <xf numFmtId="0" fontId="58" fillId="0" borderId="35" xfId="0" applyFont="1" applyFill="1" applyBorder="1" applyAlignment="1" applyProtection="1">
      <alignment horizontal="left" vertical="center" wrapText="1"/>
      <protection/>
    </xf>
    <xf numFmtId="0" fontId="58" fillId="0" borderId="36" xfId="0" applyFont="1" applyFill="1" applyBorder="1" applyAlignment="1" applyProtection="1">
      <alignment horizontal="left" vertical="center" wrapText="1"/>
      <protection/>
    </xf>
    <xf numFmtId="0" fontId="59" fillId="0" borderId="34" xfId="0" applyFont="1" applyFill="1" applyBorder="1" applyAlignment="1" applyProtection="1">
      <alignment horizontal="left" vertical="center" wrapText="1"/>
      <protection/>
    </xf>
    <xf numFmtId="0" fontId="59" fillId="0" borderId="35" xfId="0" applyFont="1" applyFill="1" applyBorder="1" applyAlignment="1" applyProtection="1">
      <alignment horizontal="left" vertical="center" wrapText="1"/>
      <protection/>
    </xf>
    <xf numFmtId="0" fontId="59" fillId="0" borderId="36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4" fontId="58" fillId="0" borderId="34" xfId="0" applyNumberFormat="1" applyFont="1" applyBorder="1" applyAlignment="1" applyProtection="1">
      <alignment horizontal="right" vertical="center"/>
      <protection/>
    </xf>
    <xf numFmtId="4" fontId="58" fillId="0" borderId="35" xfId="0" applyNumberFormat="1" applyFont="1" applyBorder="1" applyAlignment="1" applyProtection="1">
      <alignment horizontal="right" vertical="center"/>
      <protection/>
    </xf>
    <xf numFmtId="4" fontId="58" fillId="0" borderId="36" xfId="0" applyNumberFormat="1" applyFont="1" applyBorder="1" applyAlignment="1" applyProtection="1">
      <alignment horizontal="right" vertical="center"/>
      <protection/>
    </xf>
    <xf numFmtId="0" fontId="59" fillId="0" borderId="1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left" vertical="center" wrapText="1"/>
      <protection/>
    </xf>
    <xf numFmtId="0" fontId="67" fillId="0" borderId="36" xfId="0" applyFont="1" applyFill="1" applyBorder="1" applyAlignment="1" applyProtection="1">
      <alignment horizontal="left" vertical="center" wrapText="1"/>
      <protection/>
    </xf>
    <xf numFmtId="4" fontId="67" fillId="0" borderId="2" xfId="0" applyNumberFormat="1" applyFont="1" applyBorder="1" applyAlignment="1" applyProtection="1">
      <alignment vertical="center"/>
      <protection/>
    </xf>
    <xf numFmtId="4" fontId="59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0" fillId="0" borderId="1" xfId="0" applyFont="1" applyFill="1" applyBorder="1" applyAlignment="1" applyProtection="1">
      <alignment horizontal="left" vertical="center" wrapText="1"/>
      <protection/>
    </xf>
    <xf numFmtId="0" fontId="40" fillId="0" borderId="1" xfId="0" applyFont="1" applyFill="1" applyBorder="1" applyAlignment="1" applyProtection="1">
      <alignment horizontal="left" vertical="center" wrapText="1"/>
      <protection/>
    </xf>
    <xf numFmtId="4" fontId="40" fillId="0" borderId="1" xfId="0" applyNumberFormat="1" applyFont="1" applyBorder="1" applyAlignment="1" applyProtection="1">
      <alignment vertical="center"/>
      <protection/>
    </xf>
    <xf numFmtId="4" fontId="58" fillId="0" borderId="1" xfId="0" applyNumberFormat="1" applyFont="1" applyBorder="1" applyAlignment="1" applyProtection="1">
      <alignment vertical="center"/>
      <protection/>
    </xf>
    <xf numFmtId="0" fontId="57" fillId="0" borderId="1" xfId="0" applyFont="1" applyFill="1" applyBorder="1" applyAlignment="1" applyProtection="1">
      <alignment horizontal="left" vertical="center" wrapText="1"/>
      <protection/>
    </xf>
    <xf numFmtId="4" fontId="57" fillId="0" borderId="1" xfId="0" applyNumberFormat="1" applyFont="1" applyBorder="1" applyAlignment="1" applyProtection="1">
      <alignment vertical="center"/>
      <protection/>
    </xf>
    <xf numFmtId="0" fontId="57" fillId="0" borderId="34" xfId="0" applyFont="1" applyFill="1" applyBorder="1" applyAlignment="1" applyProtection="1">
      <alignment horizontal="left" vertical="center" wrapText="1"/>
      <protection/>
    </xf>
    <xf numFmtId="0" fontId="57" fillId="0" borderId="35" xfId="0" applyFont="1" applyFill="1" applyBorder="1" applyAlignment="1" applyProtection="1">
      <alignment horizontal="left" vertical="center" wrapText="1"/>
      <protection/>
    </xf>
    <xf numFmtId="0" fontId="57" fillId="0" borderId="36" xfId="0" applyFont="1" applyFill="1" applyBorder="1" applyAlignment="1" applyProtection="1">
      <alignment horizontal="left" vertical="center" wrapText="1"/>
      <protection/>
    </xf>
    <xf numFmtId="0" fontId="59" fillId="0" borderId="1" xfId="0" applyFont="1" applyBorder="1" applyAlignment="1" applyProtection="1">
      <alignment horizontal="left" vertical="center" wrapText="1"/>
      <protection/>
    </xf>
    <xf numFmtId="0" fontId="58" fillId="0" borderId="1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7" fillId="0" borderId="1" xfId="0" applyFont="1" applyFill="1" applyBorder="1" applyAlignment="1" applyProtection="1">
      <alignment horizontal="left" vertical="center" wrapText="1"/>
      <protection/>
    </xf>
    <xf numFmtId="4" fontId="47" fillId="0" borderId="1" xfId="0" applyNumberFormat="1" applyFont="1" applyBorder="1" applyAlignment="1" applyProtection="1">
      <alignment vertical="center"/>
      <protection/>
    </xf>
    <xf numFmtId="4" fontId="47" fillId="0" borderId="34" xfId="0" applyNumberFormat="1" applyFont="1" applyBorder="1" applyAlignment="1" applyProtection="1">
      <alignment horizontal="center" vertical="center"/>
      <protection/>
    </xf>
    <xf numFmtId="4" fontId="47" fillId="0" borderId="35" xfId="0" applyNumberFormat="1" applyFont="1" applyBorder="1" applyAlignment="1" applyProtection="1">
      <alignment horizontal="center" vertical="center"/>
      <protection/>
    </xf>
    <xf numFmtId="4" fontId="47" fillId="0" borderId="36" xfId="0" applyNumberFormat="1" applyFont="1" applyBorder="1" applyAlignment="1" applyProtection="1">
      <alignment horizontal="center" vertical="center"/>
      <protection/>
    </xf>
    <xf numFmtId="0" fontId="47" fillId="0" borderId="1" xfId="0" applyFont="1" applyBorder="1" applyAlignment="1" applyProtection="1">
      <alignment vertical="center" wrapText="1"/>
      <protection/>
    </xf>
    <xf numFmtId="0" fontId="47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 vertical="center"/>
      <protection/>
    </xf>
    <xf numFmtId="0" fontId="51" fillId="0" borderId="1" xfId="0" applyFont="1" applyBorder="1" applyAlignment="1" applyProtection="1">
      <alignment vertical="center"/>
      <protection/>
    </xf>
    <xf numFmtId="0" fontId="40" fillId="0" borderId="1" xfId="0" applyFont="1" applyBorder="1" applyAlignment="1" applyProtection="1">
      <alignment horizontal="left" vertical="center" wrapText="1"/>
      <protection/>
    </xf>
    <xf numFmtId="0" fontId="40" fillId="0" borderId="1" xfId="0" applyFont="1" applyBorder="1" applyAlignment="1" applyProtection="1">
      <alignment vertical="center" wrapText="1"/>
      <protection/>
    </xf>
    <xf numFmtId="0" fontId="40" fillId="0" borderId="1" xfId="0" applyFont="1" applyBorder="1" applyAlignment="1" applyProtection="1">
      <alignment vertical="center"/>
      <protection/>
    </xf>
    <xf numFmtId="0" fontId="47" fillId="0" borderId="34" xfId="0" applyFont="1" applyBorder="1" applyAlignment="1" applyProtection="1">
      <alignment horizontal="left"/>
      <protection/>
    </xf>
    <xf numFmtId="0" fontId="47" fillId="0" borderId="35" xfId="0" applyFont="1" applyBorder="1" applyAlignment="1" applyProtection="1">
      <alignment horizontal="left"/>
      <protection/>
    </xf>
    <xf numFmtId="0" fontId="47" fillId="0" borderId="36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4" fontId="47" fillId="0" borderId="0" xfId="0" applyNumberFormat="1" applyFont="1" applyBorder="1" applyAlignment="1" applyProtection="1">
      <alignment vertical="center"/>
      <protection/>
    </xf>
    <xf numFmtId="4" fontId="47" fillId="0" borderId="0" xfId="0" applyNumberFormat="1" applyFont="1" applyBorder="1" applyAlignment="1" applyProtection="1">
      <alignment vertical="center"/>
      <protection/>
    </xf>
    <xf numFmtId="0" fontId="71" fillId="0" borderId="1" xfId="0" applyFont="1" applyBorder="1" applyAlignment="1" applyProtection="1">
      <alignment vertical="center" wrapText="1"/>
      <protection/>
    </xf>
    <xf numFmtId="0" fontId="52" fillId="0" borderId="1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1" xfId="0" applyFont="1" applyBorder="1" applyAlignment="1" applyProtection="1">
      <alignment vertical="center"/>
      <protection/>
    </xf>
    <xf numFmtId="0" fontId="52" fillId="0" borderId="1" xfId="0" applyFont="1" applyFill="1" applyBorder="1" applyAlignment="1" applyProtection="1">
      <alignment horizontal="center" vertical="center" wrapText="1"/>
      <protection/>
    </xf>
    <xf numFmtId="0" fontId="72" fillId="0" borderId="0" xfId="0" applyFont="1" applyBorder="1" applyAlignment="1" applyProtection="1">
      <alignment horizontal="left"/>
      <protection/>
    </xf>
    <xf numFmtId="4" fontId="52" fillId="0" borderId="1" xfId="0" applyNumberFormat="1" applyFont="1" applyBorder="1" applyAlignment="1" applyProtection="1">
      <alignment vertical="center"/>
      <protection/>
    </xf>
    <xf numFmtId="0" fontId="52" fillId="0" borderId="26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166" fontId="52" fillId="0" borderId="0" xfId="0" applyNumberFormat="1" applyFont="1" applyBorder="1" applyAlignment="1" applyProtection="1">
      <alignment vertical="center"/>
      <protection/>
    </xf>
    <xf numFmtId="166" fontId="52" fillId="0" borderId="11" xfId="0" applyNumberFormat="1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left" vertical="center"/>
      <protection/>
    </xf>
    <xf numFmtId="4" fontId="52" fillId="0" borderId="0" xfId="0" applyNumberFormat="1" applyFont="1" applyAlignment="1" applyProtection="1">
      <alignment vertical="center"/>
      <protection/>
    </xf>
    <xf numFmtId="0" fontId="52" fillId="0" borderId="1" xfId="0" applyFont="1" applyBorder="1" applyAlignment="1" applyProtection="1">
      <alignment horizontal="center" vertical="center"/>
      <protection/>
    </xf>
    <xf numFmtId="167" fontId="52" fillId="0" borderId="1" xfId="0" applyNumberFormat="1" applyFont="1" applyBorder="1" applyAlignment="1" applyProtection="1">
      <alignment vertical="center"/>
      <protection/>
    </xf>
    <xf numFmtId="0" fontId="52" fillId="0" borderId="34" xfId="0" applyFont="1" applyFill="1" applyBorder="1" applyAlignment="1" applyProtection="1">
      <alignment horizontal="left" vertical="center" wrapText="1"/>
      <protection/>
    </xf>
    <xf numFmtId="0" fontId="52" fillId="0" borderId="35" xfId="0" applyFont="1" applyFill="1" applyBorder="1" applyAlignment="1" applyProtection="1">
      <alignment horizontal="left" vertical="center" wrapText="1"/>
      <protection/>
    </xf>
    <xf numFmtId="0" fontId="52" fillId="0" borderId="36" xfId="0" applyFont="1" applyFill="1" applyBorder="1" applyAlignment="1" applyProtection="1">
      <alignment horizontal="left" vertical="center" wrapText="1"/>
      <protection/>
    </xf>
    <xf numFmtId="0" fontId="52" fillId="0" borderId="22" xfId="0" applyFont="1" applyBorder="1" applyAlignment="1" applyProtection="1">
      <alignment vertical="center"/>
      <protection/>
    </xf>
    <xf numFmtId="0" fontId="52" fillId="0" borderId="1" xfId="0" applyFont="1" applyBorder="1" applyAlignment="1" applyProtection="1">
      <alignment/>
      <protection/>
    </xf>
    <xf numFmtId="167" fontId="52" fillId="0" borderId="1" xfId="0" applyNumberFormat="1" applyFont="1" applyFill="1" applyBorder="1" applyAlignment="1" applyProtection="1">
      <alignment vertical="center"/>
      <protection/>
    </xf>
    <xf numFmtId="4" fontId="52" fillId="0" borderId="1" xfId="0" applyNumberFormat="1" applyFont="1" applyBorder="1" applyAlignment="1" applyProtection="1">
      <alignment horizontal="right" vertical="center"/>
      <protection/>
    </xf>
    <xf numFmtId="0" fontId="52" fillId="0" borderId="23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166" fontId="52" fillId="0" borderId="0" xfId="0" applyNumberFormat="1" applyFont="1" applyBorder="1" applyAlignment="1" applyProtection="1">
      <alignment/>
      <protection/>
    </xf>
    <xf numFmtId="166" fontId="52" fillId="0" borderId="11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  <cellStyle name="Procenta" xfId="22"/>
    <cellStyle name="Měna 2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1%20-%20Stavebn&#237;%20&#269;&#225;st\Rozpo&#269;et-bourac&#237;%20pr&#225;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3%20-%20KANALIAZCE\Rozpo&#269;et-tabulka%20kanaliza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2%20-%20VODA\Rozpo&#269;et%20-%20vod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4%20-%20Topeln&#237;\Rozpo&#269;et%20-%20topen&#237;.xlsb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8%20-%20PLYN%20-%20FIN\Rozpo&#269;et%20-%20ply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BOURACÍ PRÁCE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1 - ZTI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1 - ZTI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5 - TOPENÍ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5 - PLYN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06"/>
  <sheetViews>
    <sheetView showGridLines="0" tabSelected="1" view="pageBreakPreview" zoomScaleSheetLayoutView="100" workbookViewId="0" topLeftCell="A1">
      <pane ySplit="1" topLeftCell="A84" activePane="bottomLeft" state="frozen"/>
      <selection pane="bottomLeft" activeCell="K96" sqref="K96:AF96"/>
    </sheetView>
  </sheetViews>
  <sheetFormatPr defaultColWidth="9.33203125" defaultRowHeight="13.5"/>
  <cols>
    <col min="1" max="1" width="8.33203125" style="223" customWidth="1"/>
    <col min="2" max="2" width="1.66796875" style="223" customWidth="1"/>
    <col min="3" max="3" width="4.16015625" style="223" customWidth="1"/>
    <col min="4" max="33" width="2.5" style="223" customWidth="1"/>
    <col min="34" max="34" width="3.33203125" style="223" customWidth="1"/>
    <col min="35" max="37" width="2.5" style="223" customWidth="1"/>
    <col min="38" max="38" width="8.33203125" style="223" customWidth="1"/>
    <col min="39" max="39" width="3.33203125" style="223" customWidth="1"/>
    <col min="40" max="40" width="13.33203125" style="223" customWidth="1"/>
    <col min="41" max="41" width="7.5" style="223" customWidth="1"/>
    <col min="42" max="42" width="4.16015625" style="223" customWidth="1"/>
    <col min="43" max="43" width="1.66796875" style="223" customWidth="1"/>
    <col min="44" max="44" width="4.5" style="223" customWidth="1"/>
    <col min="45" max="46" width="25.83203125" style="223" hidden="1" customWidth="1"/>
    <col min="47" max="47" width="25" style="223" hidden="1" customWidth="1"/>
    <col min="48" max="52" width="21.66015625" style="223" hidden="1" customWidth="1"/>
    <col min="53" max="53" width="19.16015625" style="223" hidden="1" customWidth="1"/>
    <col min="54" max="54" width="25" style="223" hidden="1" customWidth="1"/>
    <col min="55" max="56" width="19.16015625" style="223" hidden="1" customWidth="1"/>
    <col min="57" max="57" width="66.5" style="223" hidden="1" customWidth="1"/>
    <col min="58" max="58" width="26.33203125" style="223" customWidth="1"/>
    <col min="59" max="59" width="19.5" style="223" bestFit="1" customWidth="1"/>
    <col min="60" max="64" width="9.33203125" style="223" hidden="1" customWidth="1"/>
    <col min="65" max="65" width="27.16015625" style="223" customWidth="1"/>
    <col min="66" max="70" width="9.33203125" style="223" customWidth="1"/>
    <col min="71" max="89" width="9.33203125" style="223" hidden="1" customWidth="1"/>
    <col min="90" max="16384" width="9.33203125" style="223" customWidth="1"/>
  </cols>
  <sheetData>
    <row r="1" spans="1:73" ht="21.4" customHeight="1">
      <c r="A1" s="1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4</v>
      </c>
      <c r="BB1" s="1" t="s">
        <v>5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239" t="s">
        <v>6</v>
      </c>
      <c r="BU1" s="239" t="s">
        <v>6</v>
      </c>
    </row>
    <row r="2" spans="3:72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/>
      <c r="AM2" s="880"/>
      <c r="AN2" s="880"/>
      <c r="AO2" s="880"/>
      <c r="AP2" s="880"/>
      <c r="AR2" s="899" t="s">
        <v>8</v>
      </c>
      <c r="AS2" s="900"/>
      <c r="AT2" s="900"/>
      <c r="AU2" s="900"/>
      <c r="AV2" s="900"/>
      <c r="AW2" s="900"/>
      <c r="AX2" s="900"/>
      <c r="AY2" s="900"/>
      <c r="AZ2" s="900"/>
      <c r="BA2" s="900"/>
      <c r="BB2" s="900"/>
      <c r="BC2" s="900"/>
      <c r="BD2" s="900"/>
      <c r="BE2" s="900"/>
      <c r="BS2" s="240" t="s">
        <v>9</v>
      </c>
      <c r="BT2" s="240" t="s">
        <v>10</v>
      </c>
    </row>
    <row r="3" spans="2:72" ht="6.95" customHeigh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3"/>
      <c r="BS3" s="240" t="s">
        <v>9</v>
      </c>
      <c r="BT3" s="240" t="s">
        <v>11</v>
      </c>
    </row>
    <row r="4" spans="2:71" ht="36.95" customHeight="1">
      <c r="B4" s="244"/>
      <c r="C4" s="881" t="s">
        <v>12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  <c r="X4" s="882"/>
      <c r="Y4" s="882"/>
      <c r="Z4" s="882"/>
      <c r="AA4" s="882"/>
      <c r="AB4" s="882"/>
      <c r="AC4" s="882"/>
      <c r="AD4" s="882"/>
      <c r="AE4" s="882"/>
      <c r="AF4" s="882"/>
      <c r="AG4" s="882"/>
      <c r="AH4" s="882"/>
      <c r="AI4" s="882"/>
      <c r="AJ4" s="882"/>
      <c r="AK4" s="882"/>
      <c r="AL4" s="882"/>
      <c r="AM4" s="882"/>
      <c r="AN4" s="882"/>
      <c r="AO4" s="882"/>
      <c r="AP4" s="882"/>
      <c r="AQ4" s="245"/>
      <c r="AS4" s="246" t="s">
        <v>13</v>
      </c>
      <c r="BS4" s="240" t="s">
        <v>14</v>
      </c>
    </row>
    <row r="5" spans="2:71" ht="14.45" customHeight="1">
      <c r="B5" s="244"/>
      <c r="C5" s="215"/>
      <c r="D5" s="222"/>
      <c r="E5" s="215"/>
      <c r="F5" s="215"/>
      <c r="G5" s="215"/>
      <c r="H5" s="215"/>
      <c r="I5" s="215"/>
      <c r="J5" s="215"/>
      <c r="K5" s="883"/>
      <c r="L5" s="884"/>
      <c r="M5" s="884"/>
      <c r="N5" s="884"/>
      <c r="O5" s="884"/>
      <c r="P5" s="884"/>
      <c r="Q5" s="884"/>
      <c r="R5" s="884"/>
      <c r="S5" s="884"/>
      <c r="T5" s="884"/>
      <c r="U5" s="884"/>
      <c r="V5" s="884"/>
      <c r="W5" s="884"/>
      <c r="X5" s="884"/>
      <c r="Y5" s="884"/>
      <c r="Z5" s="884"/>
      <c r="AA5" s="884"/>
      <c r="AB5" s="884"/>
      <c r="AC5" s="884"/>
      <c r="AD5" s="884"/>
      <c r="AE5" s="884"/>
      <c r="AF5" s="884"/>
      <c r="AG5" s="884"/>
      <c r="AH5" s="884"/>
      <c r="AI5" s="884"/>
      <c r="AJ5" s="884"/>
      <c r="AK5" s="884"/>
      <c r="AL5" s="884"/>
      <c r="AM5" s="884"/>
      <c r="AN5" s="884"/>
      <c r="AO5" s="884"/>
      <c r="AP5" s="215"/>
      <c r="AQ5" s="245"/>
      <c r="BS5" s="240" t="s">
        <v>9</v>
      </c>
    </row>
    <row r="6" spans="2:71" ht="36.95" customHeight="1">
      <c r="B6" s="244"/>
      <c r="C6" s="215"/>
      <c r="D6" s="159" t="s">
        <v>15</v>
      </c>
      <c r="E6" s="215"/>
      <c r="F6" s="215"/>
      <c r="G6" s="215"/>
      <c r="H6" s="215"/>
      <c r="I6" s="215"/>
      <c r="K6" s="224" t="s">
        <v>281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15"/>
      <c r="AO6" s="215"/>
      <c r="AP6" s="215"/>
      <c r="AQ6" s="245"/>
      <c r="BS6" s="240" t="s">
        <v>9</v>
      </c>
    </row>
    <row r="7" spans="2:71" ht="14.45" customHeight="1">
      <c r="B7" s="244"/>
      <c r="C7" s="215"/>
      <c r="D7" s="158" t="s">
        <v>16</v>
      </c>
      <c r="E7" s="215"/>
      <c r="F7" s="215"/>
      <c r="G7" s="215"/>
      <c r="H7" s="215"/>
      <c r="I7" s="215"/>
      <c r="J7" s="215"/>
      <c r="K7" s="160" t="s">
        <v>5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158" t="s">
        <v>17</v>
      </c>
      <c r="AL7" s="215"/>
      <c r="AM7" s="215"/>
      <c r="AN7" s="160" t="s">
        <v>5</v>
      </c>
      <c r="AO7" s="215"/>
      <c r="AP7" s="215"/>
      <c r="AQ7" s="245"/>
      <c r="BS7" s="240" t="s">
        <v>9</v>
      </c>
    </row>
    <row r="8" spans="2:71" ht="14.45" customHeight="1">
      <c r="B8" s="244"/>
      <c r="C8" s="215"/>
      <c r="D8" s="158" t="s">
        <v>18</v>
      </c>
      <c r="E8" s="215"/>
      <c r="F8" s="215"/>
      <c r="G8" s="215"/>
      <c r="H8" s="215"/>
      <c r="I8" s="215"/>
      <c r="J8" s="215"/>
      <c r="K8" s="160" t="s">
        <v>282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158" t="s">
        <v>19</v>
      </c>
      <c r="AL8" s="215"/>
      <c r="AM8" s="215"/>
      <c r="AN8" s="887">
        <v>43363</v>
      </c>
      <c r="AO8" s="887"/>
      <c r="AP8" s="215"/>
      <c r="AQ8" s="245"/>
      <c r="BS8" s="240" t="s">
        <v>9</v>
      </c>
    </row>
    <row r="9" spans="2:71" ht="14.45" customHeight="1">
      <c r="B9" s="24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16"/>
      <c r="AP9" s="215"/>
      <c r="AQ9" s="245"/>
      <c r="BS9" s="240" t="s">
        <v>9</v>
      </c>
    </row>
    <row r="10" spans="2:71" ht="21" customHeight="1">
      <c r="B10" s="244"/>
      <c r="C10" s="215"/>
      <c r="D10" s="158" t="s">
        <v>20</v>
      </c>
      <c r="E10" s="215"/>
      <c r="F10" s="215"/>
      <c r="G10" s="215"/>
      <c r="H10" s="215"/>
      <c r="I10" s="215"/>
      <c r="J10" s="215"/>
      <c r="K10" s="889" t="s">
        <v>283</v>
      </c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158" t="s">
        <v>21</v>
      </c>
      <c r="AL10" s="215"/>
      <c r="AM10" s="215"/>
      <c r="AN10" s="888" t="s">
        <v>5</v>
      </c>
      <c r="AO10" s="888"/>
      <c r="AP10" s="215"/>
      <c r="AQ10" s="245"/>
      <c r="BS10" s="240" t="s">
        <v>22</v>
      </c>
    </row>
    <row r="11" spans="2:71" ht="18.4" customHeight="1">
      <c r="B11" s="244"/>
      <c r="C11" s="215"/>
      <c r="D11" s="215"/>
      <c r="E11" s="160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158" t="s">
        <v>23</v>
      </c>
      <c r="AL11" s="215"/>
      <c r="AM11" s="215"/>
      <c r="AN11" s="888" t="s">
        <v>5</v>
      </c>
      <c r="AO11" s="888"/>
      <c r="AP11" s="215"/>
      <c r="AQ11" s="245"/>
      <c r="BS11" s="240" t="s">
        <v>22</v>
      </c>
    </row>
    <row r="12" spans="2:71" ht="6.95" customHeight="1">
      <c r="B12" s="24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216"/>
      <c r="AP12" s="215"/>
      <c r="AQ12" s="245"/>
      <c r="BS12" s="240" t="s">
        <v>22</v>
      </c>
    </row>
    <row r="13" spans="2:71" ht="14.45" customHeight="1">
      <c r="B13" s="244"/>
      <c r="C13" s="215"/>
      <c r="D13" s="158" t="s">
        <v>24</v>
      </c>
      <c r="E13" s="215"/>
      <c r="F13" s="215"/>
      <c r="G13" s="215"/>
      <c r="H13" s="215"/>
      <c r="I13" s="215"/>
      <c r="J13" s="215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215"/>
      <c r="AJ13" s="215"/>
      <c r="AK13" s="158" t="s">
        <v>21</v>
      </c>
      <c r="AL13" s="215"/>
      <c r="AM13" s="215"/>
      <c r="AN13" s="912" t="str">
        <f>IF('Rekapitulace stavby'!BM11="","",'Rekapitulace stavby'!BM11)</f>
        <v/>
      </c>
      <c r="AO13" s="912"/>
      <c r="AP13" s="215"/>
      <c r="AQ13" s="245"/>
      <c r="BS13" s="240" t="s">
        <v>22</v>
      </c>
    </row>
    <row r="14" spans="2:71" ht="15">
      <c r="B14" s="244"/>
      <c r="C14" s="215"/>
      <c r="D14" s="215"/>
      <c r="E14" s="160" t="s">
        <v>25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158" t="s">
        <v>23</v>
      </c>
      <c r="AL14" s="215"/>
      <c r="AM14" s="215"/>
      <c r="AN14" s="912" t="str">
        <f>IF('Rekapitulace stavby'!BM12="","",'Rekapitulace stavby'!BM12)</f>
        <v/>
      </c>
      <c r="AO14" s="912"/>
      <c r="AP14" s="215"/>
      <c r="AQ14" s="245"/>
      <c r="BS14" s="240" t="s">
        <v>22</v>
      </c>
    </row>
    <row r="15" spans="2:71" ht="6.95" customHeight="1">
      <c r="B15" s="24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6"/>
      <c r="AO15" s="216"/>
      <c r="AP15" s="215"/>
      <c r="AQ15" s="245"/>
      <c r="BS15" s="240" t="s">
        <v>6</v>
      </c>
    </row>
    <row r="16" spans="2:71" ht="14.45" customHeight="1">
      <c r="B16" s="244"/>
      <c r="C16" s="215"/>
      <c r="D16" s="158" t="s">
        <v>26</v>
      </c>
      <c r="E16" s="215"/>
      <c r="F16" s="215"/>
      <c r="G16" s="215"/>
      <c r="H16" s="215"/>
      <c r="I16" s="215"/>
      <c r="J16" s="215"/>
      <c r="K16" s="215" t="s">
        <v>204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158" t="s">
        <v>21</v>
      </c>
      <c r="AL16" s="215"/>
      <c r="AM16" s="215"/>
      <c r="AN16" s="888">
        <v>24270857</v>
      </c>
      <c r="AO16" s="888"/>
      <c r="AP16" s="215"/>
      <c r="AQ16" s="245"/>
      <c r="BS16" s="240" t="s">
        <v>6</v>
      </c>
    </row>
    <row r="17" spans="2:71" ht="18.4" customHeight="1">
      <c r="B17" s="244"/>
      <c r="C17" s="215"/>
      <c r="D17" s="215"/>
      <c r="E17" s="160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158" t="s">
        <v>23</v>
      </c>
      <c r="AL17" s="215"/>
      <c r="AM17" s="215"/>
      <c r="AN17" s="888" t="s">
        <v>205</v>
      </c>
      <c r="AO17" s="888"/>
      <c r="AP17" s="215"/>
      <c r="AQ17" s="245"/>
      <c r="BS17" s="240" t="s">
        <v>27</v>
      </c>
    </row>
    <row r="18" spans="2:71" ht="6.95" customHeight="1">
      <c r="B18" s="24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216"/>
      <c r="AP18" s="215"/>
      <c r="AQ18" s="245"/>
      <c r="BS18" s="240" t="s">
        <v>9</v>
      </c>
    </row>
    <row r="19" spans="2:71" ht="14.45" customHeight="1">
      <c r="B19" s="244"/>
      <c r="C19" s="215"/>
      <c r="D19" s="158" t="s">
        <v>28</v>
      </c>
      <c r="E19" s="215"/>
      <c r="F19" s="215"/>
      <c r="G19" s="215"/>
      <c r="H19" s="215"/>
      <c r="I19" s="215"/>
      <c r="J19" s="215"/>
      <c r="K19" s="215" t="s">
        <v>204</v>
      </c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158" t="s">
        <v>21</v>
      </c>
      <c r="AL19" s="215"/>
      <c r="AM19" s="215"/>
      <c r="AN19" s="888">
        <v>24270857</v>
      </c>
      <c r="AO19" s="888"/>
      <c r="AP19" s="215"/>
      <c r="AQ19" s="245"/>
      <c r="BS19" s="240" t="s">
        <v>9</v>
      </c>
    </row>
    <row r="20" spans="2:43" ht="18.4" customHeight="1">
      <c r="B20" s="244"/>
      <c r="C20" s="215"/>
      <c r="D20" s="215"/>
      <c r="E20" s="160" t="s">
        <v>25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158" t="s">
        <v>23</v>
      </c>
      <c r="AL20" s="215"/>
      <c r="AM20" s="215"/>
      <c r="AN20" s="888" t="s">
        <v>205</v>
      </c>
      <c r="AO20" s="888"/>
      <c r="AP20" s="215"/>
      <c r="AQ20" s="245"/>
    </row>
    <row r="21" spans="2:43" ht="6.95" customHeight="1">
      <c r="B21" s="24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45"/>
    </row>
    <row r="22" spans="2:43" ht="15">
      <c r="B22" s="244"/>
      <c r="C22" s="215"/>
      <c r="D22" s="158" t="s">
        <v>29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45"/>
    </row>
    <row r="23" spans="2:43" ht="177" customHeight="1">
      <c r="B23" s="244"/>
      <c r="C23" s="215"/>
      <c r="D23" s="215"/>
      <c r="E23" s="885" t="s">
        <v>2224</v>
      </c>
      <c r="F23" s="886"/>
      <c r="G23" s="886"/>
      <c r="H23" s="886"/>
      <c r="I23" s="886"/>
      <c r="J23" s="886"/>
      <c r="K23" s="886"/>
      <c r="L23" s="886"/>
      <c r="M23" s="886"/>
      <c r="N23" s="886"/>
      <c r="O23" s="886"/>
      <c r="P23" s="886"/>
      <c r="Q23" s="886"/>
      <c r="R23" s="886"/>
      <c r="S23" s="886"/>
      <c r="T23" s="886"/>
      <c r="U23" s="886"/>
      <c r="V23" s="886"/>
      <c r="W23" s="886"/>
      <c r="X23" s="886"/>
      <c r="Y23" s="886"/>
      <c r="Z23" s="886"/>
      <c r="AA23" s="886"/>
      <c r="AB23" s="886"/>
      <c r="AC23" s="886"/>
      <c r="AD23" s="886"/>
      <c r="AE23" s="886"/>
      <c r="AF23" s="886"/>
      <c r="AG23" s="886"/>
      <c r="AH23" s="886"/>
      <c r="AI23" s="886"/>
      <c r="AJ23" s="886"/>
      <c r="AK23" s="886"/>
      <c r="AL23" s="886"/>
      <c r="AM23" s="886"/>
      <c r="AN23" s="886"/>
      <c r="AO23" s="215"/>
      <c r="AP23" s="215"/>
      <c r="AQ23" s="245"/>
    </row>
    <row r="24" spans="2:43" ht="6.95" customHeight="1">
      <c r="B24" s="24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45"/>
    </row>
    <row r="25" spans="2:43" ht="6.95" customHeight="1">
      <c r="B25" s="244"/>
      <c r="C25" s="215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5"/>
      <c r="AQ25" s="245"/>
    </row>
    <row r="26" spans="2:43" ht="14.45" customHeight="1">
      <c r="B26" s="244"/>
      <c r="C26" s="215"/>
      <c r="D26" s="117" t="s">
        <v>30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906">
        <f>ROUND(AG87,2)</f>
        <v>0</v>
      </c>
      <c r="AL26" s="884"/>
      <c r="AM26" s="884"/>
      <c r="AN26" s="884"/>
      <c r="AO26" s="884"/>
      <c r="AP26" s="215"/>
      <c r="AQ26" s="245"/>
    </row>
    <row r="27" spans="2:43" ht="14.45" customHeight="1">
      <c r="B27" s="244"/>
      <c r="C27" s="215"/>
      <c r="D27" s="117" t="s">
        <v>31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906">
        <f>ROUND(AG103,2)</f>
        <v>0</v>
      </c>
      <c r="AL27" s="906"/>
      <c r="AM27" s="906"/>
      <c r="AN27" s="906"/>
      <c r="AO27" s="906"/>
      <c r="AP27" s="215"/>
      <c r="AQ27" s="245"/>
    </row>
    <row r="28" spans="2:43" s="249" customFormat="1" ht="6.95" customHeight="1">
      <c r="B28" s="24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248"/>
    </row>
    <row r="29" spans="2:57" s="249" customFormat="1" ht="25.9" customHeight="1">
      <c r="B29" s="247"/>
      <c r="C29" s="87"/>
      <c r="D29" s="218" t="s">
        <v>32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875">
        <f>ROUND(AK26+AK27,2)</f>
        <v>0</v>
      </c>
      <c r="AL29" s="876"/>
      <c r="AM29" s="876"/>
      <c r="AN29" s="876"/>
      <c r="AO29" s="876"/>
      <c r="AP29" s="87"/>
      <c r="AQ29" s="248"/>
      <c r="AR29" s="249">
        <f>2978283</f>
        <v>2978283</v>
      </c>
      <c r="BE29" s="250">
        <v>2978283.14</v>
      </c>
    </row>
    <row r="30" spans="2:43" s="249" customFormat="1" ht="6.95" customHeight="1">
      <c r="B30" s="24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248"/>
    </row>
    <row r="31" spans="2:43" s="253" customFormat="1" ht="14.45" customHeight="1">
      <c r="B31" s="251"/>
      <c r="C31" s="220"/>
      <c r="D31" s="89" t="s">
        <v>33</v>
      </c>
      <c r="E31" s="220"/>
      <c r="F31" s="89" t="s">
        <v>34</v>
      </c>
      <c r="G31" s="220"/>
      <c r="H31" s="220"/>
      <c r="I31" s="220"/>
      <c r="J31" s="220"/>
      <c r="K31" s="220"/>
      <c r="L31" s="871">
        <v>0.21</v>
      </c>
      <c r="M31" s="872"/>
      <c r="N31" s="872"/>
      <c r="O31" s="872"/>
      <c r="P31" s="220"/>
      <c r="Q31" s="220"/>
      <c r="R31" s="220"/>
      <c r="S31" s="220"/>
      <c r="T31" s="221" t="s">
        <v>35</v>
      </c>
      <c r="U31" s="220"/>
      <c r="V31" s="220"/>
      <c r="W31" s="873">
        <v>0</v>
      </c>
      <c r="X31" s="873"/>
      <c r="Y31" s="873"/>
      <c r="Z31" s="873"/>
      <c r="AA31" s="873"/>
      <c r="AB31" s="873"/>
      <c r="AC31" s="873"/>
      <c r="AD31" s="873"/>
      <c r="AE31" s="873"/>
      <c r="AF31" s="220"/>
      <c r="AG31" s="220"/>
      <c r="AH31" s="220"/>
      <c r="AI31" s="220"/>
      <c r="AJ31" s="220"/>
      <c r="AK31" s="874">
        <f>0.21*W31</f>
        <v>0</v>
      </c>
      <c r="AL31" s="872"/>
      <c r="AM31" s="872"/>
      <c r="AN31" s="872"/>
      <c r="AO31" s="872"/>
      <c r="AP31" s="220"/>
      <c r="AQ31" s="252"/>
    </row>
    <row r="32" spans="2:43" s="253" customFormat="1" ht="14.45" customHeight="1">
      <c r="B32" s="251"/>
      <c r="C32" s="220"/>
      <c r="D32" s="220"/>
      <c r="E32" s="220"/>
      <c r="F32" s="89" t="s">
        <v>36</v>
      </c>
      <c r="G32" s="220"/>
      <c r="H32" s="220"/>
      <c r="I32" s="220"/>
      <c r="J32" s="220"/>
      <c r="K32" s="220"/>
      <c r="L32" s="871">
        <v>0.15</v>
      </c>
      <c r="M32" s="872"/>
      <c r="N32" s="872"/>
      <c r="O32" s="872"/>
      <c r="P32" s="220"/>
      <c r="Q32" s="220"/>
      <c r="R32" s="220"/>
      <c r="S32" s="220"/>
      <c r="T32" s="221" t="s">
        <v>35</v>
      </c>
      <c r="U32" s="220"/>
      <c r="V32" s="220"/>
      <c r="W32" s="873">
        <f>AK29</f>
        <v>0</v>
      </c>
      <c r="X32" s="873"/>
      <c r="Y32" s="873"/>
      <c r="Z32" s="873"/>
      <c r="AA32" s="873"/>
      <c r="AB32" s="873"/>
      <c r="AC32" s="877"/>
      <c r="AD32" s="878"/>
      <c r="AE32" s="878"/>
      <c r="AF32" s="220"/>
      <c r="AG32" s="220"/>
      <c r="AH32" s="220"/>
      <c r="AI32" s="220"/>
      <c r="AJ32" s="220"/>
      <c r="AK32" s="874">
        <f>W32*0.15</f>
        <v>0</v>
      </c>
      <c r="AL32" s="872"/>
      <c r="AM32" s="872"/>
      <c r="AN32" s="872"/>
      <c r="AO32" s="872"/>
      <c r="AP32" s="220"/>
      <c r="AQ32" s="252"/>
    </row>
    <row r="33" spans="2:43" s="253" customFormat="1" ht="14.45" customHeight="1" hidden="1">
      <c r="B33" s="251"/>
      <c r="C33" s="220"/>
      <c r="D33" s="220"/>
      <c r="E33" s="220"/>
      <c r="F33" s="89" t="s">
        <v>37</v>
      </c>
      <c r="G33" s="220"/>
      <c r="H33" s="220"/>
      <c r="I33" s="220"/>
      <c r="J33" s="220"/>
      <c r="K33" s="220"/>
      <c r="L33" s="871">
        <v>0.21</v>
      </c>
      <c r="M33" s="872"/>
      <c r="N33" s="872"/>
      <c r="O33" s="872"/>
      <c r="P33" s="220"/>
      <c r="Q33" s="220"/>
      <c r="R33" s="220"/>
      <c r="S33" s="220"/>
      <c r="T33" s="221" t="s">
        <v>35</v>
      </c>
      <c r="U33" s="220"/>
      <c r="V33" s="220"/>
      <c r="W33" s="874" t="e">
        <f>ROUND(BB87+SUM(CF104),2)</f>
        <v>#REF!</v>
      </c>
      <c r="X33" s="872"/>
      <c r="Y33" s="872"/>
      <c r="Z33" s="872"/>
      <c r="AA33" s="872"/>
      <c r="AB33" s="872"/>
      <c r="AC33" s="872"/>
      <c r="AD33" s="872"/>
      <c r="AE33" s="872"/>
      <c r="AF33" s="220"/>
      <c r="AG33" s="220"/>
      <c r="AH33" s="220"/>
      <c r="AI33" s="220"/>
      <c r="AJ33" s="220"/>
      <c r="AK33" s="874">
        <v>0</v>
      </c>
      <c r="AL33" s="872"/>
      <c r="AM33" s="872"/>
      <c r="AN33" s="872"/>
      <c r="AO33" s="872"/>
      <c r="AP33" s="220"/>
      <c r="AQ33" s="252"/>
    </row>
    <row r="34" spans="2:43" s="253" customFormat="1" ht="14.45" customHeight="1" hidden="1">
      <c r="B34" s="251"/>
      <c r="C34" s="220"/>
      <c r="D34" s="220"/>
      <c r="E34" s="220"/>
      <c r="F34" s="89" t="s">
        <v>38</v>
      </c>
      <c r="G34" s="220"/>
      <c r="H34" s="220"/>
      <c r="I34" s="220"/>
      <c r="J34" s="220"/>
      <c r="K34" s="220"/>
      <c r="L34" s="871">
        <v>0.15</v>
      </c>
      <c r="M34" s="872"/>
      <c r="N34" s="872"/>
      <c r="O34" s="872"/>
      <c r="P34" s="220"/>
      <c r="Q34" s="220"/>
      <c r="R34" s="220"/>
      <c r="S34" s="220"/>
      <c r="T34" s="221" t="s">
        <v>35</v>
      </c>
      <c r="U34" s="220"/>
      <c r="V34" s="220"/>
      <c r="W34" s="874" t="e">
        <f>ROUND(BC87+SUM(CG104),2)</f>
        <v>#REF!</v>
      </c>
      <c r="X34" s="872"/>
      <c r="Y34" s="872"/>
      <c r="Z34" s="872"/>
      <c r="AA34" s="872"/>
      <c r="AB34" s="872"/>
      <c r="AC34" s="872"/>
      <c r="AD34" s="872"/>
      <c r="AE34" s="872"/>
      <c r="AF34" s="220"/>
      <c r="AG34" s="220"/>
      <c r="AH34" s="220"/>
      <c r="AI34" s="220"/>
      <c r="AJ34" s="220"/>
      <c r="AK34" s="874">
        <v>0</v>
      </c>
      <c r="AL34" s="872"/>
      <c r="AM34" s="872"/>
      <c r="AN34" s="872"/>
      <c r="AO34" s="872"/>
      <c r="AP34" s="220"/>
      <c r="AQ34" s="252"/>
    </row>
    <row r="35" spans="2:43" s="253" customFormat="1" ht="14.45" customHeight="1" hidden="1">
      <c r="B35" s="251"/>
      <c r="C35" s="220"/>
      <c r="D35" s="220"/>
      <c r="E35" s="220"/>
      <c r="F35" s="89" t="s">
        <v>39</v>
      </c>
      <c r="G35" s="220"/>
      <c r="H35" s="220"/>
      <c r="I35" s="220"/>
      <c r="J35" s="220"/>
      <c r="K35" s="220"/>
      <c r="L35" s="871">
        <v>0</v>
      </c>
      <c r="M35" s="872"/>
      <c r="N35" s="872"/>
      <c r="O35" s="872"/>
      <c r="P35" s="220"/>
      <c r="Q35" s="220"/>
      <c r="R35" s="220"/>
      <c r="S35" s="220"/>
      <c r="T35" s="221" t="s">
        <v>35</v>
      </c>
      <c r="U35" s="220"/>
      <c r="V35" s="220"/>
      <c r="W35" s="874" t="e">
        <f>ROUND(BD87+SUM(CH104),2)</f>
        <v>#REF!</v>
      </c>
      <c r="X35" s="872"/>
      <c r="Y35" s="872"/>
      <c r="Z35" s="872"/>
      <c r="AA35" s="872"/>
      <c r="AB35" s="872"/>
      <c r="AC35" s="872"/>
      <c r="AD35" s="872"/>
      <c r="AE35" s="872"/>
      <c r="AF35" s="220"/>
      <c r="AG35" s="220"/>
      <c r="AH35" s="220"/>
      <c r="AI35" s="220"/>
      <c r="AJ35" s="220"/>
      <c r="AK35" s="874">
        <v>0</v>
      </c>
      <c r="AL35" s="872"/>
      <c r="AM35" s="872"/>
      <c r="AN35" s="872"/>
      <c r="AO35" s="872"/>
      <c r="AP35" s="220"/>
      <c r="AQ35" s="252"/>
    </row>
    <row r="36" spans="2:43" s="249" customFormat="1" ht="6.95" customHeight="1">
      <c r="B36" s="24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248"/>
    </row>
    <row r="37" spans="2:59" s="249" customFormat="1" ht="25.9" customHeight="1">
      <c r="B37" s="247"/>
      <c r="C37" s="238"/>
      <c r="D37" s="119" t="s">
        <v>40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3" t="s">
        <v>41</v>
      </c>
      <c r="U37" s="91"/>
      <c r="V37" s="91"/>
      <c r="W37" s="91"/>
      <c r="X37" s="890" t="s">
        <v>42</v>
      </c>
      <c r="Y37" s="891"/>
      <c r="Z37" s="891"/>
      <c r="AA37" s="891"/>
      <c r="AB37" s="891"/>
      <c r="AC37" s="91"/>
      <c r="AD37" s="91"/>
      <c r="AE37" s="91"/>
      <c r="AF37" s="91"/>
      <c r="AG37" s="91"/>
      <c r="AH37" s="91"/>
      <c r="AI37" s="91"/>
      <c r="AJ37" s="91"/>
      <c r="AK37" s="907">
        <f>SUM(AK29:AK35)</f>
        <v>0</v>
      </c>
      <c r="AL37" s="891"/>
      <c r="AM37" s="891"/>
      <c r="AN37" s="891"/>
      <c r="AO37" s="908"/>
      <c r="AP37" s="238"/>
      <c r="AQ37" s="248"/>
      <c r="BG37" s="254"/>
    </row>
    <row r="38" spans="2:59" s="249" customFormat="1" ht="14.45" customHeight="1">
      <c r="B38" s="24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248"/>
      <c r="BG38" s="254"/>
    </row>
    <row r="39" spans="2:59" ht="13.5" hidden="1">
      <c r="B39" s="24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45"/>
      <c r="BG39" s="255"/>
    </row>
    <row r="40" spans="2:59" ht="13.5" hidden="1">
      <c r="B40" s="244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45"/>
      <c r="BG40" s="255"/>
    </row>
    <row r="41" spans="2:59" ht="13.5" hidden="1">
      <c r="B41" s="24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45"/>
      <c r="BG41" s="255"/>
    </row>
    <row r="42" spans="2:59" ht="13.5" hidden="1">
      <c r="B42" s="24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45"/>
      <c r="BG42" s="255"/>
    </row>
    <row r="43" spans="2:59" ht="13.5" hidden="1">
      <c r="B43" s="24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45"/>
      <c r="BG43" s="255"/>
    </row>
    <row r="44" spans="2:59" ht="13.5" hidden="1">
      <c r="B44" s="24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45"/>
      <c r="BG44" s="255"/>
    </row>
    <row r="45" spans="2:59" ht="13.5" hidden="1">
      <c r="B45" s="24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45"/>
      <c r="BG45" s="255"/>
    </row>
    <row r="46" spans="2:59" ht="13.5" hidden="1">
      <c r="B46" s="24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45"/>
      <c r="BG46" s="255"/>
    </row>
    <row r="47" spans="2:59" ht="13.5" hidden="1">
      <c r="B47" s="24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45"/>
      <c r="BG47" s="255"/>
    </row>
    <row r="48" spans="2:59" ht="13.5" hidden="1">
      <c r="B48" s="24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45"/>
      <c r="BG48" s="255"/>
    </row>
    <row r="49" spans="2:65" s="249" customFormat="1" ht="15">
      <c r="B49" s="247"/>
      <c r="C49" s="87"/>
      <c r="D49" s="164" t="s">
        <v>43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256"/>
      <c r="AA49" s="87"/>
      <c r="AB49" s="87"/>
      <c r="AC49" s="164" t="s">
        <v>44</v>
      </c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256"/>
      <c r="AP49" s="87"/>
      <c r="AQ49" s="248"/>
      <c r="BG49" s="257"/>
      <c r="BH49" s="250"/>
      <c r="BI49" s="258"/>
      <c r="BJ49" s="250"/>
      <c r="BK49" s="250"/>
      <c r="BL49" s="250"/>
      <c r="BM49" s="250"/>
    </row>
    <row r="50" spans="2:59" ht="13.5">
      <c r="B50" s="244"/>
      <c r="C50" s="215"/>
      <c r="D50" s="259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60"/>
      <c r="AA50" s="215"/>
      <c r="AB50" s="215"/>
      <c r="AC50" s="259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60"/>
      <c r="AP50" s="215"/>
      <c r="AQ50" s="245"/>
      <c r="BG50" s="255"/>
    </row>
    <row r="51" spans="2:59" ht="13.5">
      <c r="B51" s="244"/>
      <c r="C51" s="215"/>
      <c r="D51" s="259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60"/>
      <c r="AA51" s="215"/>
      <c r="AB51" s="215"/>
      <c r="AC51" s="259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60"/>
      <c r="AP51" s="215"/>
      <c r="AQ51" s="245"/>
      <c r="BG51" s="255"/>
    </row>
    <row r="52" spans="2:59" ht="13.5">
      <c r="B52" s="244"/>
      <c r="C52" s="215"/>
      <c r="D52" s="259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60"/>
      <c r="AA52" s="215"/>
      <c r="AB52" s="215"/>
      <c r="AC52" s="259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60"/>
      <c r="AP52" s="215"/>
      <c r="AQ52" s="245"/>
      <c r="BG52" s="255"/>
    </row>
    <row r="53" spans="2:59" ht="13.5">
      <c r="B53" s="244"/>
      <c r="C53" s="215"/>
      <c r="D53" s="259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60"/>
      <c r="AA53" s="215"/>
      <c r="AB53" s="215"/>
      <c r="AC53" s="259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60"/>
      <c r="AP53" s="215"/>
      <c r="AQ53" s="245"/>
      <c r="BG53" s="255"/>
    </row>
    <row r="54" spans="2:43" ht="13.5">
      <c r="B54" s="244"/>
      <c r="C54" s="215"/>
      <c r="D54" s="259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60"/>
      <c r="AA54" s="215"/>
      <c r="AB54" s="215"/>
      <c r="AC54" s="259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60"/>
      <c r="AP54" s="215"/>
      <c r="AQ54" s="245"/>
    </row>
    <row r="55" spans="2:59" ht="13.5">
      <c r="B55" s="244"/>
      <c r="C55" s="215"/>
      <c r="D55" s="259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60"/>
      <c r="AA55" s="215"/>
      <c r="AB55" s="215"/>
      <c r="AC55" s="259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60"/>
      <c r="AP55" s="215"/>
      <c r="AQ55" s="245"/>
      <c r="BG55" s="255"/>
    </row>
    <row r="56" spans="2:43" ht="13.5">
      <c r="B56" s="244"/>
      <c r="C56" s="215"/>
      <c r="D56" s="259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60"/>
      <c r="AA56" s="215"/>
      <c r="AB56" s="215"/>
      <c r="AC56" s="259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60"/>
      <c r="AP56" s="215"/>
      <c r="AQ56" s="245"/>
    </row>
    <row r="57" spans="2:43" ht="13.5">
      <c r="B57" s="244"/>
      <c r="C57" s="215"/>
      <c r="D57" s="259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60"/>
      <c r="AA57" s="215"/>
      <c r="AB57" s="215"/>
      <c r="AC57" s="259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60"/>
      <c r="AP57" s="215"/>
      <c r="AQ57" s="245"/>
    </row>
    <row r="58" spans="2:43" s="249" customFormat="1" ht="15">
      <c r="B58" s="247"/>
      <c r="C58" s="87"/>
      <c r="D58" s="168" t="s">
        <v>45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170" t="s">
        <v>46</v>
      </c>
      <c r="S58" s="261"/>
      <c r="T58" s="261"/>
      <c r="U58" s="261"/>
      <c r="V58" s="261"/>
      <c r="W58" s="261"/>
      <c r="X58" s="261"/>
      <c r="Y58" s="261"/>
      <c r="Z58" s="262"/>
      <c r="AA58" s="87"/>
      <c r="AB58" s="87"/>
      <c r="AC58" s="168" t="s">
        <v>45</v>
      </c>
      <c r="AD58" s="261"/>
      <c r="AE58" s="261"/>
      <c r="AF58" s="261"/>
      <c r="AG58" s="261"/>
      <c r="AH58" s="261"/>
      <c r="AI58" s="261"/>
      <c r="AJ58" s="261"/>
      <c r="AK58" s="261"/>
      <c r="AL58" s="261"/>
      <c r="AM58" s="170" t="s">
        <v>46</v>
      </c>
      <c r="AN58" s="261"/>
      <c r="AO58" s="262"/>
      <c r="AP58" s="87"/>
      <c r="AQ58" s="248"/>
    </row>
    <row r="59" spans="2:43" ht="13.5">
      <c r="B59" s="24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45"/>
    </row>
    <row r="60" spans="2:43" s="249" customFormat="1" ht="15">
      <c r="B60" s="247"/>
      <c r="C60" s="87"/>
      <c r="D60" s="164" t="s">
        <v>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256"/>
      <c r="AA60" s="87"/>
      <c r="AB60" s="87"/>
      <c r="AC60" s="310" t="s">
        <v>48</v>
      </c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2"/>
      <c r="AP60" s="87"/>
      <c r="AQ60" s="248"/>
    </row>
    <row r="61" spans="2:43" ht="13.5">
      <c r="B61" s="244"/>
      <c r="C61" s="215"/>
      <c r="D61" s="259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60"/>
      <c r="AA61" s="215"/>
      <c r="AB61" s="215"/>
      <c r="AC61" s="313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5"/>
      <c r="AP61" s="215"/>
      <c r="AQ61" s="245"/>
    </row>
    <row r="62" spans="2:43" ht="13.5">
      <c r="B62" s="244"/>
      <c r="C62" s="215"/>
      <c r="D62" s="259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60"/>
      <c r="AA62" s="215"/>
      <c r="AB62" s="215"/>
      <c r="AC62" s="313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5"/>
      <c r="AP62" s="215"/>
      <c r="AQ62" s="245"/>
    </row>
    <row r="63" spans="2:43" ht="13.5">
      <c r="B63" s="244"/>
      <c r="C63" s="215"/>
      <c r="D63" s="259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60"/>
      <c r="AA63" s="215"/>
      <c r="AB63" s="215"/>
      <c r="AC63" s="313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5"/>
      <c r="AP63" s="215"/>
      <c r="AQ63" s="245"/>
    </row>
    <row r="64" spans="2:43" ht="13.5">
      <c r="B64" s="244"/>
      <c r="C64" s="215"/>
      <c r="D64" s="259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60"/>
      <c r="AA64" s="215"/>
      <c r="AB64" s="215"/>
      <c r="AC64" s="313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5"/>
      <c r="AP64" s="215"/>
      <c r="AQ64" s="245"/>
    </row>
    <row r="65" spans="2:43" ht="13.5">
      <c r="B65" s="244"/>
      <c r="C65" s="215"/>
      <c r="D65" s="259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60"/>
      <c r="AA65" s="215"/>
      <c r="AB65" s="215"/>
      <c r="AC65" s="313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5"/>
      <c r="AP65" s="215"/>
      <c r="AQ65" s="245"/>
    </row>
    <row r="66" spans="2:43" ht="13.5">
      <c r="B66" s="244"/>
      <c r="C66" s="215"/>
      <c r="D66" s="259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60"/>
      <c r="AA66" s="215"/>
      <c r="AB66" s="215"/>
      <c r="AC66" s="313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5"/>
      <c r="AP66" s="215"/>
      <c r="AQ66" s="245"/>
    </row>
    <row r="67" spans="2:43" ht="13.5">
      <c r="B67" s="244"/>
      <c r="C67" s="215"/>
      <c r="D67" s="259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60"/>
      <c r="AA67" s="215"/>
      <c r="AB67" s="215"/>
      <c r="AC67" s="313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5"/>
      <c r="AP67" s="215"/>
      <c r="AQ67" s="245"/>
    </row>
    <row r="68" spans="2:43" ht="13.5">
      <c r="B68" s="244"/>
      <c r="C68" s="215"/>
      <c r="D68" s="259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60"/>
      <c r="AA68" s="215"/>
      <c r="AB68" s="215"/>
      <c r="AC68" s="313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5"/>
      <c r="AP68" s="215"/>
      <c r="AQ68" s="245"/>
    </row>
    <row r="69" spans="2:43" s="249" customFormat="1" ht="15">
      <c r="B69" s="247"/>
      <c r="C69" s="87"/>
      <c r="D69" s="168" t="s">
        <v>45</v>
      </c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170" t="s">
        <v>46</v>
      </c>
      <c r="S69" s="261"/>
      <c r="T69" s="261"/>
      <c r="U69" s="261"/>
      <c r="V69" s="261"/>
      <c r="W69" s="261"/>
      <c r="X69" s="261"/>
      <c r="Y69" s="261"/>
      <c r="Z69" s="262"/>
      <c r="AA69" s="87"/>
      <c r="AB69" s="87"/>
      <c r="AC69" s="316" t="s">
        <v>45</v>
      </c>
      <c r="AD69" s="317"/>
      <c r="AE69" s="317"/>
      <c r="AF69" s="317"/>
      <c r="AG69" s="317"/>
      <c r="AH69" s="317"/>
      <c r="AI69" s="317"/>
      <c r="AJ69" s="317"/>
      <c r="AK69" s="317"/>
      <c r="AL69" s="317"/>
      <c r="AM69" s="318" t="s">
        <v>46</v>
      </c>
      <c r="AN69" s="317"/>
      <c r="AO69" s="319"/>
      <c r="AP69" s="87"/>
      <c r="AQ69" s="248"/>
    </row>
    <row r="70" spans="2:43" s="249" customFormat="1" ht="6.95" customHeight="1">
      <c r="B70" s="24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248"/>
    </row>
    <row r="71" spans="2:43" s="249" customFormat="1" ht="6.9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5"/>
    </row>
    <row r="75" spans="2:43" s="249" customFormat="1" ht="6.9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8"/>
    </row>
    <row r="76" spans="2:43" s="249" customFormat="1" ht="36.95" customHeight="1">
      <c r="B76" s="247"/>
      <c r="C76" s="881" t="s">
        <v>49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882"/>
      <c r="S76" s="882"/>
      <c r="T76" s="882"/>
      <c r="U76" s="882"/>
      <c r="V76" s="882"/>
      <c r="W76" s="882"/>
      <c r="X76" s="882"/>
      <c r="Y76" s="882"/>
      <c r="Z76" s="882"/>
      <c r="AA76" s="882"/>
      <c r="AB76" s="882"/>
      <c r="AC76" s="882"/>
      <c r="AD76" s="882"/>
      <c r="AE76" s="882"/>
      <c r="AF76" s="882"/>
      <c r="AG76" s="882"/>
      <c r="AH76" s="882"/>
      <c r="AI76" s="882"/>
      <c r="AJ76" s="882"/>
      <c r="AK76" s="882"/>
      <c r="AL76" s="882"/>
      <c r="AM76" s="882"/>
      <c r="AN76" s="882"/>
      <c r="AO76" s="882"/>
      <c r="AP76" s="882"/>
      <c r="AQ76" s="248"/>
    </row>
    <row r="77" spans="2:43" s="271" customFormat="1" ht="14.45" customHeight="1">
      <c r="B77" s="269"/>
      <c r="C77" s="158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70"/>
    </row>
    <row r="78" spans="2:43" s="274" customFormat="1" ht="36.95" customHeight="1">
      <c r="B78" s="272"/>
      <c r="C78" s="174" t="s">
        <v>15</v>
      </c>
      <c r="D78" s="227"/>
      <c r="E78" s="227"/>
      <c r="F78" s="227"/>
      <c r="G78" s="227"/>
      <c r="H78" s="227"/>
      <c r="I78" s="227"/>
      <c r="J78" s="227"/>
      <c r="K78" s="227"/>
      <c r="L78" s="910" t="str">
        <f>K6</f>
        <v>STAVEBNÍ ÚPRAVY STÁVAJÍCÍHO OBJEKTU K BYDLENÍ V MLADÉ BOLESLAVY</v>
      </c>
      <c r="M78" s="911"/>
      <c r="N78" s="911"/>
      <c r="O78" s="911"/>
      <c r="P78" s="911"/>
      <c r="Q78" s="911"/>
      <c r="R78" s="911"/>
      <c r="S78" s="911"/>
      <c r="T78" s="911"/>
      <c r="U78" s="911"/>
      <c r="V78" s="911"/>
      <c r="W78" s="911"/>
      <c r="X78" s="911"/>
      <c r="Y78" s="911"/>
      <c r="Z78" s="911"/>
      <c r="AA78" s="911"/>
      <c r="AB78" s="911"/>
      <c r="AC78" s="911"/>
      <c r="AD78" s="911"/>
      <c r="AE78" s="911"/>
      <c r="AF78" s="911"/>
      <c r="AG78" s="911"/>
      <c r="AH78" s="911"/>
      <c r="AI78" s="911"/>
      <c r="AJ78" s="911"/>
      <c r="AK78" s="911"/>
      <c r="AL78" s="911"/>
      <c r="AM78" s="911"/>
      <c r="AN78" s="911"/>
      <c r="AO78" s="911"/>
      <c r="AP78" s="227"/>
      <c r="AQ78" s="273"/>
    </row>
    <row r="79" spans="2:43" s="249" customFormat="1" ht="6.95" customHeight="1">
      <c r="B79" s="24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248"/>
    </row>
    <row r="80" spans="2:43" s="249" customFormat="1" ht="15">
      <c r="B80" s="247"/>
      <c r="C80" s="158" t="s">
        <v>18</v>
      </c>
      <c r="D80" s="87"/>
      <c r="E80" s="87"/>
      <c r="F80" s="87"/>
      <c r="G80" s="87"/>
      <c r="H80" s="87"/>
      <c r="I80" s="87"/>
      <c r="J80" s="87"/>
      <c r="K80" s="87"/>
      <c r="L80" s="228" t="str">
        <f>K8</f>
        <v>NÁDRAŽNÍ ULICE č.p.43, Mladá Boleslav</v>
      </c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158" t="s">
        <v>19</v>
      </c>
      <c r="AJ80" s="87"/>
      <c r="AK80" s="87"/>
      <c r="AL80" s="87"/>
      <c r="AM80" s="909">
        <f>AN8</f>
        <v>43363</v>
      </c>
      <c r="AN80" s="909"/>
      <c r="AO80" s="87"/>
      <c r="AP80" s="87"/>
      <c r="AQ80" s="248"/>
    </row>
    <row r="81" spans="2:43" s="249" customFormat="1" ht="6.95" customHeight="1">
      <c r="B81" s="24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248"/>
    </row>
    <row r="82" spans="2:56" s="249" customFormat="1" ht="15">
      <c r="B82" s="247"/>
      <c r="C82" s="158" t="s">
        <v>20</v>
      </c>
      <c r="D82" s="87"/>
      <c r="E82" s="87"/>
      <c r="F82" s="87"/>
      <c r="G82" s="87"/>
      <c r="H82" s="87"/>
      <c r="I82" s="87"/>
      <c r="J82" s="87"/>
      <c r="K82" s="87"/>
      <c r="L82" s="226" t="str">
        <f>K10</f>
        <v>R-MOSTY, Z.S.</v>
      </c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158" t="s">
        <v>26</v>
      </c>
      <c r="AJ82" s="87"/>
      <c r="AK82" s="87"/>
      <c r="AL82" s="87"/>
      <c r="AM82" s="905" t="str">
        <f>K19</f>
        <v>Design&amp;Build s.r.o.</v>
      </c>
      <c r="AN82" s="905"/>
      <c r="AO82" s="905"/>
      <c r="AP82" s="905"/>
      <c r="AQ82" s="248"/>
      <c r="AS82" s="901" t="s">
        <v>50</v>
      </c>
      <c r="AT82" s="902"/>
      <c r="AU82" s="88"/>
      <c r="AV82" s="88"/>
      <c r="AW82" s="88"/>
      <c r="AX82" s="88"/>
      <c r="AY82" s="88"/>
      <c r="AZ82" s="88"/>
      <c r="BA82" s="88"/>
      <c r="BB82" s="88"/>
      <c r="BC82" s="88"/>
      <c r="BD82" s="256"/>
    </row>
    <row r="83" spans="2:56" s="249" customFormat="1" ht="15">
      <c r="B83" s="247"/>
      <c r="C83" s="158" t="s">
        <v>24</v>
      </c>
      <c r="D83" s="87"/>
      <c r="E83" s="87"/>
      <c r="F83" s="87"/>
      <c r="G83" s="87"/>
      <c r="H83" s="87"/>
      <c r="I83" s="87"/>
      <c r="J83" s="87"/>
      <c r="K83" s="87"/>
      <c r="L83" s="32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7"/>
      <c r="AF83" s="87"/>
      <c r="AG83" s="87"/>
      <c r="AH83" s="87"/>
      <c r="AI83" s="158" t="s">
        <v>28</v>
      </c>
      <c r="AJ83" s="87"/>
      <c r="AK83" s="87"/>
      <c r="AL83" s="87"/>
      <c r="AM83" s="905" t="str">
        <f>AM82</f>
        <v>Design&amp;Build s.r.o.</v>
      </c>
      <c r="AN83" s="905"/>
      <c r="AO83" s="905"/>
      <c r="AP83" s="905"/>
      <c r="AQ83" s="248"/>
      <c r="AS83" s="903"/>
      <c r="AT83" s="904"/>
      <c r="AU83" s="87"/>
      <c r="AV83" s="87"/>
      <c r="AW83" s="87"/>
      <c r="AX83" s="87"/>
      <c r="AY83" s="87"/>
      <c r="AZ83" s="87"/>
      <c r="BA83" s="87"/>
      <c r="BB83" s="87"/>
      <c r="BC83" s="87"/>
      <c r="BD83" s="275"/>
    </row>
    <row r="84" spans="2:56" s="249" customFormat="1" ht="10.9" customHeight="1">
      <c r="B84" s="24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248"/>
      <c r="AS84" s="903"/>
      <c r="AT84" s="904"/>
      <c r="AU84" s="87"/>
      <c r="AV84" s="87"/>
      <c r="AW84" s="87"/>
      <c r="AX84" s="87"/>
      <c r="AY84" s="87"/>
      <c r="AZ84" s="87"/>
      <c r="BA84" s="87"/>
      <c r="BB84" s="87"/>
      <c r="BC84" s="87"/>
      <c r="BD84" s="275"/>
    </row>
    <row r="85" spans="2:56" s="249" customFormat="1" ht="29.25" customHeight="1">
      <c r="B85" s="247"/>
      <c r="C85" s="897" t="s">
        <v>51</v>
      </c>
      <c r="D85" s="895"/>
      <c r="E85" s="895"/>
      <c r="F85" s="895"/>
      <c r="G85" s="895"/>
      <c r="H85" s="91"/>
      <c r="I85" s="894" t="s">
        <v>52</v>
      </c>
      <c r="J85" s="895"/>
      <c r="K85" s="895"/>
      <c r="L85" s="895"/>
      <c r="M85" s="895"/>
      <c r="N85" s="895"/>
      <c r="O85" s="895"/>
      <c r="P85" s="895"/>
      <c r="Q85" s="895"/>
      <c r="R85" s="895"/>
      <c r="S85" s="895"/>
      <c r="T85" s="895"/>
      <c r="U85" s="895"/>
      <c r="V85" s="895"/>
      <c r="W85" s="895"/>
      <c r="X85" s="895"/>
      <c r="Y85" s="895"/>
      <c r="Z85" s="895"/>
      <c r="AA85" s="895"/>
      <c r="AB85" s="895"/>
      <c r="AC85" s="895"/>
      <c r="AD85" s="895"/>
      <c r="AE85" s="895"/>
      <c r="AF85" s="895"/>
      <c r="AG85" s="894" t="s">
        <v>53</v>
      </c>
      <c r="AH85" s="895"/>
      <c r="AI85" s="895"/>
      <c r="AJ85" s="895"/>
      <c r="AK85" s="895"/>
      <c r="AL85" s="895"/>
      <c r="AM85" s="895"/>
      <c r="AN85" s="894" t="s">
        <v>54</v>
      </c>
      <c r="AO85" s="895"/>
      <c r="AP85" s="896"/>
      <c r="AQ85" s="248"/>
      <c r="AS85" s="276" t="s">
        <v>55</v>
      </c>
      <c r="AT85" s="277" t="s">
        <v>56</v>
      </c>
      <c r="AU85" s="277" t="s">
        <v>57</v>
      </c>
      <c r="AV85" s="277" t="s">
        <v>58</v>
      </c>
      <c r="AW85" s="277" t="s">
        <v>59</v>
      </c>
      <c r="AX85" s="277" t="s">
        <v>60</v>
      </c>
      <c r="AY85" s="277" t="s">
        <v>61</v>
      </c>
      <c r="AZ85" s="277" t="s">
        <v>62</v>
      </c>
      <c r="BA85" s="277" t="s">
        <v>63</v>
      </c>
      <c r="BB85" s="277" t="s">
        <v>64</v>
      </c>
      <c r="BC85" s="277" t="s">
        <v>65</v>
      </c>
      <c r="BD85" s="278" t="s">
        <v>66</v>
      </c>
    </row>
    <row r="86" spans="2:56" s="249" customFormat="1" ht="10.9" customHeight="1">
      <c r="B86" s="24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248"/>
      <c r="AS86" s="279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256"/>
    </row>
    <row r="87" spans="2:76" s="274" customFormat="1" ht="32.45" customHeight="1">
      <c r="B87" s="272"/>
      <c r="C87" s="175" t="s">
        <v>67</v>
      </c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892">
        <f>SUM(AH89:AM101)</f>
        <v>0</v>
      </c>
      <c r="AH87" s="892"/>
      <c r="AI87" s="892"/>
      <c r="AJ87" s="892"/>
      <c r="AK87" s="892"/>
      <c r="AL87" s="892"/>
      <c r="AM87" s="892"/>
      <c r="AN87" s="893">
        <f>AG87*1.15</f>
        <v>0</v>
      </c>
      <c r="AO87" s="893"/>
      <c r="AP87" s="893"/>
      <c r="AQ87" s="273"/>
      <c r="AS87" s="280" t="e">
        <f>ROUND(AS88+AS91+AS99,2)</f>
        <v>#REF!</v>
      </c>
      <c r="AT87" s="281" t="e">
        <f aca="true" t="shared" si="0" ref="AT87:AT99">ROUND(SUM(AV87:AW87),2)</f>
        <v>#REF!</v>
      </c>
      <c r="AU87" s="282" t="e">
        <f>ROUND(AU88+AU91+AU99,5)</f>
        <v>#REF!</v>
      </c>
      <c r="AV87" s="281" t="e">
        <f>ROUND(AZ87*L31,2)</f>
        <v>#REF!</v>
      </c>
      <c r="AW87" s="281" t="e">
        <f>ROUND(BA87*L32,2)</f>
        <v>#REF!</v>
      </c>
      <c r="AX87" s="281" t="e">
        <f>ROUND(BB87*L31,2)</f>
        <v>#REF!</v>
      </c>
      <c r="AY87" s="281" t="e">
        <f>ROUND(BC87*L32,2)</f>
        <v>#REF!</v>
      </c>
      <c r="AZ87" s="281" t="e">
        <f>ROUND(AZ88+AZ91+AZ99,2)</f>
        <v>#REF!</v>
      </c>
      <c r="BA87" s="281" t="e">
        <f>ROUND(BA88+BA91+BA99,2)</f>
        <v>#REF!</v>
      </c>
      <c r="BB87" s="281" t="e">
        <f>ROUND(BB88+BB91+BB99,2)</f>
        <v>#REF!</v>
      </c>
      <c r="BC87" s="281" t="e">
        <f>ROUND(BC88+BC91+BC99,2)</f>
        <v>#REF!</v>
      </c>
      <c r="BD87" s="283" t="e">
        <f>ROUND(BD88+BD91+BD99,2)</f>
        <v>#REF!</v>
      </c>
      <c r="BF87" s="284"/>
      <c r="BG87" s="284"/>
      <c r="BH87" s="284"/>
      <c r="BI87" s="284"/>
      <c r="BJ87" s="284"/>
      <c r="BK87" s="284"/>
      <c r="BL87" s="284"/>
      <c r="BM87" s="284"/>
      <c r="BN87" s="284"/>
      <c r="BS87" s="285" t="s">
        <v>68</v>
      </c>
      <c r="BT87" s="285" t="s">
        <v>69</v>
      </c>
      <c r="BU87" s="286" t="s">
        <v>70</v>
      </c>
      <c r="BV87" s="285" t="s">
        <v>71</v>
      </c>
      <c r="BW87" s="285" t="s">
        <v>72</v>
      </c>
      <c r="BX87" s="285" t="s">
        <v>73</v>
      </c>
    </row>
    <row r="88" spans="2:76" s="287" customFormat="1" ht="22.5" customHeight="1">
      <c r="B88" s="288"/>
      <c r="C88" s="230"/>
      <c r="D88" s="898" t="s">
        <v>74</v>
      </c>
      <c r="E88" s="898"/>
      <c r="F88" s="898"/>
      <c r="G88" s="898"/>
      <c r="H88" s="898"/>
      <c r="I88" s="231"/>
      <c r="J88" s="898" t="s">
        <v>75</v>
      </c>
      <c r="K88" s="898"/>
      <c r="L88" s="898"/>
      <c r="M88" s="898"/>
      <c r="N88" s="898"/>
      <c r="O88" s="898"/>
      <c r="P88" s="898"/>
      <c r="Q88" s="898"/>
      <c r="R88" s="898"/>
      <c r="S88" s="898"/>
      <c r="T88" s="898"/>
      <c r="U88" s="898"/>
      <c r="V88" s="898"/>
      <c r="W88" s="898"/>
      <c r="X88" s="898"/>
      <c r="Y88" s="898"/>
      <c r="Z88" s="898"/>
      <c r="AA88" s="898"/>
      <c r="AB88" s="898"/>
      <c r="AC88" s="898"/>
      <c r="AD88" s="898"/>
      <c r="AE88" s="898"/>
      <c r="AF88" s="898"/>
      <c r="AG88" s="232"/>
      <c r="AH88" s="231"/>
      <c r="AI88" s="231"/>
      <c r="AJ88" s="231"/>
      <c r="AK88" s="231"/>
      <c r="AL88" s="231"/>
      <c r="AM88" s="231"/>
      <c r="AN88" s="233"/>
      <c r="AO88" s="231"/>
      <c r="AP88" s="231"/>
      <c r="AQ88" s="289"/>
      <c r="AS88" s="290" t="e">
        <f>ROUND(SUM(AS89:AS90),2)</f>
        <v>#REF!</v>
      </c>
      <c r="AT88" s="291" t="e">
        <f t="shared" si="0"/>
        <v>#REF!</v>
      </c>
      <c r="AU88" s="292" t="e">
        <f>ROUND(SUM(AU89:AU90),5)</f>
        <v>#REF!</v>
      </c>
      <c r="AV88" s="291" t="e">
        <f>ROUND(AZ88*L31,2)</f>
        <v>#REF!</v>
      </c>
      <c r="AW88" s="291" t="e">
        <f>ROUND(BA88*L32,2)</f>
        <v>#REF!</v>
      </c>
      <c r="AX88" s="291" t="e">
        <f>ROUND(BB88*L31,2)</f>
        <v>#REF!</v>
      </c>
      <c r="AY88" s="291" t="e">
        <f>ROUND(BC88*L32,2)</f>
        <v>#REF!</v>
      </c>
      <c r="AZ88" s="291" t="e">
        <f>ROUND(SUM(AZ89:AZ90),2)</f>
        <v>#REF!</v>
      </c>
      <c r="BA88" s="291" t="e">
        <f>ROUND(SUM(BA89:BA90),2)</f>
        <v>#REF!</v>
      </c>
      <c r="BB88" s="291" t="e">
        <f>ROUND(SUM(BB89:BB90),2)</f>
        <v>#REF!</v>
      </c>
      <c r="BC88" s="291" t="e">
        <f>ROUND(SUM(BC89:BC90),2)</f>
        <v>#REF!</v>
      </c>
      <c r="BD88" s="293" t="e">
        <f>ROUND(SUM(BD89:BD90),2)</f>
        <v>#REF!</v>
      </c>
      <c r="BF88" s="294"/>
      <c r="BG88" s="294"/>
      <c r="BH88" s="294"/>
      <c r="BI88" s="294"/>
      <c r="BJ88" s="294"/>
      <c r="BK88" s="294"/>
      <c r="BL88" s="294"/>
      <c r="BM88" s="294"/>
      <c r="BN88" s="294"/>
      <c r="BS88" s="295" t="s">
        <v>68</v>
      </c>
      <c r="BT88" s="295" t="s">
        <v>76</v>
      </c>
      <c r="BU88" s="295" t="s">
        <v>70</v>
      </c>
      <c r="BV88" s="295" t="s">
        <v>71</v>
      </c>
      <c r="BW88" s="295" t="s">
        <v>77</v>
      </c>
      <c r="BX88" s="295" t="s">
        <v>72</v>
      </c>
    </row>
    <row r="89" spans="1:76" s="299" customFormat="1" ht="22.5" customHeight="1">
      <c r="A89" s="296" t="s">
        <v>78</v>
      </c>
      <c r="B89" s="297"/>
      <c r="C89" s="234"/>
      <c r="D89" s="234"/>
      <c r="E89" s="868" t="s">
        <v>266</v>
      </c>
      <c r="F89" s="868"/>
      <c r="G89" s="868"/>
      <c r="H89" s="868"/>
      <c r="I89" s="868"/>
      <c r="J89" s="234"/>
      <c r="K89" s="869" t="s">
        <v>79</v>
      </c>
      <c r="L89" s="869"/>
      <c r="M89" s="869"/>
      <c r="N89" s="869"/>
      <c r="O89" s="869"/>
      <c r="P89" s="869"/>
      <c r="Q89" s="869"/>
      <c r="R89" s="869"/>
      <c r="S89" s="869"/>
      <c r="T89" s="869"/>
      <c r="U89" s="869"/>
      <c r="V89" s="869"/>
      <c r="W89" s="869"/>
      <c r="X89" s="869"/>
      <c r="Y89" s="869"/>
      <c r="Z89" s="869"/>
      <c r="AA89" s="869"/>
      <c r="AB89" s="869"/>
      <c r="AC89" s="869"/>
      <c r="AD89" s="869"/>
      <c r="AE89" s="869"/>
      <c r="AF89" s="869"/>
      <c r="AG89" s="235"/>
      <c r="AH89" s="870">
        <f>SUM('01 - BOURACÍ PRÁCE'!N113:Q113)</f>
        <v>0</v>
      </c>
      <c r="AI89" s="870"/>
      <c r="AJ89" s="870"/>
      <c r="AK89" s="870"/>
      <c r="AL89" s="870"/>
      <c r="AM89" s="870"/>
      <c r="AN89" s="870">
        <f aca="true" t="shared" si="1" ref="AN89:AN90">AH89*1.15</f>
        <v>0</v>
      </c>
      <c r="AO89" s="870"/>
      <c r="AP89" s="870"/>
      <c r="AQ89" s="298"/>
      <c r="AS89" s="300" t="e">
        <f>#REF!</f>
        <v>#REF!</v>
      </c>
      <c r="AT89" s="301" t="e">
        <f t="shared" si="0"/>
        <v>#REF!</v>
      </c>
      <c r="AU89" s="302" t="e">
        <f>#REF!</f>
        <v>#REF!</v>
      </c>
      <c r="AV89" s="301" t="e">
        <f>#REF!</f>
        <v>#REF!</v>
      </c>
      <c r="AW89" s="301" t="e">
        <f>#REF!</f>
        <v>#REF!</v>
      </c>
      <c r="AX89" s="301" t="e">
        <f>#REF!</f>
        <v>#REF!</v>
      </c>
      <c r="AY89" s="301" t="e">
        <f>#REF!</f>
        <v>#REF!</v>
      </c>
      <c r="AZ89" s="301" t="e">
        <f>#REF!</f>
        <v>#REF!</v>
      </c>
      <c r="BA89" s="301" t="e">
        <f>#REF!</f>
        <v>#REF!</v>
      </c>
      <c r="BB89" s="301" t="e">
        <f>#REF!</f>
        <v>#REF!</v>
      </c>
      <c r="BC89" s="301" t="e">
        <f>#REF!</f>
        <v>#REF!</v>
      </c>
      <c r="BD89" s="303" t="e">
        <f>#REF!</f>
        <v>#REF!</v>
      </c>
      <c r="BF89" s="304"/>
      <c r="BG89" s="304"/>
      <c r="BH89" s="304"/>
      <c r="BI89" s="304"/>
      <c r="BJ89" s="304"/>
      <c r="BK89" s="304"/>
      <c r="BL89" s="304"/>
      <c r="BM89" s="304"/>
      <c r="BN89" s="304"/>
      <c r="BT89" s="305" t="s">
        <v>80</v>
      </c>
      <c r="BV89" s="305" t="s">
        <v>71</v>
      </c>
      <c r="BW89" s="305" t="s">
        <v>81</v>
      </c>
      <c r="BX89" s="305" t="s">
        <v>77</v>
      </c>
    </row>
    <row r="90" spans="1:76" s="299" customFormat="1" ht="22.5" customHeight="1">
      <c r="A90" s="296" t="s">
        <v>78</v>
      </c>
      <c r="B90" s="297"/>
      <c r="C90" s="234"/>
      <c r="D90" s="234"/>
      <c r="E90" s="868" t="s">
        <v>267</v>
      </c>
      <c r="F90" s="868"/>
      <c r="G90" s="868"/>
      <c r="H90" s="868"/>
      <c r="I90" s="868"/>
      <c r="J90" s="234"/>
      <c r="K90" s="869" t="s">
        <v>82</v>
      </c>
      <c r="L90" s="869"/>
      <c r="M90" s="869"/>
      <c r="N90" s="869"/>
      <c r="O90" s="869"/>
      <c r="P90" s="869"/>
      <c r="Q90" s="869"/>
      <c r="R90" s="869"/>
      <c r="S90" s="869"/>
      <c r="T90" s="869"/>
      <c r="U90" s="869"/>
      <c r="V90" s="869"/>
      <c r="W90" s="869"/>
      <c r="X90" s="869"/>
      <c r="Y90" s="869"/>
      <c r="Z90" s="869"/>
      <c r="AA90" s="869"/>
      <c r="AB90" s="869"/>
      <c r="AC90" s="869"/>
      <c r="AD90" s="869"/>
      <c r="AE90" s="869"/>
      <c r="AF90" s="869"/>
      <c r="AG90" s="235"/>
      <c r="AH90" s="870">
        <f>SUM('02 - STAVEBNÍ ÚPRAVY'!N90:Q90)</f>
        <v>0</v>
      </c>
      <c r="AI90" s="870"/>
      <c r="AJ90" s="870"/>
      <c r="AK90" s="870"/>
      <c r="AL90" s="870"/>
      <c r="AM90" s="870"/>
      <c r="AN90" s="870">
        <f t="shared" si="1"/>
        <v>0</v>
      </c>
      <c r="AO90" s="870"/>
      <c r="AP90" s="870"/>
      <c r="AQ90" s="298"/>
      <c r="AS90" s="300" t="e">
        <f>#REF!</f>
        <v>#REF!</v>
      </c>
      <c r="AT90" s="301" t="e">
        <f t="shared" si="0"/>
        <v>#REF!</v>
      </c>
      <c r="AU90" s="302" t="e">
        <f>#REF!</f>
        <v>#REF!</v>
      </c>
      <c r="AV90" s="301" t="e">
        <f>#REF!</f>
        <v>#REF!</v>
      </c>
      <c r="AW90" s="301" t="e">
        <f>#REF!</f>
        <v>#REF!</v>
      </c>
      <c r="AX90" s="301" t="e">
        <f>#REF!</f>
        <v>#REF!</v>
      </c>
      <c r="AY90" s="301" t="e">
        <f>#REF!</f>
        <v>#REF!</v>
      </c>
      <c r="AZ90" s="301" t="e">
        <f>#REF!</f>
        <v>#REF!</v>
      </c>
      <c r="BA90" s="301" t="e">
        <f>#REF!</f>
        <v>#REF!</v>
      </c>
      <c r="BB90" s="301" t="e">
        <f>#REF!</f>
        <v>#REF!</v>
      </c>
      <c r="BC90" s="301" t="e">
        <f>#REF!</f>
        <v>#REF!</v>
      </c>
      <c r="BD90" s="303" t="e">
        <f>#REF!</f>
        <v>#REF!</v>
      </c>
      <c r="BF90" s="304"/>
      <c r="BG90" s="304"/>
      <c r="BH90" s="304"/>
      <c r="BI90" s="304"/>
      <c r="BJ90" s="304"/>
      <c r="BK90" s="304"/>
      <c r="BL90" s="304"/>
      <c r="BM90" s="304"/>
      <c r="BN90" s="304"/>
      <c r="BT90" s="305" t="s">
        <v>80</v>
      </c>
      <c r="BV90" s="305" t="s">
        <v>71</v>
      </c>
      <c r="BW90" s="305" t="s">
        <v>83</v>
      </c>
      <c r="BX90" s="305" t="s">
        <v>77</v>
      </c>
    </row>
    <row r="91" spans="2:76" s="287" customFormat="1" ht="22.5" customHeight="1">
      <c r="B91" s="288"/>
      <c r="C91" s="230"/>
      <c r="D91" s="898" t="s">
        <v>84</v>
      </c>
      <c r="E91" s="898"/>
      <c r="F91" s="898"/>
      <c r="G91" s="898"/>
      <c r="H91" s="898"/>
      <c r="I91" s="231"/>
      <c r="J91" s="898" t="s">
        <v>85</v>
      </c>
      <c r="K91" s="898"/>
      <c r="L91" s="898"/>
      <c r="M91" s="898"/>
      <c r="N91" s="898"/>
      <c r="O91" s="898"/>
      <c r="P91" s="898"/>
      <c r="Q91" s="898"/>
      <c r="R91" s="898"/>
      <c r="S91" s="898"/>
      <c r="T91" s="898"/>
      <c r="U91" s="898"/>
      <c r="V91" s="898"/>
      <c r="W91" s="898"/>
      <c r="X91" s="898"/>
      <c r="Y91" s="898"/>
      <c r="Z91" s="898"/>
      <c r="AA91" s="898"/>
      <c r="AB91" s="898"/>
      <c r="AC91" s="898"/>
      <c r="AD91" s="898"/>
      <c r="AE91" s="898"/>
      <c r="AF91" s="898"/>
      <c r="AG91" s="232"/>
      <c r="AH91" s="236"/>
      <c r="AI91" s="236"/>
      <c r="AJ91" s="236"/>
      <c r="AK91" s="236"/>
      <c r="AL91" s="236"/>
      <c r="AM91" s="236"/>
      <c r="AN91" s="870"/>
      <c r="AO91" s="870"/>
      <c r="AP91" s="870"/>
      <c r="AQ91" s="289"/>
      <c r="AS91" s="290" t="e">
        <f>ROUND(SUM(AS92:AS96),2)</f>
        <v>#REF!</v>
      </c>
      <c r="AT91" s="291" t="e">
        <f t="shared" si="0"/>
        <v>#REF!</v>
      </c>
      <c r="AU91" s="292" t="e">
        <f>ROUND(SUM(AU92:AU96),5)</f>
        <v>#REF!</v>
      </c>
      <c r="AV91" s="291" t="e">
        <f>ROUND(AZ91*L31,2)</f>
        <v>#REF!</v>
      </c>
      <c r="AW91" s="291" t="e">
        <f>ROUND(BA91*L32,2)</f>
        <v>#REF!</v>
      </c>
      <c r="AX91" s="291" t="e">
        <f>ROUND(BB91*L31,2)</f>
        <v>#REF!</v>
      </c>
      <c r="AY91" s="291" t="e">
        <f>ROUND(BC91*L32,2)</f>
        <v>#REF!</v>
      </c>
      <c r="AZ91" s="291" t="e">
        <f>ROUND(SUM(AZ92:AZ96),2)</f>
        <v>#REF!</v>
      </c>
      <c r="BA91" s="291" t="e">
        <f>ROUND(SUM(BA92:BA96),2)</f>
        <v>#REF!</v>
      </c>
      <c r="BB91" s="291" t="e">
        <f>ROUND(SUM(BB92:BB96),2)</f>
        <v>#REF!</v>
      </c>
      <c r="BC91" s="291" t="e">
        <f>ROUND(SUM(BC92:BC96),2)</f>
        <v>#REF!</v>
      </c>
      <c r="BD91" s="293" t="e">
        <f>ROUND(SUM(BD92:BD96),2)</f>
        <v>#REF!</v>
      </c>
      <c r="BF91" s="294"/>
      <c r="BG91" s="294"/>
      <c r="BH91" s="294"/>
      <c r="BI91" s="294"/>
      <c r="BJ91" s="294"/>
      <c r="BK91" s="294"/>
      <c r="BL91" s="294"/>
      <c r="BM91" s="294"/>
      <c r="BN91" s="294"/>
      <c r="BS91" s="295" t="s">
        <v>68</v>
      </c>
      <c r="BT91" s="295" t="s">
        <v>76</v>
      </c>
      <c r="BU91" s="295" t="s">
        <v>70</v>
      </c>
      <c r="BV91" s="295" t="s">
        <v>71</v>
      </c>
      <c r="BW91" s="295" t="s">
        <v>86</v>
      </c>
      <c r="BX91" s="295" t="s">
        <v>72</v>
      </c>
    </row>
    <row r="92" spans="1:76" s="299" customFormat="1" ht="22.5" customHeight="1">
      <c r="A92" s="296" t="s">
        <v>78</v>
      </c>
      <c r="B92" s="297"/>
      <c r="C92" s="234"/>
      <c r="D92" s="234"/>
      <c r="E92" s="868" t="s">
        <v>268</v>
      </c>
      <c r="F92" s="868"/>
      <c r="G92" s="868"/>
      <c r="H92" s="868"/>
      <c r="I92" s="868"/>
      <c r="J92" s="234"/>
      <c r="K92" s="869" t="s">
        <v>258</v>
      </c>
      <c r="L92" s="869"/>
      <c r="M92" s="869"/>
      <c r="N92" s="869"/>
      <c r="O92" s="869"/>
      <c r="P92" s="869"/>
      <c r="Q92" s="869"/>
      <c r="R92" s="869"/>
      <c r="S92" s="869"/>
      <c r="T92" s="869"/>
      <c r="U92" s="869"/>
      <c r="V92" s="869"/>
      <c r="W92" s="869"/>
      <c r="X92" s="869"/>
      <c r="Y92" s="869"/>
      <c r="Z92" s="869"/>
      <c r="AA92" s="869"/>
      <c r="AB92" s="869"/>
      <c r="AC92" s="869"/>
      <c r="AD92" s="869"/>
      <c r="AE92" s="869"/>
      <c r="AF92" s="869"/>
      <c r="AG92" s="235"/>
      <c r="AH92" s="870">
        <f>SUM('03 - KANALIZACE'!N90:Q90)</f>
        <v>0</v>
      </c>
      <c r="AI92" s="870"/>
      <c r="AJ92" s="870"/>
      <c r="AK92" s="870"/>
      <c r="AL92" s="870"/>
      <c r="AM92" s="870"/>
      <c r="AN92" s="870">
        <f>AH92*1.15</f>
        <v>0</v>
      </c>
      <c r="AO92" s="870"/>
      <c r="AP92" s="870"/>
      <c r="AQ92" s="298"/>
      <c r="AS92" s="300">
        <f>'02 - STAVEBNÍ ÚPRAVY'!M29</f>
        <v>0</v>
      </c>
      <c r="AT92" s="301">
        <f t="shared" si="0"/>
        <v>0</v>
      </c>
      <c r="AU92" s="302" t="e">
        <f>'02 - STAVEBNÍ ÚPRAVY'!W112</f>
        <v>#REF!</v>
      </c>
      <c r="AV92" s="301">
        <f>'02 - STAVEBNÍ ÚPRAVY'!M33</f>
        <v>0</v>
      </c>
      <c r="AW92" s="301">
        <f>'02 - STAVEBNÍ ÚPRAVY'!M34</f>
        <v>0</v>
      </c>
      <c r="AX92" s="301">
        <f>'02 - STAVEBNÍ ÚPRAVY'!M35</f>
        <v>0</v>
      </c>
      <c r="AY92" s="301">
        <f>'02 - STAVEBNÍ ÚPRAVY'!M36</f>
        <v>0</v>
      </c>
      <c r="AZ92" s="301">
        <f>'02 - STAVEBNÍ ÚPRAVY'!H33</f>
        <v>0</v>
      </c>
      <c r="BA92" s="301">
        <f>'02 - STAVEBNÍ ÚPRAVY'!H34</f>
        <v>0</v>
      </c>
      <c r="BB92" s="301">
        <f>'02 - STAVEBNÍ ÚPRAVY'!H35</f>
        <v>0</v>
      </c>
      <c r="BC92" s="301">
        <f>'02 - STAVEBNÍ ÚPRAVY'!H36</f>
        <v>0</v>
      </c>
      <c r="BD92" s="303">
        <f>'02 - STAVEBNÍ ÚPRAVY'!H37</f>
        <v>0</v>
      </c>
      <c r="BF92" s="304"/>
      <c r="BG92" s="304"/>
      <c r="BH92" s="304"/>
      <c r="BI92" s="304"/>
      <c r="BJ92" s="304"/>
      <c r="BK92" s="304"/>
      <c r="BL92" s="304"/>
      <c r="BM92" s="304"/>
      <c r="BN92" s="304"/>
      <c r="BT92" s="305" t="s">
        <v>80</v>
      </c>
      <c r="BV92" s="305" t="s">
        <v>71</v>
      </c>
      <c r="BW92" s="305" t="s">
        <v>87</v>
      </c>
      <c r="BX92" s="305" t="s">
        <v>86</v>
      </c>
    </row>
    <row r="93" spans="1:76" s="299" customFormat="1" ht="22.5" customHeight="1">
      <c r="A93" s="296"/>
      <c r="B93" s="297"/>
      <c r="C93" s="234"/>
      <c r="D93" s="234"/>
      <c r="E93" s="868" t="s">
        <v>269</v>
      </c>
      <c r="F93" s="868"/>
      <c r="G93" s="868"/>
      <c r="H93" s="868"/>
      <c r="I93" s="868"/>
      <c r="J93" s="234"/>
      <c r="K93" s="869" t="s">
        <v>259</v>
      </c>
      <c r="L93" s="869"/>
      <c r="M93" s="869"/>
      <c r="N93" s="869"/>
      <c r="O93" s="869"/>
      <c r="P93" s="869"/>
      <c r="Q93" s="869"/>
      <c r="R93" s="869"/>
      <c r="S93" s="869"/>
      <c r="T93" s="869"/>
      <c r="U93" s="869"/>
      <c r="V93" s="869"/>
      <c r="W93" s="869"/>
      <c r="X93" s="869"/>
      <c r="Y93" s="869"/>
      <c r="Z93" s="869"/>
      <c r="AA93" s="869"/>
      <c r="AB93" s="869"/>
      <c r="AC93" s="869"/>
      <c r="AD93" s="869"/>
      <c r="AE93" s="869"/>
      <c r="AF93" s="869"/>
      <c r="AG93" s="235"/>
      <c r="AH93" s="870">
        <f>SUM('04 - VODOVOD'!M28:P28)</f>
        <v>0</v>
      </c>
      <c r="AI93" s="870"/>
      <c r="AJ93" s="870"/>
      <c r="AK93" s="870"/>
      <c r="AL93" s="870"/>
      <c r="AM93" s="870"/>
      <c r="AN93" s="870">
        <f aca="true" t="shared" si="2" ref="AN93:AN96">AH93*1.15</f>
        <v>0</v>
      </c>
      <c r="AO93" s="870"/>
      <c r="AP93" s="870"/>
      <c r="AQ93" s="298"/>
      <c r="AS93" s="300"/>
      <c r="AT93" s="301"/>
      <c r="AU93" s="302"/>
      <c r="AV93" s="301"/>
      <c r="AW93" s="301"/>
      <c r="AX93" s="301"/>
      <c r="AY93" s="301"/>
      <c r="AZ93" s="301"/>
      <c r="BA93" s="301"/>
      <c r="BB93" s="301"/>
      <c r="BC93" s="301"/>
      <c r="BD93" s="303"/>
      <c r="BF93" s="304"/>
      <c r="BG93" s="304"/>
      <c r="BH93" s="304"/>
      <c r="BI93" s="304"/>
      <c r="BJ93" s="304"/>
      <c r="BK93" s="304"/>
      <c r="BL93" s="304"/>
      <c r="BM93" s="304"/>
      <c r="BN93" s="304"/>
      <c r="BT93" s="305"/>
      <c r="BV93" s="305"/>
      <c r="BW93" s="305"/>
      <c r="BX93" s="305"/>
    </row>
    <row r="94" spans="1:76" s="299" customFormat="1" ht="22.5" customHeight="1">
      <c r="A94" s="296" t="s">
        <v>78</v>
      </c>
      <c r="B94" s="297"/>
      <c r="C94" s="234"/>
      <c r="D94" s="234"/>
      <c r="E94" s="868" t="s">
        <v>270</v>
      </c>
      <c r="F94" s="868"/>
      <c r="G94" s="868"/>
      <c r="H94" s="868"/>
      <c r="I94" s="868"/>
      <c r="J94" s="234"/>
      <c r="K94" s="869" t="s">
        <v>2247</v>
      </c>
      <c r="L94" s="869"/>
      <c r="M94" s="869"/>
      <c r="N94" s="869"/>
      <c r="O94" s="869"/>
      <c r="P94" s="869"/>
      <c r="Q94" s="869"/>
      <c r="R94" s="869"/>
      <c r="S94" s="869"/>
      <c r="T94" s="869"/>
      <c r="U94" s="869"/>
      <c r="V94" s="869"/>
      <c r="W94" s="869"/>
      <c r="X94" s="869"/>
      <c r="Y94" s="869"/>
      <c r="Z94" s="869"/>
      <c r="AA94" s="869"/>
      <c r="AB94" s="869"/>
      <c r="AC94" s="869"/>
      <c r="AD94" s="869"/>
      <c r="AE94" s="869"/>
      <c r="AF94" s="869"/>
      <c r="AG94" s="235"/>
      <c r="AH94" s="870">
        <f>SUM('05 - TOPENÍ'!N113:Q113)</f>
        <v>0</v>
      </c>
      <c r="AI94" s="870"/>
      <c r="AJ94" s="870"/>
      <c r="AK94" s="870"/>
      <c r="AL94" s="870"/>
      <c r="AM94" s="870"/>
      <c r="AN94" s="870">
        <f t="shared" si="2"/>
        <v>0</v>
      </c>
      <c r="AO94" s="870"/>
      <c r="AP94" s="870"/>
      <c r="AQ94" s="298"/>
      <c r="AS94" s="300" t="e">
        <f>#REF!</f>
        <v>#REF!</v>
      </c>
      <c r="AT94" s="301" t="e">
        <f t="shared" si="0"/>
        <v>#REF!</v>
      </c>
      <c r="AU94" s="302" t="e">
        <f>#REF!</f>
        <v>#REF!</v>
      </c>
      <c r="AV94" s="301" t="e">
        <f>#REF!</f>
        <v>#REF!</v>
      </c>
      <c r="AW94" s="301" t="e">
        <f>#REF!</f>
        <v>#REF!</v>
      </c>
      <c r="AX94" s="301" t="e">
        <f>#REF!</f>
        <v>#REF!</v>
      </c>
      <c r="AY94" s="301" t="e">
        <f>#REF!</f>
        <v>#REF!</v>
      </c>
      <c r="AZ94" s="301" t="e">
        <f>#REF!</f>
        <v>#REF!</v>
      </c>
      <c r="BA94" s="301" t="e">
        <f>#REF!</f>
        <v>#REF!</v>
      </c>
      <c r="BB94" s="301" t="e">
        <f>#REF!</f>
        <v>#REF!</v>
      </c>
      <c r="BC94" s="301" t="e">
        <f>#REF!</f>
        <v>#REF!</v>
      </c>
      <c r="BD94" s="303" t="e">
        <f>#REF!</f>
        <v>#REF!</v>
      </c>
      <c r="BF94" s="304"/>
      <c r="BG94" s="304"/>
      <c r="BH94" s="304"/>
      <c r="BI94" s="304"/>
      <c r="BJ94" s="304"/>
      <c r="BK94" s="304"/>
      <c r="BL94" s="304"/>
      <c r="BM94" s="304"/>
      <c r="BN94" s="304"/>
      <c r="BT94" s="305" t="s">
        <v>80</v>
      </c>
      <c r="BV94" s="305" t="s">
        <v>71</v>
      </c>
      <c r="BW94" s="305" t="s">
        <v>88</v>
      </c>
      <c r="BX94" s="305" t="s">
        <v>86</v>
      </c>
    </row>
    <row r="95" spans="1:76" s="299" customFormat="1" ht="22.5" customHeight="1">
      <c r="A95" s="296" t="s">
        <v>78</v>
      </c>
      <c r="B95" s="297"/>
      <c r="C95" s="234"/>
      <c r="D95" s="234"/>
      <c r="E95" s="868" t="s">
        <v>271</v>
      </c>
      <c r="F95" s="868"/>
      <c r="G95" s="868"/>
      <c r="H95" s="868"/>
      <c r="I95" s="868"/>
      <c r="J95" s="234"/>
      <c r="K95" s="869" t="s">
        <v>260</v>
      </c>
      <c r="L95" s="869"/>
      <c r="M95" s="869"/>
      <c r="N95" s="869"/>
      <c r="O95" s="869"/>
      <c r="P95" s="869"/>
      <c r="Q95" s="869"/>
      <c r="R95" s="869"/>
      <c r="S95" s="869"/>
      <c r="T95" s="869"/>
      <c r="U95" s="869"/>
      <c r="V95" s="869"/>
      <c r="W95" s="869"/>
      <c r="X95" s="869"/>
      <c r="Y95" s="869"/>
      <c r="Z95" s="869"/>
      <c r="AA95" s="869"/>
      <c r="AB95" s="869"/>
      <c r="AC95" s="869"/>
      <c r="AD95" s="869"/>
      <c r="AE95" s="869"/>
      <c r="AF95" s="869"/>
      <c r="AG95" s="235"/>
      <c r="AH95" s="870">
        <f>SUM('06 - PLYN'!N113:Q113)</f>
        <v>0</v>
      </c>
      <c r="AI95" s="870"/>
      <c r="AJ95" s="870"/>
      <c r="AK95" s="870"/>
      <c r="AL95" s="870"/>
      <c r="AM95" s="870"/>
      <c r="AN95" s="870">
        <f t="shared" si="2"/>
        <v>0</v>
      </c>
      <c r="AO95" s="870"/>
      <c r="AP95" s="870"/>
      <c r="AQ95" s="298"/>
      <c r="AS95" s="300" t="e">
        <f>#REF!</f>
        <v>#REF!</v>
      </c>
      <c r="AT95" s="301" t="e">
        <f t="shared" si="0"/>
        <v>#REF!</v>
      </c>
      <c r="AU95" s="302" t="e">
        <f>#REF!</f>
        <v>#REF!</v>
      </c>
      <c r="AV95" s="301" t="e">
        <f>#REF!</f>
        <v>#REF!</v>
      </c>
      <c r="AW95" s="301" t="e">
        <f>#REF!</f>
        <v>#REF!</v>
      </c>
      <c r="AX95" s="301" t="e">
        <f>#REF!</f>
        <v>#REF!</v>
      </c>
      <c r="AY95" s="301" t="e">
        <f>#REF!</f>
        <v>#REF!</v>
      </c>
      <c r="AZ95" s="301" t="e">
        <f>#REF!</f>
        <v>#REF!</v>
      </c>
      <c r="BA95" s="301" t="e">
        <f>#REF!</f>
        <v>#REF!</v>
      </c>
      <c r="BB95" s="301" t="e">
        <f>#REF!</f>
        <v>#REF!</v>
      </c>
      <c r="BC95" s="301" t="e">
        <f>#REF!</f>
        <v>#REF!</v>
      </c>
      <c r="BD95" s="303" t="e">
        <f>#REF!</f>
        <v>#REF!</v>
      </c>
      <c r="BF95" s="304"/>
      <c r="BG95" s="304"/>
      <c r="BH95" s="304"/>
      <c r="BI95" s="304"/>
      <c r="BJ95" s="304"/>
      <c r="BK95" s="304"/>
      <c r="BL95" s="304"/>
      <c r="BM95" s="304"/>
      <c r="BN95" s="304"/>
      <c r="BT95" s="305" t="s">
        <v>80</v>
      </c>
      <c r="BV95" s="305" t="s">
        <v>71</v>
      </c>
      <c r="BW95" s="305" t="s">
        <v>89</v>
      </c>
      <c r="BX95" s="305" t="s">
        <v>86</v>
      </c>
    </row>
    <row r="96" spans="1:76" s="299" customFormat="1" ht="22.5" customHeight="1">
      <c r="A96" s="296" t="s">
        <v>78</v>
      </c>
      <c r="B96" s="297"/>
      <c r="C96" s="234"/>
      <c r="D96" s="234"/>
      <c r="E96" s="868" t="s">
        <v>2246</v>
      </c>
      <c r="F96" s="868"/>
      <c r="G96" s="868"/>
      <c r="H96" s="868"/>
      <c r="I96" s="868"/>
      <c r="J96" s="234"/>
      <c r="K96" s="869" t="s">
        <v>90</v>
      </c>
      <c r="L96" s="869"/>
      <c r="M96" s="869"/>
      <c r="N96" s="869"/>
      <c r="O96" s="869"/>
      <c r="P96" s="869"/>
      <c r="Q96" s="869"/>
      <c r="R96" s="869"/>
      <c r="S96" s="869"/>
      <c r="T96" s="869"/>
      <c r="U96" s="869"/>
      <c r="V96" s="869"/>
      <c r="W96" s="869"/>
      <c r="X96" s="869"/>
      <c r="Y96" s="869"/>
      <c r="Z96" s="869"/>
      <c r="AA96" s="869"/>
      <c r="AB96" s="869"/>
      <c r="AC96" s="869"/>
      <c r="AD96" s="869"/>
      <c r="AE96" s="869"/>
      <c r="AF96" s="869"/>
      <c r="AG96" s="235"/>
      <c r="AH96" s="870">
        <f>SUM('07 - ELEKTRO'!L94:Q94)</f>
        <v>0</v>
      </c>
      <c r="AI96" s="870"/>
      <c r="AJ96" s="870"/>
      <c r="AK96" s="870"/>
      <c r="AL96" s="870"/>
      <c r="AM96" s="870"/>
      <c r="AN96" s="870">
        <f t="shared" si="2"/>
        <v>0</v>
      </c>
      <c r="AO96" s="870"/>
      <c r="AP96" s="870"/>
      <c r="AQ96" s="298"/>
      <c r="AS96" s="300" t="e">
        <f>#REF!</f>
        <v>#REF!</v>
      </c>
      <c r="AT96" s="301" t="e">
        <f t="shared" si="0"/>
        <v>#REF!</v>
      </c>
      <c r="AU96" s="302" t="e">
        <f>#REF!</f>
        <v>#REF!</v>
      </c>
      <c r="AV96" s="301" t="e">
        <f>#REF!</f>
        <v>#REF!</v>
      </c>
      <c r="AW96" s="301" t="e">
        <f>#REF!</f>
        <v>#REF!</v>
      </c>
      <c r="AX96" s="301" t="e">
        <f>#REF!</f>
        <v>#REF!</v>
      </c>
      <c r="AY96" s="301" t="e">
        <f>#REF!</f>
        <v>#REF!</v>
      </c>
      <c r="AZ96" s="301" t="e">
        <f>#REF!</f>
        <v>#REF!</v>
      </c>
      <c r="BA96" s="301" t="e">
        <f>#REF!</f>
        <v>#REF!</v>
      </c>
      <c r="BB96" s="301" t="e">
        <f>#REF!</f>
        <v>#REF!</v>
      </c>
      <c r="BC96" s="301" t="e">
        <f>#REF!</f>
        <v>#REF!</v>
      </c>
      <c r="BD96" s="303" t="e">
        <f>#REF!</f>
        <v>#REF!</v>
      </c>
      <c r="BF96" s="304"/>
      <c r="BG96" s="304"/>
      <c r="BH96" s="304"/>
      <c r="BI96" s="304"/>
      <c r="BJ96" s="304"/>
      <c r="BK96" s="304"/>
      <c r="BL96" s="304"/>
      <c r="BM96" s="304"/>
      <c r="BN96" s="304"/>
      <c r="BT96" s="305" t="s">
        <v>80</v>
      </c>
      <c r="BV96" s="305" t="s">
        <v>71</v>
      </c>
      <c r="BW96" s="305" t="s">
        <v>91</v>
      </c>
      <c r="BX96" s="305" t="s">
        <v>86</v>
      </c>
    </row>
    <row r="97" spans="1:76" s="299" customFormat="1" ht="22.5" customHeight="1">
      <c r="A97" s="296"/>
      <c r="B97" s="297"/>
      <c r="C97" s="367"/>
      <c r="D97" s="367"/>
      <c r="E97" s="868" t="s">
        <v>272</v>
      </c>
      <c r="F97" s="868"/>
      <c r="G97" s="868"/>
      <c r="H97" s="868"/>
      <c r="I97" s="868"/>
      <c r="J97" s="367"/>
      <c r="K97" s="869" t="s">
        <v>2248</v>
      </c>
      <c r="L97" s="869"/>
      <c r="M97" s="869"/>
      <c r="N97" s="869"/>
      <c r="O97" s="869"/>
      <c r="P97" s="869"/>
      <c r="Q97" s="869"/>
      <c r="R97" s="869"/>
      <c r="S97" s="869"/>
      <c r="T97" s="869"/>
      <c r="U97" s="869"/>
      <c r="V97" s="869"/>
      <c r="W97" s="869"/>
      <c r="X97" s="869"/>
      <c r="Y97" s="869"/>
      <c r="Z97" s="869"/>
      <c r="AA97" s="869"/>
      <c r="AB97" s="869"/>
      <c r="AC97" s="869"/>
      <c r="AD97" s="869"/>
      <c r="AE97" s="869"/>
      <c r="AF97" s="869"/>
      <c r="AG97" s="366"/>
      <c r="AH97" s="870">
        <f>SUM('08-VZT'!N115:Q189)</f>
        <v>0</v>
      </c>
      <c r="AI97" s="870"/>
      <c r="AJ97" s="870"/>
      <c r="AK97" s="870"/>
      <c r="AL97" s="870"/>
      <c r="AM97" s="870"/>
      <c r="AN97" s="870">
        <f aca="true" t="shared" si="3" ref="AN97">AH97*1.15</f>
        <v>0</v>
      </c>
      <c r="AO97" s="870"/>
      <c r="AP97" s="870"/>
      <c r="AQ97" s="298"/>
      <c r="AS97" s="300"/>
      <c r="AT97" s="301"/>
      <c r="AU97" s="302"/>
      <c r="AV97" s="301"/>
      <c r="AW97" s="301"/>
      <c r="AX97" s="301"/>
      <c r="AY97" s="301"/>
      <c r="AZ97" s="301"/>
      <c r="BA97" s="301"/>
      <c r="BB97" s="301"/>
      <c r="BC97" s="301"/>
      <c r="BD97" s="303"/>
      <c r="BF97" s="304"/>
      <c r="BG97" s="304"/>
      <c r="BH97" s="304"/>
      <c r="BI97" s="304"/>
      <c r="BJ97" s="304"/>
      <c r="BK97" s="304"/>
      <c r="BL97" s="304"/>
      <c r="BM97" s="304"/>
      <c r="BN97" s="304"/>
      <c r="BT97" s="305"/>
      <c r="BV97" s="305"/>
      <c r="BW97" s="305"/>
      <c r="BX97" s="305"/>
    </row>
    <row r="98" spans="1:76" s="299" customFormat="1" ht="22.5" customHeight="1">
      <c r="A98" s="296"/>
      <c r="B98" s="297"/>
      <c r="C98" s="234"/>
      <c r="D98" s="234"/>
      <c r="E98" s="868" t="s">
        <v>1774</v>
      </c>
      <c r="F98" s="868"/>
      <c r="G98" s="868"/>
      <c r="H98" s="868"/>
      <c r="I98" s="868"/>
      <c r="J98" s="234"/>
      <c r="K98" s="869" t="s">
        <v>1775</v>
      </c>
      <c r="L98" s="869"/>
      <c r="M98" s="869"/>
      <c r="N98" s="869"/>
      <c r="O98" s="869"/>
      <c r="P98" s="869"/>
      <c r="Q98" s="869"/>
      <c r="R98" s="869"/>
      <c r="S98" s="869"/>
      <c r="T98" s="869"/>
      <c r="U98" s="869"/>
      <c r="V98" s="869"/>
      <c r="W98" s="869"/>
      <c r="X98" s="869"/>
      <c r="Y98" s="869"/>
      <c r="Z98" s="869"/>
      <c r="AA98" s="869"/>
      <c r="AB98" s="869"/>
      <c r="AC98" s="869"/>
      <c r="AD98" s="869"/>
      <c r="AE98" s="869"/>
      <c r="AF98" s="869"/>
      <c r="AG98" s="235"/>
      <c r="AH98" s="870">
        <v>0</v>
      </c>
      <c r="AI98" s="870"/>
      <c r="AJ98" s="870"/>
      <c r="AK98" s="870"/>
      <c r="AL98" s="870"/>
      <c r="AM98" s="870"/>
      <c r="AN98" s="870">
        <f aca="true" t="shared" si="4" ref="AN98">AH98*1.15</f>
        <v>0</v>
      </c>
      <c r="AO98" s="870"/>
      <c r="AP98" s="870"/>
      <c r="AQ98" s="298"/>
      <c r="AS98" s="300"/>
      <c r="AT98" s="301"/>
      <c r="AU98" s="302"/>
      <c r="AV98" s="301"/>
      <c r="AW98" s="301"/>
      <c r="AX98" s="301"/>
      <c r="AY98" s="301"/>
      <c r="AZ98" s="301"/>
      <c r="BA98" s="301"/>
      <c r="BB98" s="301"/>
      <c r="BC98" s="301"/>
      <c r="BD98" s="303"/>
      <c r="BF98" s="304"/>
      <c r="BG98" s="304"/>
      <c r="BH98" s="304"/>
      <c r="BI98" s="304"/>
      <c r="BJ98" s="304"/>
      <c r="BK98" s="304"/>
      <c r="BL98" s="304"/>
      <c r="BM98" s="304"/>
      <c r="BN98" s="304"/>
      <c r="BT98" s="305"/>
      <c r="BV98" s="305"/>
      <c r="BW98" s="305"/>
      <c r="BX98" s="305"/>
    </row>
    <row r="99" spans="1:76" s="287" customFormat="1" ht="22.5" customHeight="1">
      <c r="A99" s="296" t="s">
        <v>78</v>
      </c>
      <c r="B99" s="288"/>
      <c r="C99" s="230"/>
      <c r="D99" s="898" t="s">
        <v>241</v>
      </c>
      <c r="E99" s="898"/>
      <c r="F99" s="898"/>
      <c r="G99" s="898"/>
      <c r="H99" s="898"/>
      <c r="I99" s="231"/>
      <c r="J99" s="898" t="s">
        <v>199</v>
      </c>
      <c r="K99" s="898"/>
      <c r="L99" s="898"/>
      <c r="M99" s="898"/>
      <c r="N99" s="898"/>
      <c r="O99" s="898"/>
      <c r="P99" s="898"/>
      <c r="Q99" s="898"/>
      <c r="R99" s="898"/>
      <c r="S99" s="898"/>
      <c r="T99" s="898"/>
      <c r="U99" s="898"/>
      <c r="V99" s="898"/>
      <c r="W99" s="898"/>
      <c r="X99" s="898"/>
      <c r="Y99" s="898"/>
      <c r="Z99" s="898"/>
      <c r="AA99" s="898"/>
      <c r="AB99" s="898"/>
      <c r="AC99" s="898"/>
      <c r="AD99" s="898"/>
      <c r="AE99" s="898"/>
      <c r="AF99" s="898"/>
      <c r="AG99" s="233"/>
      <c r="AH99" s="870"/>
      <c r="AI99" s="870"/>
      <c r="AJ99" s="870"/>
      <c r="AK99" s="870"/>
      <c r="AL99" s="870"/>
      <c r="AM99" s="870"/>
      <c r="AN99" s="870"/>
      <c r="AO99" s="870"/>
      <c r="AP99" s="870"/>
      <c r="AQ99" s="289"/>
      <c r="AS99" s="306" t="e">
        <f>#REF!</f>
        <v>#REF!</v>
      </c>
      <c r="AT99" s="307" t="e">
        <f t="shared" si="0"/>
        <v>#REF!</v>
      </c>
      <c r="AU99" s="308" t="e">
        <f>#REF!</f>
        <v>#REF!</v>
      </c>
      <c r="AV99" s="307" t="e">
        <f>#REF!</f>
        <v>#REF!</v>
      </c>
      <c r="AW99" s="307" t="e">
        <f>#REF!</f>
        <v>#REF!</v>
      </c>
      <c r="AX99" s="307" t="e">
        <f>#REF!</f>
        <v>#REF!</v>
      </c>
      <c r="AY99" s="307" t="e">
        <f>#REF!</f>
        <v>#REF!</v>
      </c>
      <c r="AZ99" s="307" t="e">
        <f>#REF!</f>
        <v>#REF!</v>
      </c>
      <c r="BA99" s="307" t="e">
        <f>#REF!</f>
        <v>#REF!</v>
      </c>
      <c r="BB99" s="307" t="e">
        <f>#REF!</f>
        <v>#REF!</v>
      </c>
      <c r="BC99" s="307" t="e">
        <f>#REF!</f>
        <v>#REF!</v>
      </c>
      <c r="BD99" s="309" t="e">
        <f>#REF!</f>
        <v>#REF!</v>
      </c>
      <c r="BF99" s="294"/>
      <c r="BG99" s="294"/>
      <c r="BH99" s="294"/>
      <c r="BI99" s="294"/>
      <c r="BJ99" s="294"/>
      <c r="BK99" s="294"/>
      <c r="BL99" s="294"/>
      <c r="BM99" s="294"/>
      <c r="BN99" s="294"/>
      <c r="BT99" s="295" t="s">
        <v>76</v>
      </c>
      <c r="BV99" s="295" t="s">
        <v>71</v>
      </c>
      <c r="BW99" s="295" t="s">
        <v>92</v>
      </c>
      <c r="BX99" s="295" t="s">
        <v>72</v>
      </c>
    </row>
    <row r="100" spans="1:76" s="287" customFormat="1" ht="22.5" customHeight="1">
      <c r="A100" s="296"/>
      <c r="B100" s="288"/>
      <c r="C100" s="230"/>
      <c r="D100" s="237"/>
      <c r="E100" s="237"/>
      <c r="F100" s="237"/>
      <c r="G100" s="237"/>
      <c r="H100" s="237"/>
      <c r="I100" s="231"/>
      <c r="J100" s="128" t="s">
        <v>264</v>
      </c>
      <c r="K100" s="128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3"/>
      <c r="AH100" s="870">
        <f>SUM('000 - VRN'!N116:Q116)</f>
        <v>0</v>
      </c>
      <c r="AI100" s="870"/>
      <c r="AJ100" s="870"/>
      <c r="AK100" s="870"/>
      <c r="AL100" s="870"/>
      <c r="AM100" s="870"/>
      <c r="AN100" s="870">
        <f aca="true" t="shared" si="5" ref="AN100:AN101">AH100*1.15</f>
        <v>0</v>
      </c>
      <c r="AO100" s="870"/>
      <c r="AP100" s="870"/>
      <c r="AQ100" s="289"/>
      <c r="AS100" s="291"/>
      <c r="AT100" s="291"/>
      <c r="AU100" s="292"/>
      <c r="AV100" s="291"/>
      <c r="AW100" s="291"/>
      <c r="AX100" s="291"/>
      <c r="AY100" s="291"/>
      <c r="AZ100" s="291"/>
      <c r="BA100" s="291"/>
      <c r="BB100" s="291"/>
      <c r="BC100" s="291"/>
      <c r="BD100" s="291"/>
      <c r="BF100" s="294"/>
      <c r="BG100" s="294"/>
      <c r="BH100" s="294"/>
      <c r="BI100" s="294"/>
      <c r="BJ100" s="294"/>
      <c r="BK100" s="294"/>
      <c r="BL100" s="294"/>
      <c r="BM100" s="294"/>
      <c r="BN100" s="294"/>
      <c r="BT100" s="295"/>
      <c r="BV100" s="295"/>
      <c r="BW100" s="295"/>
      <c r="BX100" s="295"/>
    </row>
    <row r="101" spans="1:76" s="287" customFormat="1" ht="22.5" customHeight="1">
      <c r="A101" s="296"/>
      <c r="B101" s="288"/>
      <c r="C101" s="230"/>
      <c r="D101" s="237"/>
      <c r="E101" s="237"/>
      <c r="F101" s="237"/>
      <c r="G101" s="237"/>
      <c r="H101" s="237"/>
      <c r="I101" s="231"/>
      <c r="J101" s="128" t="s">
        <v>265</v>
      </c>
      <c r="K101" s="234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3"/>
      <c r="AH101" s="870">
        <f>SUM('000 - VRN'!N121:Q121)</f>
        <v>0</v>
      </c>
      <c r="AI101" s="870"/>
      <c r="AJ101" s="870"/>
      <c r="AK101" s="870"/>
      <c r="AL101" s="870"/>
      <c r="AM101" s="870"/>
      <c r="AN101" s="870">
        <f t="shared" si="5"/>
        <v>0</v>
      </c>
      <c r="AO101" s="870"/>
      <c r="AP101" s="870"/>
      <c r="AQ101" s="289"/>
      <c r="AS101" s="291"/>
      <c r="AT101" s="291"/>
      <c r="AU101" s="292"/>
      <c r="AV101" s="291"/>
      <c r="AW101" s="291"/>
      <c r="AX101" s="291"/>
      <c r="AY101" s="291"/>
      <c r="AZ101" s="291"/>
      <c r="BA101" s="291"/>
      <c r="BB101" s="291"/>
      <c r="BC101" s="291"/>
      <c r="BD101" s="291"/>
      <c r="BF101" s="294"/>
      <c r="BG101" s="294"/>
      <c r="BH101" s="294"/>
      <c r="BI101" s="294"/>
      <c r="BJ101" s="294"/>
      <c r="BK101" s="294"/>
      <c r="BL101" s="294"/>
      <c r="BM101" s="294"/>
      <c r="BN101" s="294"/>
      <c r="BT101" s="295"/>
      <c r="BV101" s="295"/>
      <c r="BW101" s="295"/>
      <c r="BX101" s="295"/>
    </row>
    <row r="102" spans="2:66" ht="13.5">
      <c r="B102" s="244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45"/>
      <c r="BF102" s="255"/>
      <c r="BG102" s="255"/>
      <c r="BH102" s="255"/>
      <c r="BI102" s="255"/>
      <c r="BJ102" s="255"/>
      <c r="BK102" s="255"/>
      <c r="BL102" s="255"/>
      <c r="BM102" s="255"/>
      <c r="BN102" s="255"/>
    </row>
    <row r="103" spans="2:66" s="249" customFormat="1" ht="30" customHeight="1">
      <c r="B103" s="247"/>
      <c r="C103" s="175" t="s">
        <v>93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93">
        <v>0</v>
      </c>
      <c r="AH103" s="893"/>
      <c r="AI103" s="893"/>
      <c r="AJ103" s="893"/>
      <c r="AK103" s="893"/>
      <c r="AL103" s="893"/>
      <c r="AM103" s="893"/>
      <c r="AN103" s="893">
        <v>0</v>
      </c>
      <c r="AO103" s="893"/>
      <c r="AP103" s="893"/>
      <c r="AQ103" s="248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54"/>
      <c r="BG103" s="254"/>
      <c r="BH103" s="254"/>
      <c r="BI103" s="254"/>
      <c r="BJ103" s="254"/>
      <c r="BK103" s="254"/>
      <c r="BL103" s="254"/>
      <c r="BM103" s="254"/>
      <c r="BN103" s="254"/>
    </row>
    <row r="104" spans="2:66" s="249" customFormat="1" ht="10.9" customHeight="1">
      <c r="B104" s="24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248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54"/>
      <c r="BG104" s="254"/>
      <c r="BH104" s="254"/>
      <c r="BI104" s="254"/>
      <c r="BJ104" s="254"/>
      <c r="BK104" s="254"/>
      <c r="BL104" s="254"/>
      <c r="BM104" s="254"/>
      <c r="BN104" s="254"/>
    </row>
    <row r="105" spans="2:66" s="249" customFormat="1" ht="30" customHeight="1">
      <c r="B105" s="247"/>
      <c r="C105" s="177" t="s">
        <v>94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913">
        <f>ROUND(AG87+AG103,2)</f>
        <v>0</v>
      </c>
      <c r="AH105" s="913"/>
      <c r="AI105" s="913"/>
      <c r="AJ105" s="913"/>
      <c r="AK105" s="913"/>
      <c r="AL105" s="913"/>
      <c r="AM105" s="913"/>
      <c r="AN105" s="913">
        <f>AN87+AN103</f>
        <v>0</v>
      </c>
      <c r="AO105" s="913"/>
      <c r="AP105" s="913"/>
      <c r="AQ105" s="248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54"/>
      <c r="BG105" s="254"/>
      <c r="BH105" s="254"/>
      <c r="BI105" s="254"/>
      <c r="BJ105" s="254"/>
      <c r="BK105" s="254"/>
      <c r="BL105" s="254"/>
      <c r="BM105" s="254"/>
      <c r="BN105" s="254"/>
    </row>
    <row r="106" spans="2:57" s="249" customFormat="1" ht="6.95" customHeight="1">
      <c r="B106" s="263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5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</row>
  </sheetData>
  <sheetProtection sheet="1" objects="1" scenarios="1"/>
  <mergeCells count="101">
    <mergeCell ref="AG105:AM105"/>
    <mergeCell ref="AN105:AP105"/>
    <mergeCell ref="AH99:AM99"/>
    <mergeCell ref="AH100:AM100"/>
    <mergeCell ref="AH96:AM96"/>
    <mergeCell ref="AN96:AP96"/>
    <mergeCell ref="AN99:AP99"/>
    <mergeCell ref="AG103:AM103"/>
    <mergeCell ref="AN103:AP103"/>
    <mergeCell ref="AN100:AP100"/>
    <mergeCell ref="AN101:AP101"/>
    <mergeCell ref="AH101:AM101"/>
    <mergeCell ref="AH98:AM98"/>
    <mergeCell ref="AN98:AP98"/>
    <mergeCell ref="AH92:AM92"/>
    <mergeCell ref="K93:AF93"/>
    <mergeCell ref="AN94:AP94"/>
    <mergeCell ref="AN95:AP95"/>
    <mergeCell ref="AH94:AM94"/>
    <mergeCell ref="AH95:AM95"/>
    <mergeCell ref="AN92:AP92"/>
    <mergeCell ref="AN93:AP93"/>
    <mergeCell ref="AH93:AM93"/>
    <mergeCell ref="D99:H99"/>
    <mergeCell ref="J99:AF99"/>
    <mergeCell ref="E94:I94"/>
    <mergeCell ref="K94:AF94"/>
    <mergeCell ref="E96:I96"/>
    <mergeCell ref="K96:AF96"/>
    <mergeCell ref="E98:I98"/>
    <mergeCell ref="K98:AF98"/>
    <mergeCell ref="AR2:BE2"/>
    <mergeCell ref="AS82:AT84"/>
    <mergeCell ref="AM83:AP83"/>
    <mergeCell ref="AK26:AO26"/>
    <mergeCell ref="AK27:AO27"/>
    <mergeCell ref="AK37:AO37"/>
    <mergeCell ref="AM82:AP82"/>
    <mergeCell ref="AM80:AN80"/>
    <mergeCell ref="C76:AP76"/>
    <mergeCell ref="L78:AO78"/>
    <mergeCell ref="AN13:AO13"/>
    <mergeCell ref="AN14:AO14"/>
    <mergeCell ref="AN16:AO16"/>
    <mergeCell ref="L34:O34"/>
    <mergeCell ref="AK33:AO33"/>
    <mergeCell ref="L33:O33"/>
    <mergeCell ref="E92:I92"/>
    <mergeCell ref="D91:H91"/>
    <mergeCell ref="E90:I90"/>
    <mergeCell ref="K90:AF90"/>
    <mergeCell ref="J91:AF91"/>
    <mergeCell ref="K92:AF92"/>
    <mergeCell ref="E93:I93"/>
    <mergeCell ref="E95:I95"/>
    <mergeCell ref="K95:AF95"/>
    <mergeCell ref="W34:AE34"/>
    <mergeCell ref="W33:AE33"/>
    <mergeCell ref="AN90:AP90"/>
    <mergeCell ref="AH90:AM90"/>
    <mergeCell ref="C85:G85"/>
    <mergeCell ref="D88:H88"/>
    <mergeCell ref="J88:AF88"/>
    <mergeCell ref="E89:I89"/>
    <mergeCell ref="K89:AF89"/>
    <mergeCell ref="L35:O35"/>
    <mergeCell ref="C2:AP2"/>
    <mergeCell ref="C4:AP4"/>
    <mergeCell ref="K5:AO5"/>
    <mergeCell ref="E23:AN23"/>
    <mergeCell ref="AN8:AO8"/>
    <mergeCell ref="AN10:AO10"/>
    <mergeCell ref="AN11:AO11"/>
    <mergeCell ref="AN17:AO17"/>
    <mergeCell ref="AN19:AO19"/>
    <mergeCell ref="AN20:AO20"/>
    <mergeCell ref="K10:V10"/>
    <mergeCell ref="E97:I97"/>
    <mergeCell ref="K97:AF97"/>
    <mergeCell ref="AH97:AM97"/>
    <mergeCell ref="AN97:AP97"/>
    <mergeCell ref="L31:O31"/>
    <mergeCell ref="W31:AE31"/>
    <mergeCell ref="AK31:AO31"/>
    <mergeCell ref="AK29:AO29"/>
    <mergeCell ref="AC32:AE32"/>
    <mergeCell ref="L32:O32"/>
    <mergeCell ref="AK32:AO32"/>
    <mergeCell ref="W32:AB32"/>
    <mergeCell ref="AN91:AP91"/>
    <mergeCell ref="AK35:AO35"/>
    <mergeCell ref="X37:AB37"/>
    <mergeCell ref="AN89:AP89"/>
    <mergeCell ref="AK34:AO34"/>
    <mergeCell ref="W35:AE35"/>
    <mergeCell ref="AH89:AM89"/>
    <mergeCell ref="AG87:AM87"/>
    <mergeCell ref="AN87:AP87"/>
    <mergeCell ref="AN85:AP85"/>
    <mergeCell ref="I85:AF85"/>
    <mergeCell ref="AG85:AM85"/>
  </mergeCells>
  <hyperlinks>
    <hyperlink ref="K1:S1" location="C2" display="1) Souhrnný list stavby"/>
    <hyperlink ref="W1:AF1" location="C87" display="2) Rekapitulace objektů"/>
    <hyperlink ref="A89" location="'01 - Bourací práce'!C2" display="/"/>
    <hyperlink ref="A90" location="'02 - Stavební úpravy'!C2" display="/"/>
    <hyperlink ref="A92" location="'01 - ZTI'!C2" display="/"/>
    <hyperlink ref="A94" location="'02 - Vytápění'!C2" display="/"/>
    <hyperlink ref="A95" location="'03 - VZT'!C2" display="/"/>
    <hyperlink ref="A96" location="'05 - Fotovoltaika'!C2" display="/"/>
    <hyperlink ref="A99" location="'000 - VON - Vedlejší a os...'!C2" display="/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D3D0-F49A-4887-BAF0-CACE7D91CA97}">
  <sheetPr>
    <pageSetUpPr fitToPage="1"/>
  </sheetPr>
  <dimension ref="A1:BN224"/>
  <sheetViews>
    <sheetView showGridLines="0" view="pageBreakPreview" zoomScaleSheetLayoutView="100" workbookViewId="0" topLeftCell="A1">
      <pane ySplit="1" topLeftCell="A152" activePane="bottomLeft" state="frozen"/>
      <selection pane="topLeft" activeCell="AE69" sqref="AE69"/>
      <selection pane="bottomLeft" activeCell="J164" sqref="J164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23" t="s">
        <v>459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74">
        <f>IF('[5]Rekapitulace stavby'!AN13="","",'[5]Rekapitulace stavby'!AN13)</f>
        <v>0</v>
      </c>
      <c r="P15" s="974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74">
        <f>IF('[5]Rekapitulace stavby'!AN14="","",'[5]Rekapitulace stavby'!AN14)</f>
        <v>0</v>
      </c>
      <c r="P16" s="974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f>M31</f>
        <v>0</v>
      </c>
      <c r="I34" s="975"/>
      <c r="J34" s="975"/>
      <c r="K34" s="58"/>
      <c r="L34" s="58"/>
      <c r="M34" s="975">
        <f>H34*F34</f>
        <v>0</v>
      </c>
      <c r="N34" s="973"/>
      <c r="O34" s="973"/>
      <c r="P34" s="973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>ROUND((SUM(BG92:BG93)+SUM(BG112:BG193)),2)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>ROUND((SUM(BH92:BH93)+SUM(BH112:BH193)),2)</f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>ROUND((SUM(BI92:BI93)+SUM(BI112:BI193)),2)</f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910" t="str">
        <f>F8</f>
        <v>08 - VZDUCHOTECHNIKA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78" t="str">
        <f>F12</f>
        <v>R-MOSTY, Z.S.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982"/>
      <c r="P89" s="982"/>
      <c r="Q89" s="982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08 - VZDUCHOTECHNIKA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2">
        <v>0</v>
      </c>
      <c r="O92" s="983"/>
      <c r="P92" s="983"/>
      <c r="Q92" s="983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57"/>
      <c r="R103" s="453"/>
    </row>
    <row r="104" spans="2:18" s="162" customFormat="1" ht="36.95" customHeight="1">
      <c r="B104" s="455"/>
      <c r="C104" s="174" t="s">
        <v>102</v>
      </c>
      <c r="D104" s="58"/>
      <c r="E104" s="58"/>
      <c r="F104" s="910" t="str">
        <f>F8</f>
        <v>08 - VZDUCHOTECHNIKA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7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W113+#REF!+#REF!+#REF!+#REF!+#REF!+W129+#REF!+W142+W147+W156</f>
        <v>#REF!</v>
      </c>
      <c r="X112" s="85"/>
      <c r="Y112" s="474" t="e">
        <f>Y113+#REF!+#REF!+#REF!+#REF!+#REF!+Y129+#REF!+Y142+Y147+Y156</f>
        <v>#REF!</v>
      </c>
      <c r="Z112" s="85"/>
      <c r="AA112" s="475" t="e">
        <f>AA113+#REF!+#REF!+#REF!+#REF!+#REF!+AA129+#REF!+AA142+AA147+AA156</f>
        <v>#REF!</v>
      </c>
      <c r="AU112" s="448" t="s">
        <v>109</v>
      </c>
      <c r="BK112" s="476" t="e">
        <f>BK113+#REF!+#REF!+#REF!+#REF!+#REF!+BK129+#REF!+BK142+BK147+BK156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08 - VZDUCHOTECHNIKA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71">
        <f>SUM(N115:Q189)</f>
        <v>0</v>
      </c>
      <c r="O113" s="926"/>
      <c r="P113" s="926"/>
      <c r="Q113" s="926"/>
      <c r="R113" s="400"/>
      <c r="S113" s="400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U113" s="405" t="s">
        <v>69</v>
      </c>
      <c r="AY113" s="404" t="s">
        <v>125</v>
      </c>
      <c r="BK113" s="406" t="e">
        <f>SUM(#REF!)</f>
        <v>#REF!</v>
      </c>
    </row>
    <row r="114" spans="2:63" s="398" customFormat="1" ht="29.85" customHeight="1">
      <c r="B114" s="399"/>
      <c r="C114" s="181"/>
      <c r="D114" s="128" t="s">
        <v>460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971"/>
      <c r="O114" s="926"/>
      <c r="P114" s="926"/>
      <c r="Q114" s="926"/>
      <c r="R114" s="400"/>
      <c r="T114" s="401"/>
      <c r="U114" s="181"/>
      <c r="V114" s="181"/>
      <c r="W114" s="402">
        <f>SUM(W116:W117)</f>
        <v>0</v>
      </c>
      <c r="X114" s="181"/>
      <c r="Y114" s="402">
        <f>SUM(Y116:Y117)</f>
        <v>0</v>
      </c>
      <c r="Z114" s="181"/>
      <c r="AA114" s="403">
        <f>SUM(AA116:AA117)</f>
        <v>0</v>
      </c>
      <c r="AR114" s="404" t="s">
        <v>76</v>
      </c>
      <c r="AT114" s="405" t="s">
        <v>68</v>
      </c>
      <c r="AU114" s="405" t="s">
        <v>76</v>
      </c>
      <c r="AY114" s="404" t="s">
        <v>125</v>
      </c>
      <c r="BK114" s="406">
        <f>SUM(BK116:BK117)</f>
        <v>0</v>
      </c>
    </row>
    <row r="115" spans="2:63" s="398" customFormat="1" ht="39" customHeight="1">
      <c r="B115" s="399"/>
      <c r="C115" s="195" t="s">
        <v>207</v>
      </c>
      <c r="D115" s="830"/>
      <c r="E115" s="94" t="s">
        <v>1085</v>
      </c>
      <c r="F115" s="960" t="s">
        <v>462</v>
      </c>
      <c r="G115" s="960"/>
      <c r="H115" s="960"/>
      <c r="I115" s="960"/>
      <c r="J115" s="94" t="s">
        <v>198</v>
      </c>
      <c r="K115" s="95">
        <v>1</v>
      </c>
      <c r="L115" s="21"/>
      <c r="M115" s="128"/>
      <c r="N115" s="948">
        <f aca="true" t="shared" si="0" ref="N115:N138">ROUND(L115*K115,2)</f>
        <v>0</v>
      </c>
      <c r="O115" s="948"/>
      <c r="P115" s="948"/>
      <c r="Q115" s="948"/>
      <c r="R115" s="400"/>
      <c r="T115" s="401"/>
      <c r="U115" s="181"/>
      <c r="V115" s="181"/>
      <c r="W115" s="402"/>
      <c r="X115" s="181"/>
      <c r="Y115" s="402"/>
      <c r="Z115" s="181"/>
      <c r="AA115" s="403"/>
      <c r="AR115" s="404"/>
      <c r="AT115" s="405"/>
      <c r="AU115" s="405"/>
      <c r="AY115" s="404"/>
      <c r="BK115" s="406"/>
    </row>
    <row r="116" spans="2:65" s="778" customFormat="1" ht="46.9" customHeight="1">
      <c r="B116" s="771"/>
      <c r="C116" s="772" t="s">
        <v>208</v>
      </c>
      <c r="D116" s="772"/>
      <c r="E116" s="137" t="s">
        <v>1086</v>
      </c>
      <c r="F116" s="1129" t="s">
        <v>461</v>
      </c>
      <c r="G116" s="1129"/>
      <c r="H116" s="1129"/>
      <c r="I116" s="1129"/>
      <c r="J116" s="132" t="s">
        <v>198</v>
      </c>
      <c r="K116" s="127">
        <v>1</v>
      </c>
      <c r="L116" s="13"/>
      <c r="M116" s="128"/>
      <c r="N116" s="1139">
        <f t="shared" si="0"/>
        <v>0</v>
      </c>
      <c r="O116" s="1139"/>
      <c r="P116" s="1139"/>
      <c r="Q116" s="1139"/>
      <c r="R116" s="773"/>
      <c r="T116" s="825" t="s">
        <v>5</v>
      </c>
      <c r="U116" s="775" t="s">
        <v>36</v>
      </c>
      <c r="V116" s="776">
        <v>0</v>
      </c>
      <c r="W116" s="776">
        <f>V116*K116</f>
        <v>0</v>
      </c>
      <c r="X116" s="776">
        <v>0</v>
      </c>
      <c r="Y116" s="776">
        <f>X116*K116</f>
        <v>0</v>
      </c>
      <c r="Z116" s="776">
        <v>0</v>
      </c>
      <c r="AA116" s="777">
        <f>Z116*K116</f>
        <v>0</v>
      </c>
      <c r="AC116" s="398"/>
      <c r="AR116" s="779" t="s">
        <v>128</v>
      </c>
      <c r="AT116" s="779" t="s">
        <v>126</v>
      </c>
      <c r="AU116" s="779" t="s">
        <v>80</v>
      </c>
      <c r="AY116" s="779" t="s">
        <v>125</v>
      </c>
      <c r="BE116" s="780">
        <f>IF(U116="základní",N116,0)</f>
        <v>0</v>
      </c>
      <c r="BF116" s="780">
        <f>IF(U116="snížená",N116,0)</f>
        <v>0</v>
      </c>
      <c r="BG116" s="780">
        <f>IF(U116="zákl. přenesená",N116,0)</f>
        <v>0</v>
      </c>
      <c r="BH116" s="780">
        <f>IF(U116="sníž. přenesená",N116,0)</f>
        <v>0</v>
      </c>
      <c r="BI116" s="780">
        <f>IF(U116="nulová",N116,0)</f>
        <v>0</v>
      </c>
      <c r="BJ116" s="779" t="s">
        <v>80</v>
      </c>
      <c r="BK116" s="780">
        <f>ROUND(L116*K116,2)</f>
        <v>0</v>
      </c>
      <c r="BL116" s="779" t="s">
        <v>128</v>
      </c>
      <c r="BM116" s="779" t="s">
        <v>134</v>
      </c>
    </row>
    <row r="117" spans="2:65" s="249" customFormat="1" ht="36" customHeight="1">
      <c r="B117" s="247"/>
      <c r="C117" s="195" t="s">
        <v>209</v>
      </c>
      <c r="D117" s="195"/>
      <c r="E117" s="94" t="s">
        <v>1087</v>
      </c>
      <c r="F117" s="960" t="s">
        <v>463</v>
      </c>
      <c r="G117" s="960"/>
      <c r="H117" s="960"/>
      <c r="I117" s="960"/>
      <c r="J117" s="94" t="s">
        <v>198</v>
      </c>
      <c r="K117" s="95">
        <v>1</v>
      </c>
      <c r="L117" s="21"/>
      <c r="M117" s="128"/>
      <c r="N117" s="948">
        <f t="shared" si="0"/>
        <v>0</v>
      </c>
      <c r="O117" s="948"/>
      <c r="P117" s="948"/>
      <c r="Q117" s="948"/>
      <c r="R117" s="248"/>
      <c r="T117" s="407" t="s">
        <v>5</v>
      </c>
      <c r="U117" s="221" t="s">
        <v>36</v>
      </c>
      <c r="V117" s="408">
        <v>0</v>
      </c>
      <c r="W117" s="408">
        <f>V117*K117</f>
        <v>0</v>
      </c>
      <c r="X117" s="408">
        <v>0</v>
      </c>
      <c r="Y117" s="408">
        <f>X117*K117</f>
        <v>0</v>
      </c>
      <c r="Z117" s="408">
        <v>0</v>
      </c>
      <c r="AA117" s="409">
        <f>Z117*K117</f>
        <v>0</v>
      </c>
      <c r="AC117" s="398"/>
      <c r="AD117" s="837"/>
      <c r="AR117" s="240" t="s">
        <v>128</v>
      </c>
      <c r="AT117" s="240" t="s">
        <v>126</v>
      </c>
      <c r="AU117" s="240" t="s">
        <v>80</v>
      </c>
      <c r="AY117" s="240" t="s">
        <v>125</v>
      </c>
      <c r="BE117" s="250">
        <f>IF(U117="základní",N117,0)</f>
        <v>0</v>
      </c>
      <c r="BF117" s="250">
        <f>IF(U117="snížená",N117,0)</f>
        <v>0</v>
      </c>
      <c r="BG117" s="250">
        <f>IF(U117="zákl. přenesená",N117,0)</f>
        <v>0</v>
      </c>
      <c r="BH117" s="250">
        <f>IF(U117="sníž. přenesená",N117,0)</f>
        <v>0</v>
      </c>
      <c r="BI117" s="250">
        <f>IF(U117="nulová",N117,0)</f>
        <v>0</v>
      </c>
      <c r="BJ117" s="240" t="s">
        <v>80</v>
      </c>
      <c r="BK117" s="250">
        <f>ROUND(L117*K117,2)</f>
        <v>0</v>
      </c>
      <c r="BL117" s="240" t="s">
        <v>128</v>
      </c>
      <c r="BM117" s="240" t="s">
        <v>135</v>
      </c>
    </row>
    <row r="118" spans="2:65" s="778" customFormat="1" ht="38.45" customHeight="1">
      <c r="B118" s="771"/>
      <c r="C118" s="772" t="s">
        <v>210</v>
      </c>
      <c r="D118" s="772"/>
      <c r="E118" s="137" t="s">
        <v>1088</v>
      </c>
      <c r="F118" s="1129" t="s">
        <v>464</v>
      </c>
      <c r="G118" s="1129"/>
      <c r="H118" s="1129"/>
      <c r="I118" s="1129"/>
      <c r="J118" s="132" t="s">
        <v>198</v>
      </c>
      <c r="K118" s="127">
        <v>1</v>
      </c>
      <c r="L118" s="13"/>
      <c r="M118" s="128"/>
      <c r="N118" s="1139">
        <f t="shared" si="0"/>
        <v>0</v>
      </c>
      <c r="O118" s="1139"/>
      <c r="P118" s="1139"/>
      <c r="Q118" s="1139"/>
      <c r="R118" s="773"/>
      <c r="T118" s="825" t="s">
        <v>5</v>
      </c>
      <c r="U118" s="775" t="s">
        <v>36</v>
      </c>
      <c r="V118" s="776">
        <v>0</v>
      </c>
      <c r="W118" s="776">
        <f>V118*K118</f>
        <v>0</v>
      </c>
      <c r="X118" s="776">
        <v>0</v>
      </c>
      <c r="Y118" s="776">
        <f>X118*K118</f>
        <v>0</v>
      </c>
      <c r="Z118" s="776">
        <v>0</v>
      </c>
      <c r="AA118" s="777">
        <f>Z118*K118</f>
        <v>0</v>
      </c>
      <c r="AC118" s="398"/>
      <c r="AR118" s="779" t="s">
        <v>128</v>
      </c>
      <c r="AT118" s="779" t="s">
        <v>126</v>
      </c>
      <c r="AU118" s="779" t="s">
        <v>80</v>
      </c>
      <c r="AY118" s="779" t="s">
        <v>125</v>
      </c>
      <c r="BE118" s="780">
        <f>IF(U118="základní",N118,0)</f>
        <v>0</v>
      </c>
      <c r="BF118" s="780">
        <f>IF(U118="snížená",N118,0)</f>
        <v>0</v>
      </c>
      <c r="BG118" s="780">
        <f>IF(U118="zákl. přenesená",N118,0)</f>
        <v>0</v>
      </c>
      <c r="BH118" s="780">
        <f>IF(U118="sníž. přenesená",N118,0)</f>
        <v>0</v>
      </c>
      <c r="BI118" s="780">
        <f>IF(U118="nulová",N118,0)</f>
        <v>0</v>
      </c>
      <c r="BJ118" s="779" t="s">
        <v>80</v>
      </c>
      <c r="BK118" s="780">
        <f>ROUND(L118*K118,2)</f>
        <v>0</v>
      </c>
      <c r="BL118" s="779" t="s">
        <v>128</v>
      </c>
      <c r="BM118" s="779" t="s">
        <v>136</v>
      </c>
    </row>
    <row r="119" spans="2:65" s="249" customFormat="1" ht="30" customHeight="1">
      <c r="B119" s="247"/>
      <c r="C119" s="195" t="s">
        <v>211</v>
      </c>
      <c r="D119" s="195"/>
      <c r="E119" s="94" t="s">
        <v>1089</v>
      </c>
      <c r="F119" s="960" t="s">
        <v>466</v>
      </c>
      <c r="G119" s="960"/>
      <c r="H119" s="960"/>
      <c r="I119" s="960"/>
      <c r="J119" s="94" t="s">
        <v>198</v>
      </c>
      <c r="K119" s="95">
        <v>1</v>
      </c>
      <c r="L119" s="21"/>
      <c r="M119" s="128"/>
      <c r="N119" s="948">
        <f t="shared" si="0"/>
        <v>0</v>
      </c>
      <c r="O119" s="948"/>
      <c r="P119" s="948"/>
      <c r="Q119" s="948"/>
      <c r="R119" s="248"/>
      <c r="T119" s="407"/>
      <c r="U119" s="221"/>
      <c r="V119" s="408"/>
      <c r="W119" s="408"/>
      <c r="X119" s="408"/>
      <c r="Y119" s="408"/>
      <c r="Z119" s="408"/>
      <c r="AA119" s="409"/>
      <c r="AC119" s="398"/>
      <c r="AR119" s="240"/>
      <c r="AT119" s="240"/>
      <c r="AU119" s="240"/>
      <c r="AY119" s="240"/>
      <c r="BE119" s="250"/>
      <c r="BF119" s="250"/>
      <c r="BG119" s="250"/>
      <c r="BH119" s="250"/>
      <c r="BI119" s="250"/>
      <c r="BJ119" s="240"/>
      <c r="BK119" s="250"/>
      <c r="BL119" s="240"/>
      <c r="BM119" s="240"/>
    </row>
    <row r="120" spans="2:65" s="778" customFormat="1" ht="30" customHeight="1">
      <c r="B120" s="771"/>
      <c r="C120" s="772" t="s">
        <v>212</v>
      </c>
      <c r="D120" s="772"/>
      <c r="E120" s="137" t="s">
        <v>1090</v>
      </c>
      <c r="F120" s="1129" t="s">
        <v>465</v>
      </c>
      <c r="G120" s="1129"/>
      <c r="H120" s="1129"/>
      <c r="I120" s="1129"/>
      <c r="J120" s="132" t="s">
        <v>198</v>
      </c>
      <c r="K120" s="127">
        <v>1</v>
      </c>
      <c r="L120" s="13"/>
      <c r="M120" s="128"/>
      <c r="N120" s="1139">
        <f t="shared" si="0"/>
        <v>0</v>
      </c>
      <c r="O120" s="1139"/>
      <c r="P120" s="1139"/>
      <c r="Q120" s="1139"/>
      <c r="R120" s="773"/>
      <c r="T120" s="825"/>
      <c r="U120" s="775"/>
      <c r="V120" s="776"/>
      <c r="W120" s="776"/>
      <c r="X120" s="776"/>
      <c r="Y120" s="776"/>
      <c r="Z120" s="776"/>
      <c r="AA120" s="777"/>
      <c r="AC120" s="398"/>
      <c r="AR120" s="779"/>
      <c r="AT120" s="779"/>
      <c r="AU120" s="779"/>
      <c r="AY120" s="779"/>
      <c r="BE120" s="780"/>
      <c r="BF120" s="780"/>
      <c r="BG120" s="780"/>
      <c r="BH120" s="780"/>
      <c r="BI120" s="780"/>
      <c r="BJ120" s="779"/>
      <c r="BK120" s="780"/>
      <c r="BL120" s="779"/>
      <c r="BM120" s="779"/>
    </row>
    <row r="121" spans="2:65" s="249" customFormat="1" ht="30" customHeight="1">
      <c r="B121" s="247"/>
      <c r="C121" s="195" t="s">
        <v>213</v>
      </c>
      <c r="D121" s="195"/>
      <c r="E121" s="94" t="s">
        <v>1091</v>
      </c>
      <c r="F121" s="960" t="s">
        <v>467</v>
      </c>
      <c r="G121" s="960"/>
      <c r="H121" s="960"/>
      <c r="I121" s="960"/>
      <c r="J121" s="94" t="s">
        <v>198</v>
      </c>
      <c r="K121" s="95">
        <v>1</v>
      </c>
      <c r="L121" s="21"/>
      <c r="M121" s="128"/>
      <c r="N121" s="948">
        <f t="shared" si="0"/>
        <v>0</v>
      </c>
      <c r="O121" s="948"/>
      <c r="P121" s="948"/>
      <c r="Q121" s="948"/>
      <c r="R121" s="248"/>
      <c r="T121" s="407" t="s">
        <v>5</v>
      </c>
      <c r="U121" s="221" t="s">
        <v>36</v>
      </c>
      <c r="V121" s="408">
        <v>0</v>
      </c>
      <c r="W121" s="408">
        <f>V121*K121</f>
        <v>0</v>
      </c>
      <c r="X121" s="408">
        <v>0</v>
      </c>
      <c r="Y121" s="408">
        <f>X121*K121</f>
        <v>0</v>
      </c>
      <c r="Z121" s="408">
        <v>0</v>
      </c>
      <c r="AA121" s="409">
        <f>Z121*K121</f>
        <v>0</v>
      </c>
      <c r="AC121" s="398"/>
      <c r="AR121" s="240" t="s">
        <v>128</v>
      </c>
      <c r="AT121" s="240" t="s">
        <v>126</v>
      </c>
      <c r="AU121" s="240" t="s">
        <v>80</v>
      </c>
      <c r="AY121" s="240" t="s">
        <v>125</v>
      </c>
      <c r="BE121" s="250">
        <f>IF(U121="základní",N121,0)</f>
        <v>0</v>
      </c>
      <c r="BF121" s="250">
        <f>IF(U121="snížená",N121,0)</f>
        <v>0</v>
      </c>
      <c r="BG121" s="250">
        <f>IF(U121="zákl. přenesená",N121,0)</f>
        <v>0</v>
      </c>
      <c r="BH121" s="250">
        <f>IF(U121="sníž. přenesená",N121,0)</f>
        <v>0</v>
      </c>
      <c r="BI121" s="250">
        <f>IF(U121="nulová",N121,0)</f>
        <v>0</v>
      </c>
      <c r="BJ121" s="240" t="s">
        <v>80</v>
      </c>
      <c r="BK121" s="250">
        <f>ROUND(L121*K121,2)</f>
        <v>0</v>
      </c>
      <c r="BL121" s="240" t="s">
        <v>128</v>
      </c>
      <c r="BM121" s="240" t="s">
        <v>137</v>
      </c>
    </row>
    <row r="122" spans="2:65" s="778" customFormat="1" ht="30" customHeight="1">
      <c r="B122" s="771"/>
      <c r="C122" s="772" t="s">
        <v>214</v>
      </c>
      <c r="D122" s="772"/>
      <c r="E122" s="137" t="s">
        <v>1092</v>
      </c>
      <c r="F122" s="1129" t="s">
        <v>468</v>
      </c>
      <c r="G122" s="1129"/>
      <c r="H122" s="1129"/>
      <c r="I122" s="1129"/>
      <c r="J122" s="132" t="s">
        <v>198</v>
      </c>
      <c r="K122" s="127">
        <v>1</v>
      </c>
      <c r="L122" s="13"/>
      <c r="M122" s="128"/>
      <c r="N122" s="1139">
        <f t="shared" si="0"/>
        <v>0</v>
      </c>
      <c r="O122" s="1139"/>
      <c r="P122" s="1139"/>
      <c r="Q122" s="1139"/>
      <c r="R122" s="773"/>
      <c r="T122" s="825" t="s">
        <v>5</v>
      </c>
      <c r="U122" s="775" t="s">
        <v>36</v>
      </c>
      <c r="V122" s="776">
        <v>0</v>
      </c>
      <c r="W122" s="776">
        <f>V122*K122</f>
        <v>0</v>
      </c>
      <c r="X122" s="776">
        <v>0</v>
      </c>
      <c r="Y122" s="776">
        <f>X122*K122</f>
        <v>0</v>
      </c>
      <c r="Z122" s="776">
        <v>0</v>
      </c>
      <c r="AA122" s="777">
        <f>Z122*K122</f>
        <v>0</v>
      </c>
      <c r="AC122" s="398"/>
      <c r="AR122" s="779" t="s">
        <v>128</v>
      </c>
      <c r="AT122" s="779" t="s">
        <v>126</v>
      </c>
      <c r="AU122" s="779" t="s">
        <v>80</v>
      </c>
      <c r="AY122" s="779" t="s">
        <v>125</v>
      </c>
      <c r="BE122" s="780">
        <f>IF(U122="základní",N122,0)</f>
        <v>0</v>
      </c>
      <c r="BF122" s="780">
        <f>IF(U122="snížená",N122,0)</f>
        <v>0</v>
      </c>
      <c r="BG122" s="780">
        <f>IF(U122="zákl. přenesená",N122,0)</f>
        <v>0</v>
      </c>
      <c r="BH122" s="780">
        <f>IF(U122="sníž. přenesená",N122,0)</f>
        <v>0</v>
      </c>
      <c r="BI122" s="780">
        <f>IF(U122="nulová",N122,0)</f>
        <v>0</v>
      </c>
      <c r="BJ122" s="779" t="s">
        <v>80</v>
      </c>
      <c r="BK122" s="780">
        <f>ROUND(L122*K122,2)</f>
        <v>0</v>
      </c>
      <c r="BL122" s="779" t="s">
        <v>128</v>
      </c>
      <c r="BM122" s="779" t="s">
        <v>138</v>
      </c>
    </row>
    <row r="123" spans="2:63" s="398" customFormat="1" ht="30" customHeight="1">
      <c r="B123" s="399"/>
      <c r="C123" s="195" t="s">
        <v>215</v>
      </c>
      <c r="D123" s="195"/>
      <c r="E123" s="94" t="s">
        <v>1093</v>
      </c>
      <c r="F123" s="999" t="s">
        <v>470</v>
      </c>
      <c r="G123" s="999"/>
      <c r="H123" s="999"/>
      <c r="I123" s="999"/>
      <c r="J123" s="143" t="s">
        <v>198</v>
      </c>
      <c r="K123" s="95">
        <v>1</v>
      </c>
      <c r="L123" s="21"/>
      <c r="M123" s="128"/>
      <c r="N123" s="948">
        <f t="shared" si="0"/>
        <v>0</v>
      </c>
      <c r="O123" s="948"/>
      <c r="P123" s="948"/>
      <c r="Q123" s="948"/>
      <c r="R123" s="400"/>
      <c r="T123" s="401"/>
      <c r="U123" s="181"/>
      <c r="V123" s="181"/>
      <c r="W123" s="402" t="e">
        <f>SUM(W124:W125)</f>
        <v>#REF!</v>
      </c>
      <c r="X123" s="181"/>
      <c r="Y123" s="402" t="e">
        <f>SUM(Y124:Y125)</f>
        <v>#REF!</v>
      </c>
      <c r="Z123" s="181"/>
      <c r="AA123" s="403" t="e">
        <f>SUM(AA124:AA125)</f>
        <v>#REF!</v>
      </c>
      <c r="AR123" s="404" t="s">
        <v>76</v>
      </c>
      <c r="AT123" s="405" t="s">
        <v>68</v>
      </c>
      <c r="AU123" s="405" t="s">
        <v>76</v>
      </c>
      <c r="AY123" s="404" t="s">
        <v>125</v>
      </c>
      <c r="BK123" s="406" t="e">
        <f>SUM(BK124:BK125)</f>
        <v>#REF!</v>
      </c>
    </row>
    <row r="124" spans="2:65" s="778" customFormat="1" ht="30" customHeight="1">
      <c r="B124" s="771"/>
      <c r="C124" s="772" t="s">
        <v>216</v>
      </c>
      <c r="D124" s="772"/>
      <c r="E124" s="137" t="s">
        <v>1094</v>
      </c>
      <c r="F124" s="1129" t="s">
        <v>469</v>
      </c>
      <c r="G124" s="1129"/>
      <c r="H124" s="1129"/>
      <c r="I124" s="1129"/>
      <c r="J124" s="132" t="s">
        <v>198</v>
      </c>
      <c r="K124" s="127">
        <v>1</v>
      </c>
      <c r="L124" s="13"/>
      <c r="M124" s="128"/>
      <c r="N124" s="1139">
        <f t="shared" si="0"/>
        <v>0</v>
      </c>
      <c r="O124" s="1139"/>
      <c r="P124" s="1139"/>
      <c r="Q124" s="1139"/>
      <c r="R124" s="773"/>
      <c r="T124" s="825" t="s">
        <v>5</v>
      </c>
      <c r="U124" s="775" t="s">
        <v>36</v>
      </c>
      <c r="V124" s="776">
        <v>0</v>
      </c>
      <c r="W124" s="776" t="e">
        <f>V124*#REF!</f>
        <v>#REF!</v>
      </c>
      <c r="X124" s="776">
        <v>0</v>
      </c>
      <c r="Y124" s="776" t="e">
        <f>X124*#REF!</f>
        <v>#REF!</v>
      </c>
      <c r="Z124" s="776">
        <v>0</v>
      </c>
      <c r="AA124" s="777" t="e">
        <f>Z124*#REF!</f>
        <v>#REF!</v>
      </c>
      <c r="AC124" s="398"/>
      <c r="AR124" s="779" t="s">
        <v>128</v>
      </c>
      <c r="AT124" s="779" t="s">
        <v>126</v>
      </c>
      <c r="AU124" s="779" t="s">
        <v>80</v>
      </c>
      <c r="AY124" s="779" t="s">
        <v>125</v>
      </c>
      <c r="BE124" s="780">
        <f>IF(U124="základní",#REF!,0)</f>
        <v>0</v>
      </c>
      <c r="BF124" s="780" t="e">
        <f>IF(U124="snížená",#REF!,0)</f>
        <v>#REF!</v>
      </c>
      <c r="BG124" s="780">
        <f>IF(U124="zákl. přenesená",#REF!,0)</f>
        <v>0</v>
      </c>
      <c r="BH124" s="780">
        <f>IF(U124="sníž. přenesená",#REF!,0)</f>
        <v>0</v>
      </c>
      <c r="BI124" s="780">
        <f>IF(U124="nulová",#REF!,0)</f>
        <v>0</v>
      </c>
      <c r="BJ124" s="779" t="s">
        <v>80</v>
      </c>
      <c r="BK124" s="780" t="e">
        <f>ROUND(#REF!*#REF!,2)</f>
        <v>#REF!</v>
      </c>
      <c r="BL124" s="779" t="s">
        <v>128</v>
      </c>
      <c r="BM124" s="779" t="s">
        <v>140</v>
      </c>
    </row>
    <row r="125" spans="2:65" s="249" customFormat="1" ht="39.6" customHeight="1">
      <c r="B125" s="247"/>
      <c r="C125" s="195" t="s">
        <v>217</v>
      </c>
      <c r="D125" s="195"/>
      <c r="E125" s="94" t="s">
        <v>1095</v>
      </c>
      <c r="F125" s="999" t="s">
        <v>472</v>
      </c>
      <c r="G125" s="999"/>
      <c r="H125" s="999"/>
      <c r="I125" s="999"/>
      <c r="J125" s="143" t="s">
        <v>131</v>
      </c>
      <c r="K125" s="95">
        <v>1</v>
      </c>
      <c r="L125" s="21"/>
      <c r="M125" s="128"/>
      <c r="N125" s="948">
        <f t="shared" si="0"/>
        <v>0</v>
      </c>
      <c r="O125" s="948"/>
      <c r="P125" s="948"/>
      <c r="Q125" s="948"/>
      <c r="R125" s="248"/>
      <c r="T125" s="407" t="s">
        <v>5</v>
      </c>
      <c r="U125" s="221" t="s">
        <v>36</v>
      </c>
      <c r="V125" s="408">
        <v>0</v>
      </c>
      <c r="W125" s="408" t="e">
        <f>V125*#REF!</f>
        <v>#REF!</v>
      </c>
      <c r="X125" s="408">
        <v>0</v>
      </c>
      <c r="Y125" s="408" t="e">
        <f>X125*#REF!</f>
        <v>#REF!</v>
      </c>
      <c r="Z125" s="408">
        <v>0</v>
      </c>
      <c r="AA125" s="409" t="e">
        <f>Z125*#REF!</f>
        <v>#REF!</v>
      </c>
      <c r="AC125" s="398"/>
      <c r="AR125" s="240" t="s">
        <v>128</v>
      </c>
      <c r="AT125" s="240" t="s">
        <v>126</v>
      </c>
      <c r="AU125" s="240" t="s">
        <v>80</v>
      </c>
      <c r="AY125" s="240" t="s">
        <v>125</v>
      </c>
      <c r="BE125" s="250">
        <f>IF(U125="základní",#REF!,0)</f>
        <v>0</v>
      </c>
      <c r="BF125" s="250" t="e">
        <f>IF(U125="snížená",#REF!,0)</f>
        <v>#REF!</v>
      </c>
      <c r="BG125" s="250">
        <f>IF(U125="zákl. přenesená",#REF!,0)</f>
        <v>0</v>
      </c>
      <c r="BH125" s="250">
        <f>IF(U125="sníž. přenesená",#REF!,0)</f>
        <v>0</v>
      </c>
      <c r="BI125" s="250">
        <f>IF(U125="nulová",#REF!,0)</f>
        <v>0</v>
      </c>
      <c r="BJ125" s="240" t="s">
        <v>80</v>
      </c>
      <c r="BK125" s="250" t="e">
        <f>ROUND(#REF!*#REF!,2)</f>
        <v>#REF!</v>
      </c>
      <c r="BL125" s="240" t="s">
        <v>128</v>
      </c>
      <c r="BM125" s="240" t="s">
        <v>141</v>
      </c>
    </row>
    <row r="126" spans="2:63" s="787" customFormat="1" ht="42" customHeight="1">
      <c r="B126" s="831"/>
      <c r="C126" s="772" t="s">
        <v>218</v>
      </c>
      <c r="D126" s="772"/>
      <c r="E126" s="137" t="s">
        <v>1096</v>
      </c>
      <c r="F126" s="1129" t="s">
        <v>471</v>
      </c>
      <c r="G126" s="1129"/>
      <c r="H126" s="1129"/>
      <c r="I126" s="1129"/>
      <c r="J126" s="132" t="s">
        <v>131</v>
      </c>
      <c r="K126" s="127">
        <v>1</v>
      </c>
      <c r="L126" s="13"/>
      <c r="M126" s="128"/>
      <c r="N126" s="1139">
        <f t="shared" si="0"/>
        <v>0</v>
      </c>
      <c r="O126" s="1139"/>
      <c r="P126" s="1139"/>
      <c r="Q126" s="1139"/>
      <c r="R126" s="832"/>
      <c r="T126" s="788"/>
      <c r="U126" s="789"/>
      <c r="V126" s="789"/>
      <c r="W126" s="790" t="e">
        <f>SUM(W127:W131)</f>
        <v>#REF!</v>
      </c>
      <c r="X126" s="789"/>
      <c r="Y126" s="790" t="e">
        <f>SUM(Y127:Y131)</f>
        <v>#REF!</v>
      </c>
      <c r="Z126" s="789"/>
      <c r="AA126" s="791" t="e">
        <f>SUM(AA127:AA131)</f>
        <v>#REF!</v>
      </c>
      <c r="AC126" s="398"/>
      <c r="AR126" s="793" t="s">
        <v>76</v>
      </c>
      <c r="AT126" s="792" t="s">
        <v>68</v>
      </c>
      <c r="AU126" s="792" t="s">
        <v>76</v>
      </c>
      <c r="AY126" s="793" t="s">
        <v>125</v>
      </c>
      <c r="BK126" s="780" t="e">
        <f>SUM(BK127:BK131)</f>
        <v>#REF!</v>
      </c>
    </row>
    <row r="127" spans="2:65" s="249" customFormat="1" ht="30" customHeight="1">
      <c r="B127" s="247"/>
      <c r="C127" s="195" t="s">
        <v>219</v>
      </c>
      <c r="D127" s="195"/>
      <c r="E127" s="94" t="s">
        <v>1097</v>
      </c>
      <c r="F127" s="960" t="s">
        <v>473</v>
      </c>
      <c r="G127" s="960"/>
      <c r="H127" s="960"/>
      <c r="I127" s="960"/>
      <c r="J127" s="94" t="s">
        <v>198</v>
      </c>
      <c r="K127" s="95">
        <v>2</v>
      </c>
      <c r="L127" s="21"/>
      <c r="M127" s="128"/>
      <c r="N127" s="948">
        <f t="shared" si="0"/>
        <v>0</v>
      </c>
      <c r="O127" s="948"/>
      <c r="P127" s="948"/>
      <c r="Q127" s="948"/>
      <c r="R127" s="248"/>
      <c r="T127" s="407" t="s">
        <v>5</v>
      </c>
      <c r="U127" s="221" t="s">
        <v>36</v>
      </c>
      <c r="V127" s="408">
        <v>0</v>
      </c>
      <c r="W127" s="408">
        <f>V127*K131</f>
        <v>0</v>
      </c>
      <c r="X127" s="408">
        <v>0</v>
      </c>
      <c r="Y127" s="408">
        <f>X127*K131</f>
        <v>0</v>
      </c>
      <c r="Z127" s="408">
        <v>0</v>
      </c>
      <c r="AA127" s="409">
        <f>Z127*K131</f>
        <v>0</v>
      </c>
      <c r="AC127" s="398"/>
      <c r="AR127" s="240" t="s">
        <v>128</v>
      </c>
      <c r="AT127" s="240" t="s">
        <v>126</v>
      </c>
      <c r="AU127" s="240" t="s">
        <v>80</v>
      </c>
      <c r="AY127" s="240" t="s">
        <v>125</v>
      </c>
      <c r="BE127" s="250">
        <f>IF(U127="základní",N131,0)</f>
        <v>0</v>
      </c>
      <c r="BF127" s="250">
        <f>IF(U127="snížená",N131,0)</f>
        <v>0</v>
      </c>
      <c r="BG127" s="250">
        <f>IF(U127="zákl. přenesená",N131,0)</f>
        <v>0</v>
      </c>
      <c r="BH127" s="250">
        <f>IF(U127="sníž. přenesená",N131,0)</f>
        <v>0</v>
      </c>
      <c r="BI127" s="250">
        <f>IF(U127="nulová",N131,0)</f>
        <v>0</v>
      </c>
      <c r="BJ127" s="240" t="s">
        <v>80</v>
      </c>
      <c r="BK127" s="250">
        <f>ROUND(L131*K131,2)</f>
        <v>0</v>
      </c>
      <c r="BL127" s="240" t="s">
        <v>128</v>
      </c>
      <c r="BM127" s="240" t="s">
        <v>149</v>
      </c>
    </row>
    <row r="128" spans="2:65" s="778" customFormat="1" ht="30" customHeight="1">
      <c r="B128" s="771"/>
      <c r="C128" s="772" t="s">
        <v>220</v>
      </c>
      <c r="D128" s="772"/>
      <c r="E128" s="137" t="s">
        <v>1098</v>
      </c>
      <c r="F128" s="1129" t="s">
        <v>474</v>
      </c>
      <c r="G128" s="1129"/>
      <c r="H128" s="1129"/>
      <c r="I128" s="1129"/>
      <c r="J128" s="132" t="s">
        <v>198</v>
      </c>
      <c r="K128" s="127">
        <v>2</v>
      </c>
      <c r="L128" s="13"/>
      <c r="M128" s="128"/>
      <c r="N128" s="1139">
        <f t="shared" si="0"/>
        <v>0</v>
      </c>
      <c r="O128" s="1139"/>
      <c r="P128" s="1139"/>
      <c r="Q128" s="1139"/>
      <c r="R128" s="773"/>
      <c r="T128" s="825" t="s">
        <v>5</v>
      </c>
      <c r="U128" s="775" t="s">
        <v>36</v>
      </c>
      <c r="V128" s="776">
        <v>0</v>
      </c>
      <c r="W128" s="776" t="e">
        <f>V128*#REF!</f>
        <v>#REF!</v>
      </c>
      <c r="X128" s="776">
        <v>0</v>
      </c>
      <c r="Y128" s="776" t="e">
        <f>X128*#REF!</f>
        <v>#REF!</v>
      </c>
      <c r="Z128" s="776">
        <v>0</v>
      </c>
      <c r="AA128" s="777" t="e">
        <f>Z128*#REF!</f>
        <v>#REF!</v>
      </c>
      <c r="AC128" s="398"/>
      <c r="AR128" s="779" t="s">
        <v>128</v>
      </c>
      <c r="AT128" s="779" t="s">
        <v>126</v>
      </c>
      <c r="AU128" s="779" t="s">
        <v>80</v>
      </c>
      <c r="AY128" s="779" t="s">
        <v>125</v>
      </c>
      <c r="BE128" s="780">
        <f>IF(U128="základní",#REF!,0)</f>
        <v>0</v>
      </c>
      <c r="BF128" s="780" t="e">
        <f>IF(U128="snížená",#REF!,0)</f>
        <v>#REF!</v>
      </c>
      <c r="BG128" s="780">
        <f>IF(U128="zákl. přenesená",#REF!,0)</f>
        <v>0</v>
      </c>
      <c r="BH128" s="780">
        <f>IF(U128="sníž. přenesená",#REF!,0)</f>
        <v>0</v>
      </c>
      <c r="BI128" s="780">
        <f>IF(U128="nulová",#REF!,0)</f>
        <v>0</v>
      </c>
      <c r="BJ128" s="779" t="s">
        <v>80</v>
      </c>
      <c r="BK128" s="780" t="e">
        <f>ROUND(#REF!*#REF!,2)</f>
        <v>#REF!</v>
      </c>
      <c r="BL128" s="779" t="s">
        <v>128</v>
      </c>
      <c r="BM128" s="779" t="s">
        <v>150</v>
      </c>
    </row>
    <row r="129" spans="2:65" s="249" customFormat="1" ht="30" customHeight="1">
      <c r="B129" s="247"/>
      <c r="C129" s="195" t="s">
        <v>221</v>
      </c>
      <c r="D129" s="195"/>
      <c r="E129" s="94" t="s">
        <v>1099</v>
      </c>
      <c r="F129" s="960" t="s">
        <v>475</v>
      </c>
      <c r="G129" s="960"/>
      <c r="H129" s="960"/>
      <c r="I129" s="960"/>
      <c r="J129" s="94" t="s">
        <v>131</v>
      </c>
      <c r="K129" s="95">
        <v>1</v>
      </c>
      <c r="L129" s="21"/>
      <c r="M129" s="128"/>
      <c r="N129" s="948">
        <f t="shared" si="0"/>
        <v>0</v>
      </c>
      <c r="O129" s="948"/>
      <c r="P129" s="948"/>
      <c r="Q129" s="948"/>
      <c r="R129" s="248"/>
      <c r="T129" s="407" t="s">
        <v>5</v>
      </c>
      <c r="U129" s="221" t="s">
        <v>36</v>
      </c>
      <c r="V129" s="408">
        <v>0</v>
      </c>
      <c r="W129" s="408" t="e">
        <f>V129*#REF!</f>
        <v>#REF!</v>
      </c>
      <c r="X129" s="408">
        <v>0</v>
      </c>
      <c r="Y129" s="408" t="e">
        <f>X129*#REF!</f>
        <v>#REF!</v>
      </c>
      <c r="Z129" s="408">
        <v>0</v>
      </c>
      <c r="AA129" s="409" t="e">
        <f>Z129*#REF!</f>
        <v>#REF!</v>
      </c>
      <c r="AC129" s="398"/>
      <c r="AR129" s="240" t="s">
        <v>128</v>
      </c>
      <c r="AT129" s="240" t="s">
        <v>126</v>
      </c>
      <c r="AU129" s="240" t="s">
        <v>80</v>
      </c>
      <c r="AY129" s="240" t="s">
        <v>125</v>
      </c>
      <c r="BE129" s="250">
        <f>IF(U129="základní",#REF!,0)</f>
        <v>0</v>
      </c>
      <c r="BF129" s="250" t="e">
        <f>IF(U129="snížená",#REF!,0)</f>
        <v>#REF!</v>
      </c>
      <c r="BG129" s="250">
        <f>IF(U129="zákl. přenesená",#REF!,0)</f>
        <v>0</v>
      </c>
      <c r="BH129" s="250">
        <f>IF(U129="sníž. přenesená",#REF!,0)</f>
        <v>0</v>
      </c>
      <c r="BI129" s="250">
        <f>IF(U129="nulová",#REF!,0)</f>
        <v>0</v>
      </c>
      <c r="BJ129" s="240" t="s">
        <v>80</v>
      </c>
      <c r="BK129" s="250" t="e">
        <f>ROUND(#REF!*#REF!,2)</f>
        <v>#REF!</v>
      </c>
      <c r="BL129" s="240" t="s">
        <v>128</v>
      </c>
      <c r="BM129" s="240" t="s">
        <v>153</v>
      </c>
    </row>
    <row r="130" spans="2:65" s="778" customFormat="1" ht="30" customHeight="1">
      <c r="B130" s="771"/>
      <c r="C130" s="772" t="s">
        <v>222</v>
      </c>
      <c r="D130" s="772"/>
      <c r="E130" s="137" t="s">
        <v>1100</v>
      </c>
      <c r="F130" s="1129" t="s">
        <v>476</v>
      </c>
      <c r="G130" s="1129"/>
      <c r="H130" s="1129"/>
      <c r="I130" s="1129"/>
      <c r="J130" s="132" t="s">
        <v>131</v>
      </c>
      <c r="K130" s="127">
        <v>1</v>
      </c>
      <c r="L130" s="13"/>
      <c r="M130" s="128"/>
      <c r="N130" s="1139">
        <f t="shared" si="0"/>
        <v>0</v>
      </c>
      <c r="O130" s="1139"/>
      <c r="P130" s="1139"/>
      <c r="Q130" s="1139"/>
      <c r="R130" s="773"/>
      <c r="T130" s="825" t="s">
        <v>5</v>
      </c>
      <c r="U130" s="775" t="s">
        <v>36</v>
      </c>
      <c r="V130" s="776">
        <v>0</v>
      </c>
      <c r="W130" s="776" t="e">
        <f>V130*#REF!</f>
        <v>#REF!</v>
      </c>
      <c r="X130" s="776">
        <v>0</v>
      </c>
      <c r="Y130" s="776" t="e">
        <f>X130*#REF!</f>
        <v>#REF!</v>
      </c>
      <c r="Z130" s="776">
        <v>0</v>
      </c>
      <c r="AA130" s="777" t="e">
        <f>Z130*#REF!</f>
        <v>#REF!</v>
      </c>
      <c r="AC130" s="398"/>
      <c r="AR130" s="779" t="s">
        <v>128</v>
      </c>
      <c r="AT130" s="779" t="s">
        <v>126</v>
      </c>
      <c r="AU130" s="779" t="s">
        <v>80</v>
      </c>
      <c r="AY130" s="779" t="s">
        <v>125</v>
      </c>
      <c r="BE130" s="780">
        <f>IF(U130="základní",#REF!,0)</f>
        <v>0</v>
      </c>
      <c r="BF130" s="780" t="e">
        <f>IF(U130="snížená",#REF!,0)</f>
        <v>#REF!</v>
      </c>
      <c r="BG130" s="780">
        <f>IF(U130="zákl. přenesená",#REF!,0)</f>
        <v>0</v>
      </c>
      <c r="BH130" s="780">
        <f>IF(U130="sníž. přenesená",#REF!,0)</f>
        <v>0</v>
      </c>
      <c r="BI130" s="780">
        <f>IF(U130="nulová",#REF!,0)</f>
        <v>0</v>
      </c>
      <c r="BJ130" s="779" t="s">
        <v>80</v>
      </c>
      <c r="BK130" s="780" t="e">
        <f>ROUND(#REF!*#REF!,2)</f>
        <v>#REF!</v>
      </c>
      <c r="BL130" s="779" t="s">
        <v>128</v>
      </c>
      <c r="BM130" s="779" t="s">
        <v>154</v>
      </c>
    </row>
    <row r="131" spans="2:65" s="249" customFormat="1" ht="30" customHeight="1">
      <c r="B131" s="247"/>
      <c r="C131" s="195" t="s">
        <v>223</v>
      </c>
      <c r="D131" s="195"/>
      <c r="E131" s="94" t="s">
        <v>1101</v>
      </c>
      <c r="F131" s="960" t="s">
        <v>477</v>
      </c>
      <c r="G131" s="960"/>
      <c r="H131" s="960"/>
      <c r="I131" s="960"/>
      <c r="J131" s="94" t="s">
        <v>198</v>
      </c>
      <c r="K131" s="95">
        <v>3</v>
      </c>
      <c r="L131" s="21"/>
      <c r="M131" s="128"/>
      <c r="N131" s="948">
        <f t="shared" si="0"/>
        <v>0</v>
      </c>
      <c r="O131" s="948"/>
      <c r="P131" s="948"/>
      <c r="Q131" s="948"/>
      <c r="R131" s="248"/>
      <c r="T131" s="407" t="s">
        <v>5</v>
      </c>
      <c r="U131" s="221" t="s">
        <v>36</v>
      </c>
      <c r="V131" s="408">
        <v>0</v>
      </c>
      <c r="W131" s="408" t="e">
        <f>V131*#REF!</f>
        <v>#REF!</v>
      </c>
      <c r="X131" s="408">
        <v>0</v>
      </c>
      <c r="Y131" s="408" t="e">
        <f>X131*#REF!</f>
        <v>#REF!</v>
      </c>
      <c r="Z131" s="408">
        <v>0</v>
      </c>
      <c r="AA131" s="409" t="e">
        <f>Z131*#REF!</f>
        <v>#REF!</v>
      </c>
      <c r="AC131" s="398"/>
      <c r="AR131" s="240" t="s">
        <v>128</v>
      </c>
      <c r="AT131" s="240" t="s">
        <v>126</v>
      </c>
      <c r="AU131" s="240" t="s">
        <v>80</v>
      </c>
      <c r="AY131" s="240" t="s">
        <v>125</v>
      </c>
      <c r="BE131" s="250">
        <f>IF(U131="základní",#REF!,0)</f>
        <v>0</v>
      </c>
      <c r="BF131" s="250" t="e">
        <f>IF(U131="snížená",#REF!,0)</f>
        <v>#REF!</v>
      </c>
      <c r="BG131" s="250">
        <f>IF(U131="zákl. přenesená",#REF!,0)</f>
        <v>0</v>
      </c>
      <c r="BH131" s="250">
        <f>IF(U131="sníž. přenesená",#REF!,0)</f>
        <v>0</v>
      </c>
      <c r="BI131" s="250">
        <f>IF(U131="nulová",#REF!,0)</f>
        <v>0</v>
      </c>
      <c r="BJ131" s="240" t="s">
        <v>80</v>
      </c>
      <c r="BK131" s="250" t="e">
        <f>ROUND(#REF!*#REF!,2)</f>
        <v>#REF!</v>
      </c>
      <c r="BL131" s="240" t="s">
        <v>128</v>
      </c>
      <c r="BM131" s="240" t="s">
        <v>155</v>
      </c>
    </row>
    <row r="132" spans="2:65" s="778" customFormat="1" ht="30" customHeight="1">
      <c r="B132" s="771"/>
      <c r="C132" s="772" t="s">
        <v>224</v>
      </c>
      <c r="D132" s="772"/>
      <c r="E132" s="137" t="s">
        <v>1102</v>
      </c>
      <c r="F132" s="1129" t="s">
        <v>478</v>
      </c>
      <c r="G132" s="1129"/>
      <c r="H132" s="1129"/>
      <c r="I132" s="1129"/>
      <c r="J132" s="132" t="s">
        <v>198</v>
      </c>
      <c r="K132" s="127">
        <v>3</v>
      </c>
      <c r="L132" s="13"/>
      <c r="M132" s="128"/>
      <c r="N132" s="1139">
        <f t="shared" si="0"/>
        <v>0</v>
      </c>
      <c r="O132" s="1139"/>
      <c r="P132" s="1139"/>
      <c r="Q132" s="1139"/>
      <c r="R132" s="773"/>
      <c r="T132" s="825" t="s">
        <v>5</v>
      </c>
      <c r="U132" s="775" t="s">
        <v>36</v>
      </c>
      <c r="V132" s="776">
        <v>0</v>
      </c>
      <c r="W132" s="776" t="e">
        <f>V132*#REF!</f>
        <v>#REF!</v>
      </c>
      <c r="X132" s="776">
        <v>0</v>
      </c>
      <c r="Y132" s="776" t="e">
        <f>X132*#REF!</f>
        <v>#REF!</v>
      </c>
      <c r="Z132" s="776">
        <v>0</v>
      </c>
      <c r="AA132" s="777" t="e">
        <f>Z132*#REF!</f>
        <v>#REF!</v>
      </c>
      <c r="AC132" s="398"/>
      <c r="AR132" s="779" t="s">
        <v>128</v>
      </c>
      <c r="AT132" s="779" t="s">
        <v>126</v>
      </c>
      <c r="AU132" s="779" t="s">
        <v>80</v>
      </c>
      <c r="AY132" s="779" t="s">
        <v>125</v>
      </c>
      <c r="BE132" s="780">
        <f>IF(U132="základní",#REF!,0)</f>
        <v>0</v>
      </c>
      <c r="BF132" s="780" t="e">
        <f>IF(U132="snížená",#REF!,0)</f>
        <v>#REF!</v>
      </c>
      <c r="BG132" s="780">
        <f>IF(U132="zákl. přenesená",#REF!,0)</f>
        <v>0</v>
      </c>
      <c r="BH132" s="780">
        <f>IF(U132="sníž. přenesená",#REF!,0)</f>
        <v>0</v>
      </c>
      <c r="BI132" s="780">
        <f>IF(U132="nulová",#REF!,0)</f>
        <v>0</v>
      </c>
      <c r="BJ132" s="779" t="s">
        <v>80</v>
      </c>
      <c r="BK132" s="780" t="e">
        <f>ROUND(#REF!*#REF!,2)</f>
        <v>#REF!</v>
      </c>
      <c r="BL132" s="779" t="s">
        <v>128</v>
      </c>
      <c r="BM132" s="779" t="s">
        <v>162</v>
      </c>
    </row>
    <row r="133" spans="2:65" s="249" customFormat="1" ht="30" customHeight="1">
      <c r="B133" s="247"/>
      <c r="C133" s="195" t="s">
        <v>225</v>
      </c>
      <c r="D133" s="195"/>
      <c r="E133" s="94" t="s">
        <v>1103</v>
      </c>
      <c r="F133" s="960" t="s">
        <v>479</v>
      </c>
      <c r="G133" s="960"/>
      <c r="H133" s="960"/>
      <c r="I133" s="960"/>
      <c r="J133" s="94" t="s">
        <v>198</v>
      </c>
      <c r="K133" s="95">
        <v>1</v>
      </c>
      <c r="L133" s="21"/>
      <c r="M133" s="128"/>
      <c r="N133" s="948">
        <f t="shared" si="0"/>
        <v>0</v>
      </c>
      <c r="O133" s="948"/>
      <c r="P133" s="948"/>
      <c r="Q133" s="948"/>
      <c r="R133" s="248"/>
      <c r="T133" s="407" t="s">
        <v>5</v>
      </c>
      <c r="U133" s="221" t="s">
        <v>36</v>
      </c>
      <c r="V133" s="408">
        <v>0</v>
      </c>
      <c r="W133" s="408" t="e">
        <f>V133*#REF!</f>
        <v>#REF!</v>
      </c>
      <c r="X133" s="408">
        <v>0</v>
      </c>
      <c r="Y133" s="408" t="e">
        <f>X133*#REF!</f>
        <v>#REF!</v>
      </c>
      <c r="Z133" s="408">
        <v>0</v>
      </c>
      <c r="AA133" s="409" t="e">
        <f>Z133*#REF!</f>
        <v>#REF!</v>
      </c>
      <c r="AC133" s="398"/>
      <c r="AR133" s="240" t="s">
        <v>128</v>
      </c>
      <c r="AT133" s="240" t="s">
        <v>126</v>
      </c>
      <c r="AU133" s="240" t="s">
        <v>80</v>
      </c>
      <c r="AY133" s="240" t="s">
        <v>125</v>
      </c>
      <c r="BE133" s="250">
        <f>IF(U133="základní",#REF!,0)</f>
        <v>0</v>
      </c>
      <c r="BF133" s="250" t="e">
        <f>IF(U133="snížená",#REF!,0)</f>
        <v>#REF!</v>
      </c>
      <c r="BG133" s="250">
        <f>IF(U133="zákl. přenesená",#REF!,0)</f>
        <v>0</v>
      </c>
      <c r="BH133" s="250">
        <f>IF(U133="sníž. přenesená",#REF!,0)</f>
        <v>0</v>
      </c>
      <c r="BI133" s="250">
        <f>IF(U133="nulová",#REF!,0)</f>
        <v>0</v>
      </c>
      <c r="BJ133" s="240" t="s">
        <v>80</v>
      </c>
      <c r="BK133" s="250" t="e">
        <f>ROUND(#REF!*#REF!,2)</f>
        <v>#REF!</v>
      </c>
      <c r="BL133" s="240" t="s">
        <v>128</v>
      </c>
      <c r="BM133" s="240" t="s">
        <v>165</v>
      </c>
    </row>
    <row r="134" spans="2:65" s="778" customFormat="1" ht="30" customHeight="1">
      <c r="B134" s="771"/>
      <c r="C134" s="772" t="s">
        <v>226</v>
      </c>
      <c r="D134" s="772"/>
      <c r="E134" s="137" t="s">
        <v>1104</v>
      </c>
      <c r="F134" s="1129" t="s">
        <v>480</v>
      </c>
      <c r="G134" s="1129"/>
      <c r="H134" s="1129"/>
      <c r="I134" s="1129"/>
      <c r="J134" s="132" t="s">
        <v>198</v>
      </c>
      <c r="K134" s="127">
        <v>1</v>
      </c>
      <c r="L134" s="13"/>
      <c r="M134" s="128"/>
      <c r="N134" s="1139">
        <f t="shared" si="0"/>
        <v>0</v>
      </c>
      <c r="O134" s="1139"/>
      <c r="P134" s="1139"/>
      <c r="Q134" s="1139"/>
      <c r="R134" s="773"/>
      <c r="T134" s="825" t="s">
        <v>5</v>
      </c>
      <c r="U134" s="775" t="s">
        <v>36</v>
      </c>
      <c r="V134" s="776">
        <v>0</v>
      </c>
      <c r="W134" s="776">
        <f>V134*K133</f>
        <v>0</v>
      </c>
      <c r="X134" s="776">
        <v>0</v>
      </c>
      <c r="Y134" s="776">
        <f>X134*K133</f>
        <v>0</v>
      </c>
      <c r="Z134" s="776">
        <v>0</v>
      </c>
      <c r="AA134" s="777">
        <f>Z134*K133</f>
        <v>0</v>
      </c>
      <c r="AC134" s="398"/>
      <c r="AR134" s="779" t="s">
        <v>128</v>
      </c>
      <c r="AT134" s="779" t="s">
        <v>126</v>
      </c>
      <c r="AU134" s="779" t="s">
        <v>76</v>
      </c>
      <c r="AY134" s="779" t="s">
        <v>125</v>
      </c>
      <c r="BE134" s="780">
        <f>IF(U134="základní",N133,0)</f>
        <v>0</v>
      </c>
      <c r="BF134" s="780">
        <f>IF(U134="snížená",N133,0)</f>
        <v>0</v>
      </c>
      <c r="BG134" s="780">
        <f>IF(U134="zákl. přenesená",N133,0)</f>
        <v>0</v>
      </c>
      <c r="BH134" s="780">
        <f>IF(U134="sníž. přenesená",N133,0)</f>
        <v>0</v>
      </c>
      <c r="BI134" s="780">
        <f>IF(U134="nulová",N133,0)</f>
        <v>0</v>
      </c>
      <c r="BJ134" s="779" t="s">
        <v>80</v>
      </c>
      <c r="BK134" s="780">
        <f>ROUND(L133*K133,2)</f>
        <v>0</v>
      </c>
      <c r="BL134" s="779" t="s">
        <v>128</v>
      </c>
      <c r="BM134" s="779" t="s">
        <v>166</v>
      </c>
    </row>
    <row r="135" spans="2:65" s="249" customFormat="1" ht="30" customHeight="1">
      <c r="B135" s="247"/>
      <c r="C135" s="195" t="s">
        <v>227</v>
      </c>
      <c r="D135" s="195"/>
      <c r="E135" s="94" t="s">
        <v>1105</v>
      </c>
      <c r="F135" s="1147" t="s">
        <v>481</v>
      </c>
      <c r="G135" s="960"/>
      <c r="H135" s="960"/>
      <c r="I135" s="960"/>
      <c r="J135" s="94" t="s">
        <v>198</v>
      </c>
      <c r="K135" s="95">
        <v>8</v>
      </c>
      <c r="L135" s="21"/>
      <c r="M135" s="128"/>
      <c r="N135" s="948">
        <f t="shared" si="0"/>
        <v>0</v>
      </c>
      <c r="O135" s="948"/>
      <c r="P135" s="948"/>
      <c r="Q135" s="948"/>
      <c r="R135" s="248"/>
      <c r="T135" s="407" t="s">
        <v>5</v>
      </c>
      <c r="U135" s="221" t="s">
        <v>36</v>
      </c>
      <c r="V135" s="408">
        <v>0</v>
      </c>
      <c r="W135" s="408" t="e">
        <f>V135*#REF!</f>
        <v>#REF!</v>
      </c>
      <c r="X135" s="408">
        <v>0</v>
      </c>
      <c r="Y135" s="408" t="e">
        <f>X135*#REF!</f>
        <v>#REF!</v>
      </c>
      <c r="Z135" s="408">
        <v>0</v>
      </c>
      <c r="AA135" s="409" t="e">
        <f>Z135*#REF!</f>
        <v>#REF!</v>
      </c>
      <c r="AC135" s="398"/>
      <c r="AR135" s="240" t="s">
        <v>128</v>
      </c>
      <c r="AT135" s="240" t="s">
        <v>126</v>
      </c>
      <c r="AU135" s="240" t="s">
        <v>76</v>
      </c>
      <c r="AY135" s="240" t="s">
        <v>125</v>
      </c>
      <c r="BE135" s="250">
        <f>IF(U135="základní",#REF!,0)</f>
        <v>0</v>
      </c>
      <c r="BF135" s="250" t="e">
        <f>IF(U135="snížená",#REF!,0)</f>
        <v>#REF!</v>
      </c>
      <c r="BG135" s="250">
        <f>IF(U135="zákl. přenesená",#REF!,0)</f>
        <v>0</v>
      </c>
      <c r="BH135" s="250">
        <f>IF(U135="sníž. přenesená",#REF!,0)</f>
        <v>0</v>
      </c>
      <c r="BI135" s="250">
        <f>IF(U135="nulová",#REF!,0)</f>
        <v>0</v>
      </c>
      <c r="BJ135" s="240" t="s">
        <v>80</v>
      </c>
      <c r="BK135" s="250" t="e">
        <f>ROUND(#REF!*#REF!,2)</f>
        <v>#REF!</v>
      </c>
      <c r="BL135" s="240" t="s">
        <v>128</v>
      </c>
      <c r="BM135" s="240" t="s">
        <v>167</v>
      </c>
    </row>
    <row r="136" spans="2:65" s="778" customFormat="1" ht="30" customHeight="1">
      <c r="B136" s="771"/>
      <c r="C136" s="772" t="s">
        <v>228</v>
      </c>
      <c r="D136" s="772"/>
      <c r="E136" s="137" t="s">
        <v>1106</v>
      </c>
      <c r="F136" s="1129" t="s">
        <v>482</v>
      </c>
      <c r="G136" s="1129"/>
      <c r="H136" s="1129"/>
      <c r="I136" s="1129"/>
      <c r="J136" s="132" t="s">
        <v>198</v>
      </c>
      <c r="K136" s="127">
        <v>8</v>
      </c>
      <c r="L136" s="13"/>
      <c r="M136" s="128"/>
      <c r="N136" s="1139">
        <f t="shared" si="0"/>
        <v>0</v>
      </c>
      <c r="O136" s="1139"/>
      <c r="P136" s="1139"/>
      <c r="Q136" s="1139"/>
      <c r="R136" s="773"/>
      <c r="T136" s="825" t="s">
        <v>5</v>
      </c>
      <c r="U136" s="775" t="s">
        <v>36</v>
      </c>
      <c r="V136" s="776">
        <v>0</v>
      </c>
      <c r="W136" s="776" t="e">
        <f>V136*#REF!</f>
        <v>#REF!</v>
      </c>
      <c r="X136" s="776">
        <v>0</v>
      </c>
      <c r="Y136" s="776" t="e">
        <f>X136*#REF!</f>
        <v>#REF!</v>
      </c>
      <c r="Z136" s="776">
        <v>0</v>
      </c>
      <c r="AA136" s="777" t="e">
        <f>Z136*#REF!</f>
        <v>#REF!</v>
      </c>
      <c r="AC136" s="398"/>
      <c r="AR136" s="779" t="s">
        <v>128</v>
      </c>
      <c r="AT136" s="779" t="s">
        <v>126</v>
      </c>
      <c r="AU136" s="779" t="s">
        <v>76</v>
      </c>
      <c r="AY136" s="779" t="s">
        <v>125</v>
      </c>
      <c r="BE136" s="780">
        <f>IF(U136="základní",#REF!,0)</f>
        <v>0</v>
      </c>
      <c r="BF136" s="780" t="e">
        <f>IF(U136="snížená",#REF!,0)</f>
        <v>#REF!</v>
      </c>
      <c r="BG136" s="780">
        <f>IF(U136="zákl. přenesená",#REF!,0)</f>
        <v>0</v>
      </c>
      <c r="BH136" s="780">
        <f>IF(U136="sníž. přenesená",#REF!,0)</f>
        <v>0</v>
      </c>
      <c r="BI136" s="780">
        <f>IF(U136="nulová",#REF!,0)</f>
        <v>0</v>
      </c>
      <c r="BJ136" s="779" t="s">
        <v>80</v>
      </c>
      <c r="BK136" s="780" t="e">
        <f>ROUND(#REF!*#REF!,2)</f>
        <v>#REF!</v>
      </c>
      <c r="BL136" s="779" t="s">
        <v>128</v>
      </c>
      <c r="BM136" s="779" t="s">
        <v>168</v>
      </c>
    </row>
    <row r="137" spans="2:65" s="249" customFormat="1" ht="30" customHeight="1">
      <c r="B137" s="247"/>
      <c r="C137" s="195" t="s">
        <v>229</v>
      </c>
      <c r="D137" s="195"/>
      <c r="E137" s="94" t="s">
        <v>1107</v>
      </c>
      <c r="F137" s="960" t="s">
        <v>483</v>
      </c>
      <c r="G137" s="960"/>
      <c r="H137" s="960"/>
      <c r="I137" s="960"/>
      <c r="J137" s="94" t="s">
        <v>198</v>
      </c>
      <c r="K137" s="95">
        <v>25</v>
      </c>
      <c r="L137" s="21"/>
      <c r="M137" s="128"/>
      <c r="N137" s="948">
        <f t="shared" si="0"/>
        <v>0</v>
      </c>
      <c r="O137" s="948"/>
      <c r="P137" s="948"/>
      <c r="Q137" s="948"/>
      <c r="R137" s="248"/>
      <c r="T137" s="407" t="s">
        <v>5</v>
      </c>
      <c r="U137" s="221" t="s">
        <v>36</v>
      </c>
      <c r="V137" s="408">
        <v>0</v>
      </c>
      <c r="W137" s="408" t="e">
        <f>V137*#REF!</f>
        <v>#REF!</v>
      </c>
      <c r="X137" s="408">
        <v>0</v>
      </c>
      <c r="Y137" s="408" t="e">
        <f>X137*#REF!</f>
        <v>#REF!</v>
      </c>
      <c r="Z137" s="408">
        <v>0</v>
      </c>
      <c r="AA137" s="409" t="e">
        <f>Z137*#REF!</f>
        <v>#REF!</v>
      </c>
      <c r="AC137" s="398"/>
      <c r="AT137" s="240" t="s">
        <v>126</v>
      </c>
      <c r="AU137" s="240" t="s">
        <v>76</v>
      </c>
      <c r="AY137" s="240" t="s">
        <v>125</v>
      </c>
      <c r="BE137" s="250">
        <f>IF(U137="základní",#REF!,0)</f>
        <v>0</v>
      </c>
      <c r="BF137" s="250" t="e">
        <f>IF(U137="snížená",#REF!,0)</f>
        <v>#REF!</v>
      </c>
      <c r="BG137" s="250">
        <f>IF(U137="zákl. přenesená",#REF!,0)</f>
        <v>0</v>
      </c>
      <c r="BH137" s="250">
        <f>IF(U137="sníž. přenesená",#REF!,0)</f>
        <v>0</v>
      </c>
      <c r="BI137" s="250">
        <f>IF(U137="nulová",#REF!,0)</f>
        <v>0</v>
      </c>
      <c r="BJ137" s="240" t="s">
        <v>80</v>
      </c>
      <c r="BK137" s="250" t="e">
        <f>ROUND(#REF!*#REF!,2)</f>
        <v>#REF!</v>
      </c>
      <c r="BL137" s="240" t="s">
        <v>128</v>
      </c>
      <c r="BM137" s="240" t="s">
        <v>177</v>
      </c>
    </row>
    <row r="138" spans="2:63" s="787" customFormat="1" ht="30" customHeight="1">
      <c r="B138" s="831"/>
      <c r="C138" s="772" t="s">
        <v>230</v>
      </c>
      <c r="D138" s="772"/>
      <c r="E138" s="137" t="s">
        <v>1108</v>
      </c>
      <c r="F138" s="1129" t="s">
        <v>484</v>
      </c>
      <c r="G138" s="1129"/>
      <c r="H138" s="1129"/>
      <c r="I138" s="1129"/>
      <c r="J138" s="132" t="s">
        <v>198</v>
      </c>
      <c r="K138" s="127">
        <v>25</v>
      </c>
      <c r="L138" s="13"/>
      <c r="M138" s="128"/>
      <c r="N138" s="1139">
        <f t="shared" si="0"/>
        <v>0</v>
      </c>
      <c r="O138" s="1139"/>
      <c r="P138" s="1139"/>
      <c r="Q138" s="1139"/>
      <c r="R138" s="832"/>
      <c r="T138" s="788"/>
      <c r="U138" s="789"/>
      <c r="V138" s="789"/>
      <c r="W138" s="790" t="e">
        <f>SUM(W140:W155)</f>
        <v>#REF!</v>
      </c>
      <c r="X138" s="789"/>
      <c r="Y138" s="790" t="e">
        <f>SUM(Y140:Y155)</f>
        <v>#REF!</v>
      </c>
      <c r="Z138" s="789"/>
      <c r="AA138" s="791" t="e">
        <f>SUM(AA140:AA155)</f>
        <v>#REF!</v>
      </c>
      <c r="AC138" s="398"/>
      <c r="AT138" s="792" t="s">
        <v>68</v>
      </c>
      <c r="AU138" s="792" t="s">
        <v>76</v>
      </c>
      <c r="AY138" s="793" t="s">
        <v>125</v>
      </c>
      <c r="BK138" s="780" t="e">
        <f>SUM(BK140:BK155)</f>
        <v>#REF!</v>
      </c>
    </row>
    <row r="139" spans="2:63" s="398" customFormat="1" ht="30" customHeight="1">
      <c r="B139" s="399"/>
      <c r="C139" s="195" t="s">
        <v>231</v>
      </c>
      <c r="D139" s="490"/>
      <c r="E139" s="94" t="s">
        <v>1109</v>
      </c>
      <c r="F139" s="999" t="s">
        <v>492</v>
      </c>
      <c r="G139" s="999"/>
      <c r="H139" s="999"/>
      <c r="I139" s="999"/>
      <c r="J139" s="94" t="s">
        <v>133</v>
      </c>
      <c r="K139" s="125">
        <v>8</v>
      </c>
      <c r="L139" s="21"/>
      <c r="M139" s="128"/>
      <c r="N139" s="966">
        <f aca="true" t="shared" si="1" ref="N139:N144">ROUND(L139*K139,2)</f>
        <v>0</v>
      </c>
      <c r="O139" s="966"/>
      <c r="P139" s="966"/>
      <c r="Q139" s="966"/>
      <c r="R139" s="400"/>
      <c r="T139" s="401"/>
      <c r="U139" s="181"/>
      <c r="V139" s="181"/>
      <c r="W139" s="402" t="e">
        <f>SUM(W142:W156)</f>
        <v>#REF!</v>
      </c>
      <c r="X139" s="181"/>
      <c r="Y139" s="402" t="e">
        <f>SUM(Y142:Y156)</f>
        <v>#REF!</v>
      </c>
      <c r="Z139" s="181"/>
      <c r="AA139" s="403" t="e">
        <f>SUM(AA142:AA156)</f>
        <v>#REF!</v>
      </c>
      <c r="AT139" s="405" t="s">
        <v>68</v>
      </c>
      <c r="AU139" s="405" t="s">
        <v>76</v>
      </c>
      <c r="AY139" s="404" t="s">
        <v>125</v>
      </c>
      <c r="BK139" s="406" t="e">
        <f>SUM(BK142:BK156)</f>
        <v>#REF!</v>
      </c>
    </row>
    <row r="140" spans="2:65" s="778" customFormat="1" ht="30" customHeight="1">
      <c r="B140" s="771"/>
      <c r="C140" s="772" t="s">
        <v>232</v>
      </c>
      <c r="D140" s="772"/>
      <c r="E140" s="137" t="s">
        <v>1110</v>
      </c>
      <c r="F140" s="1116" t="s">
        <v>485</v>
      </c>
      <c r="G140" s="1116"/>
      <c r="H140" s="1116"/>
      <c r="I140" s="1116"/>
      <c r="J140" s="137" t="s">
        <v>133</v>
      </c>
      <c r="K140" s="126">
        <v>8</v>
      </c>
      <c r="L140" s="13"/>
      <c r="M140" s="128"/>
      <c r="N140" s="1139">
        <f t="shared" si="1"/>
        <v>0</v>
      </c>
      <c r="O140" s="1139"/>
      <c r="P140" s="1139"/>
      <c r="Q140" s="1139"/>
      <c r="R140" s="773"/>
      <c r="T140" s="825" t="s">
        <v>5</v>
      </c>
      <c r="U140" s="775" t="s">
        <v>36</v>
      </c>
      <c r="V140" s="776">
        <v>0</v>
      </c>
      <c r="W140" s="776" t="e">
        <f>V140*#REF!</f>
        <v>#REF!</v>
      </c>
      <c r="X140" s="776">
        <v>0</v>
      </c>
      <c r="Y140" s="776" t="e">
        <f>X140*#REF!</f>
        <v>#REF!</v>
      </c>
      <c r="Z140" s="776">
        <v>0</v>
      </c>
      <c r="AA140" s="777" t="e">
        <f>Z140*#REF!</f>
        <v>#REF!</v>
      </c>
      <c r="AC140" s="398"/>
      <c r="AT140" s="779" t="s">
        <v>126</v>
      </c>
      <c r="AU140" s="779" t="s">
        <v>80</v>
      </c>
      <c r="AY140" s="779" t="s">
        <v>125</v>
      </c>
      <c r="BE140" s="780">
        <f>IF(U140="základní",#REF!,0)</f>
        <v>0</v>
      </c>
      <c r="BF140" s="780" t="e">
        <f>IF(U140="snížená",#REF!,0)</f>
        <v>#REF!</v>
      </c>
      <c r="BG140" s="780">
        <f>IF(U140="zákl. přenesená",#REF!,0)</f>
        <v>0</v>
      </c>
      <c r="BH140" s="780">
        <f>IF(U140="sníž. přenesená",#REF!,0)</f>
        <v>0</v>
      </c>
      <c r="BI140" s="780">
        <f>IF(U140="nulová",#REF!,0)</f>
        <v>0</v>
      </c>
      <c r="BJ140" s="779" t="s">
        <v>80</v>
      </c>
      <c r="BK140" s="780" t="e">
        <f>ROUND(#REF!*#REF!,2)</f>
        <v>#REF!</v>
      </c>
      <c r="BL140" s="779" t="s">
        <v>128</v>
      </c>
      <c r="BM140" s="779" t="s">
        <v>180</v>
      </c>
    </row>
    <row r="141" spans="2:65" s="249" customFormat="1" ht="30" customHeight="1">
      <c r="B141" s="247"/>
      <c r="C141" s="195" t="s">
        <v>233</v>
      </c>
      <c r="D141" s="490"/>
      <c r="E141" s="94" t="s">
        <v>1111</v>
      </c>
      <c r="F141" s="960" t="s">
        <v>493</v>
      </c>
      <c r="G141" s="960"/>
      <c r="H141" s="960"/>
      <c r="I141" s="960"/>
      <c r="J141" s="94" t="s">
        <v>133</v>
      </c>
      <c r="K141" s="125">
        <v>19</v>
      </c>
      <c r="L141" s="21"/>
      <c r="M141" s="128"/>
      <c r="N141" s="966">
        <f>ROUND(L141*K141,2)</f>
        <v>0</v>
      </c>
      <c r="O141" s="966"/>
      <c r="P141" s="966"/>
      <c r="Q141" s="966"/>
      <c r="R141" s="248"/>
      <c r="T141" s="407" t="s">
        <v>5</v>
      </c>
      <c r="U141" s="221" t="s">
        <v>36</v>
      </c>
      <c r="V141" s="408">
        <v>0</v>
      </c>
      <c r="W141" s="408" t="e">
        <f>V141*#REF!</f>
        <v>#REF!</v>
      </c>
      <c r="X141" s="408">
        <v>0</v>
      </c>
      <c r="Y141" s="408" t="e">
        <f>X141*#REF!</f>
        <v>#REF!</v>
      </c>
      <c r="Z141" s="408">
        <v>0</v>
      </c>
      <c r="AA141" s="409" t="e">
        <f>Z141*#REF!</f>
        <v>#REF!</v>
      </c>
      <c r="AC141" s="398"/>
      <c r="AT141" s="240" t="s">
        <v>126</v>
      </c>
      <c r="AU141" s="240" t="s">
        <v>80</v>
      </c>
      <c r="AY141" s="240" t="s">
        <v>125</v>
      </c>
      <c r="BE141" s="250">
        <f>IF(U141="základní",#REF!,0)</f>
        <v>0</v>
      </c>
      <c r="BF141" s="250" t="e">
        <f>IF(U141="snížená",#REF!,0)</f>
        <v>#REF!</v>
      </c>
      <c r="BG141" s="250">
        <f>IF(U141="zákl. přenesená",#REF!,0)</f>
        <v>0</v>
      </c>
      <c r="BH141" s="250">
        <f>IF(U141="sníž. přenesená",#REF!,0)</f>
        <v>0</v>
      </c>
      <c r="BI141" s="250">
        <f>IF(U141="nulová",#REF!,0)</f>
        <v>0</v>
      </c>
      <c r="BJ141" s="240" t="s">
        <v>80</v>
      </c>
      <c r="BK141" s="250" t="e">
        <f>ROUND(#REF!*#REF!,2)</f>
        <v>#REF!</v>
      </c>
      <c r="BL141" s="240" t="s">
        <v>128</v>
      </c>
      <c r="BM141" s="240" t="s">
        <v>180</v>
      </c>
    </row>
    <row r="142" spans="2:65" s="778" customFormat="1" ht="30" customHeight="1">
      <c r="B142" s="771"/>
      <c r="C142" s="772" t="s">
        <v>234</v>
      </c>
      <c r="D142" s="772"/>
      <c r="E142" s="137" t="s">
        <v>1112</v>
      </c>
      <c r="F142" s="1116" t="s">
        <v>486</v>
      </c>
      <c r="G142" s="1116"/>
      <c r="H142" s="1116"/>
      <c r="I142" s="1116"/>
      <c r="J142" s="137" t="s">
        <v>133</v>
      </c>
      <c r="K142" s="126">
        <v>19</v>
      </c>
      <c r="L142" s="13"/>
      <c r="M142" s="128"/>
      <c r="N142" s="1139">
        <f>ROUND(L142*K142,2)</f>
        <v>0</v>
      </c>
      <c r="O142" s="1139"/>
      <c r="P142" s="1139"/>
      <c r="Q142" s="1139"/>
      <c r="R142" s="773"/>
      <c r="T142" s="825" t="s">
        <v>5</v>
      </c>
      <c r="U142" s="775" t="s">
        <v>36</v>
      </c>
      <c r="V142" s="776">
        <v>0</v>
      </c>
      <c r="W142" s="776">
        <f>V142*K138</f>
        <v>0</v>
      </c>
      <c r="X142" s="776">
        <v>0</v>
      </c>
      <c r="Y142" s="776">
        <f>X142*K138</f>
        <v>0</v>
      </c>
      <c r="Z142" s="776">
        <v>0</v>
      </c>
      <c r="AA142" s="777">
        <f>Z142*K138</f>
        <v>0</v>
      </c>
      <c r="AC142" s="398"/>
      <c r="AT142" s="779" t="s">
        <v>126</v>
      </c>
      <c r="AU142" s="779" t="s">
        <v>80</v>
      </c>
      <c r="AY142" s="779" t="s">
        <v>125</v>
      </c>
      <c r="BE142" s="780">
        <f>IF(U142="základní",N138,0)</f>
        <v>0</v>
      </c>
      <c r="BF142" s="780">
        <f>IF(U142="snížená",N138,0)</f>
        <v>0</v>
      </c>
      <c r="BG142" s="780">
        <f>IF(U142="zákl. přenesená",N138,0)</f>
        <v>0</v>
      </c>
      <c r="BH142" s="780">
        <f>IF(U142="sníž. přenesená",N138,0)</f>
        <v>0</v>
      </c>
      <c r="BI142" s="780">
        <f>IF(U142="nulová",N138,0)</f>
        <v>0</v>
      </c>
      <c r="BJ142" s="779" t="s">
        <v>80</v>
      </c>
      <c r="BK142" s="780">
        <f>ROUND(L138*K138,2)</f>
        <v>0</v>
      </c>
      <c r="BL142" s="779" t="s">
        <v>128</v>
      </c>
      <c r="BM142" s="779" t="s">
        <v>181</v>
      </c>
    </row>
    <row r="143" spans="2:65" s="249" customFormat="1" ht="30" customHeight="1">
      <c r="B143" s="247"/>
      <c r="C143" s="195" t="s">
        <v>235</v>
      </c>
      <c r="D143" s="490"/>
      <c r="E143" s="94" t="s">
        <v>1113</v>
      </c>
      <c r="F143" s="947" t="s">
        <v>494</v>
      </c>
      <c r="G143" s="947"/>
      <c r="H143" s="947"/>
      <c r="I143" s="947"/>
      <c r="J143" s="96" t="s">
        <v>133</v>
      </c>
      <c r="K143" s="144">
        <v>8</v>
      </c>
      <c r="L143" s="21"/>
      <c r="M143" s="128"/>
      <c r="N143" s="966">
        <f t="shared" si="1"/>
        <v>0</v>
      </c>
      <c r="O143" s="966"/>
      <c r="P143" s="966"/>
      <c r="Q143" s="966"/>
      <c r="R143" s="248"/>
      <c r="T143" s="407" t="s">
        <v>5</v>
      </c>
      <c r="U143" s="221" t="s">
        <v>36</v>
      </c>
      <c r="V143" s="408">
        <v>0</v>
      </c>
      <c r="W143" s="408">
        <f>V143*K140</f>
        <v>0</v>
      </c>
      <c r="X143" s="408">
        <v>0</v>
      </c>
      <c r="Y143" s="408">
        <f>X143*K140</f>
        <v>0</v>
      </c>
      <c r="Z143" s="408">
        <v>0</v>
      </c>
      <c r="AA143" s="409">
        <f>Z143*K140</f>
        <v>0</v>
      </c>
      <c r="AC143" s="398"/>
      <c r="AT143" s="240" t="s">
        <v>126</v>
      </c>
      <c r="AU143" s="240" t="s">
        <v>80</v>
      </c>
      <c r="AY143" s="240" t="s">
        <v>125</v>
      </c>
      <c r="BE143" s="250">
        <f>IF(U143="základní",N140,0)</f>
        <v>0</v>
      </c>
      <c r="BF143" s="250">
        <f>IF(U143="snížená",N140,0)</f>
        <v>0</v>
      </c>
      <c r="BG143" s="250">
        <f>IF(U143="zákl. přenesená",N140,0)</f>
        <v>0</v>
      </c>
      <c r="BH143" s="250">
        <f>IF(U143="sníž. přenesená",N140,0)</f>
        <v>0</v>
      </c>
      <c r="BI143" s="250">
        <f>IF(U143="nulová",N140,0)</f>
        <v>0</v>
      </c>
      <c r="BJ143" s="240" t="s">
        <v>80</v>
      </c>
      <c r="BK143" s="250">
        <f>ROUND(L140*K140,2)</f>
        <v>0</v>
      </c>
      <c r="BL143" s="240" t="s">
        <v>128</v>
      </c>
      <c r="BM143" s="240" t="s">
        <v>183</v>
      </c>
    </row>
    <row r="144" spans="2:65" s="778" customFormat="1" ht="30" customHeight="1">
      <c r="B144" s="771"/>
      <c r="C144" s="772" t="s">
        <v>769</v>
      </c>
      <c r="D144" s="772"/>
      <c r="E144" s="137" t="s">
        <v>1114</v>
      </c>
      <c r="F144" s="1146" t="s">
        <v>487</v>
      </c>
      <c r="G144" s="1146"/>
      <c r="H144" s="1146"/>
      <c r="I144" s="1146"/>
      <c r="J144" s="145" t="s">
        <v>133</v>
      </c>
      <c r="K144" s="146">
        <v>8</v>
      </c>
      <c r="L144" s="13"/>
      <c r="M144" s="128"/>
      <c r="N144" s="1139">
        <f t="shared" si="1"/>
        <v>0</v>
      </c>
      <c r="O144" s="1139"/>
      <c r="P144" s="1139"/>
      <c r="Q144" s="1139"/>
      <c r="R144" s="773"/>
      <c r="T144" s="825" t="s">
        <v>5</v>
      </c>
      <c r="U144" s="775" t="s">
        <v>36</v>
      </c>
      <c r="V144" s="776">
        <v>0</v>
      </c>
      <c r="W144" s="776">
        <f>V144*K142</f>
        <v>0</v>
      </c>
      <c r="X144" s="776">
        <v>0</v>
      </c>
      <c r="Y144" s="776">
        <f>X144*K142</f>
        <v>0</v>
      </c>
      <c r="Z144" s="776">
        <v>0</v>
      </c>
      <c r="AA144" s="777">
        <f>Z144*K142</f>
        <v>0</v>
      </c>
      <c r="AC144" s="398"/>
      <c r="AT144" s="779" t="s">
        <v>126</v>
      </c>
      <c r="AU144" s="779" t="s">
        <v>80</v>
      </c>
      <c r="AY144" s="779" t="s">
        <v>125</v>
      </c>
      <c r="BE144" s="780">
        <f>IF(U144="základní",N142,0)</f>
        <v>0</v>
      </c>
      <c r="BF144" s="780">
        <f>IF(U144="snížená",N142,0)</f>
        <v>0</v>
      </c>
      <c r="BG144" s="780">
        <f>IF(U144="zákl. přenesená",N142,0)</f>
        <v>0</v>
      </c>
      <c r="BH144" s="780">
        <f>IF(U144="sníž. přenesená",N142,0)</f>
        <v>0</v>
      </c>
      <c r="BI144" s="780">
        <f>IF(U144="nulová",N142,0)</f>
        <v>0</v>
      </c>
      <c r="BJ144" s="779" t="s">
        <v>80</v>
      </c>
      <c r="BK144" s="780">
        <f>ROUND(L142*K142,2)</f>
        <v>0</v>
      </c>
      <c r="BL144" s="779" t="s">
        <v>128</v>
      </c>
      <c r="BM144" s="779" t="s">
        <v>184</v>
      </c>
    </row>
    <row r="145" spans="2:65" s="249" customFormat="1" ht="22.5" customHeight="1">
      <c r="B145" s="247"/>
      <c r="C145" s="195" t="s">
        <v>770</v>
      </c>
      <c r="D145" s="486"/>
      <c r="E145" s="94" t="s">
        <v>1115</v>
      </c>
      <c r="F145" s="947" t="s">
        <v>495</v>
      </c>
      <c r="G145" s="947"/>
      <c r="H145" s="947"/>
      <c r="I145" s="947"/>
      <c r="J145" s="147" t="s">
        <v>133</v>
      </c>
      <c r="K145" s="147">
        <v>14</v>
      </c>
      <c r="L145" s="21"/>
      <c r="M145" s="128"/>
      <c r="N145" s="966">
        <f>ROUND(L145*K145,2)</f>
        <v>0</v>
      </c>
      <c r="O145" s="966"/>
      <c r="P145" s="966"/>
      <c r="Q145" s="966"/>
      <c r="R145" s="248"/>
      <c r="T145" s="407" t="s">
        <v>5</v>
      </c>
      <c r="U145" s="221" t="s">
        <v>36</v>
      </c>
      <c r="V145" s="408">
        <v>0</v>
      </c>
      <c r="W145" s="408" t="e">
        <f>V145*#REF!</f>
        <v>#REF!</v>
      </c>
      <c r="X145" s="408">
        <v>0</v>
      </c>
      <c r="Y145" s="408" t="e">
        <f>X145*#REF!</f>
        <v>#REF!</v>
      </c>
      <c r="Z145" s="408">
        <v>0</v>
      </c>
      <c r="AA145" s="409" t="e">
        <f>Z145*#REF!</f>
        <v>#REF!</v>
      </c>
      <c r="AC145" s="398"/>
      <c r="AT145" s="240" t="s">
        <v>126</v>
      </c>
      <c r="AU145" s="240" t="s">
        <v>80</v>
      </c>
      <c r="AY145" s="240" t="s">
        <v>125</v>
      </c>
      <c r="BE145" s="250">
        <f>IF(U145="základní",#REF!,0)</f>
        <v>0</v>
      </c>
      <c r="BF145" s="250" t="e">
        <f>IF(U145="snížená",#REF!,0)</f>
        <v>#REF!</v>
      </c>
      <c r="BG145" s="250">
        <f>IF(U145="zákl. přenesená",#REF!,0)</f>
        <v>0</v>
      </c>
      <c r="BH145" s="250">
        <f>IF(U145="sníž. přenesená",#REF!,0)</f>
        <v>0</v>
      </c>
      <c r="BI145" s="250">
        <f>IF(U145="nulová",#REF!,0)</f>
        <v>0</v>
      </c>
      <c r="BJ145" s="240" t="s">
        <v>80</v>
      </c>
      <c r="BK145" s="250" t="e">
        <f>ROUND(#REF!*#REF!,2)</f>
        <v>#REF!</v>
      </c>
      <c r="BL145" s="240" t="s">
        <v>128</v>
      </c>
      <c r="BM145" s="240" t="s">
        <v>186</v>
      </c>
    </row>
    <row r="146" spans="2:65" s="778" customFormat="1" ht="22.5" customHeight="1">
      <c r="B146" s="833"/>
      <c r="C146" s="772" t="s">
        <v>771</v>
      </c>
      <c r="D146" s="148"/>
      <c r="E146" s="137" t="s">
        <v>1116</v>
      </c>
      <c r="F146" s="1146" t="s">
        <v>488</v>
      </c>
      <c r="G146" s="1146"/>
      <c r="H146" s="1146"/>
      <c r="I146" s="1146"/>
      <c r="J146" s="148" t="s">
        <v>133</v>
      </c>
      <c r="K146" s="148">
        <v>14</v>
      </c>
      <c r="L146" s="13"/>
      <c r="M146" s="128"/>
      <c r="N146" s="1139">
        <f aca="true" t="shared" si="2" ref="N146:N152">ROUND(L146*K146,2)</f>
        <v>0</v>
      </c>
      <c r="O146" s="1139"/>
      <c r="P146" s="1139"/>
      <c r="Q146" s="1139"/>
      <c r="R146" s="833"/>
      <c r="T146" s="825" t="s">
        <v>5</v>
      </c>
      <c r="U146" s="775" t="s">
        <v>36</v>
      </c>
      <c r="V146" s="776">
        <v>0</v>
      </c>
      <c r="W146" s="776" t="e">
        <f>V146*#REF!</f>
        <v>#REF!</v>
      </c>
      <c r="X146" s="776">
        <v>0</v>
      </c>
      <c r="Y146" s="776" t="e">
        <f>X146*#REF!</f>
        <v>#REF!</v>
      </c>
      <c r="Z146" s="776">
        <v>0</v>
      </c>
      <c r="AA146" s="777" t="e">
        <f>Z146*#REF!</f>
        <v>#REF!</v>
      </c>
      <c r="AC146" s="398"/>
      <c r="AT146" s="779" t="s">
        <v>126</v>
      </c>
      <c r="AU146" s="779" t="s">
        <v>80</v>
      </c>
      <c r="AY146" s="779" t="s">
        <v>125</v>
      </c>
      <c r="BE146" s="780">
        <f>IF(U146="základní",#REF!,0)</f>
        <v>0</v>
      </c>
      <c r="BF146" s="780" t="e">
        <f>IF(U146="snížená",#REF!,0)</f>
        <v>#REF!</v>
      </c>
      <c r="BG146" s="780">
        <f>IF(U146="zákl. přenesená",#REF!,0)</f>
        <v>0</v>
      </c>
      <c r="BH146" s="780">
        <f>IF(U146="sníž. přenesená",#REF!,0)</f>
        <v>0</v>
      </c>
      <c r="BI146" s="780">
        <f>IF(U146="nulová",#REF!,0)</f>
        <v>0</v>
      </c>
      <c r="BJ146" s="779" t="s">
        <v>80</v>
      </c>
      <c r="BK146" s="780" t="e">
        <f>ROUND(#REF!*#REF!,2)</f>
        <v>#REF!</v>
      </c>
      <c r="BL146" s="779" t="s">
        <v>128</v>
      </c>
      <c r="BM146" s="779" t="s">
        <v>187</v>
      </c>
    </row>
    <row r="147" spans="2:65" s="249" customFormat="1" ht="31.5" customHeight="1">
      <c r="B147" s="87"/>
      <c r="C147" s="195" t="s">
        <v>772</v>
      </c>
      <c r="D147" s="147"/>
      <c r="E147" s="94" t="s">
        <v>1117</v>
      </c>
      <c r="F147" s="947" t="s">
        <v>496</v>
      </c>
      <c r="G147" s="947"/>
      <c r="H147" s="947"/>
      <c r="I147" s="947"/>
      <c r="J147" s="147" t="s">
        <v>133</v>
      </c>
      <c r="K147" s="147">
        <v>25</v>
      </c>
      <c r="L147" s="21"/>
      <c r="M147" s="128"/>
      <c r="N147" s="966">
        <f t="shared" si="2"/>
        <v>0</v>
      </c>
      <c r="O147" s="966"/>
      <c r="P147" s="966"/>
      <c r="Q147" s="966"/>
      <c r="R147" s="87"/>
      <c r="T147" s="407" t="s">
        <v>5</v>
      </c>
      <c r="U147" s="221" t="s">
        <v>36</v>
      </c>
      <c r="V147" s="408">
        <v>0</v>
      </c>
      <c r="W147" s="408" t="e">
        <f>V147*#REF!</f>
        <v>#REF!</v>
      </c>
      <c r="X147" s="408">
        <v>0</v>
      </c>
      <c r="Y147" s="408" t="e">
        <f>X147*#REF!</f>
        <v>#REF!</v>
      </c>
      <c r="Z147" s="408">
        <v>0</v>
      </c>
      <c r="AA147" s="409" t="e">
        <f>Z147*#REF!</f>
        <v>#REF!</v>
      </c>
      <c r="AC147" s="398"/>
      <c r="AT147" s="240" t="s">
        <v>126</v>
      </c>
      <c r="AU147" s="240" t="s">
        <v>80</v>
      </c>
      <c r="AY147" s="240" t="s">
        <v>125</v>
      </c>
      <c r="BE147" s="250">
        <f>IF(U147="základní",#REF!,0)</f>
        <v>0</v>
      </c>
      <c r="BF147" s="250" t="e">
        <f>IF(U147="snížená",#REF!,0)</f>
        <v>#REF!</v>
      </c>
      <c r="BG147" s="250">
        <f>IF(U147="zákl. přenesená",#REF!,0)</f>
        <v>0</v>
      </c>
      <c r="BH147" s="250">
        <f>IF(U147="sníž. přenesená",#REF!,0)</f>
        <v>0</v>
      </c>
      <c r="BI147" s="250">
        <f>IF(U147="nulová",#REF!,0)</f>
        <v>0</v>
      </c>
      <c r="BJ147" s="240" t="s">
        <v>80</v>
      </c>
      <c r="BK147" s="250" t="e">
        <f>ROUND(#REF!*#REF!,2)</f>
        <v>#REF!</v>
      </c>
      <c r="BL147" s="240" t="s">
        <v>128</v>
      </c>
      <c r="BM147" s="240" t="s">
        <v>188</v>
      </c>
    </row>
    <row r="148" spans="2:65" s="778" customFormat="1" ht="31.5" customHeight="1">
      <c r="B148" s="770"/>
      <c r="C148" s="772" t="s">
        <v>773</v>
      </c>
      <c r="D148" s="148"/>
      <c r="E148" s="137" t="s">
        <v>1118</v>
      </c>
      <c r="F148" s="1146" t="s">
        <v>489</v>
      </c>
      <c r="G148" s="1146"/>
      <c r="H148" s="1146"/>
      <c r="I148" s="1146"/>
      <c r="J148" s="148" t="s">
        <v>133</v>
      </c>
      <c r="K148" s="148">
        <v>25</v>
      </c>
      <c r="L148" s="13"/>
      <c r="M148" s="128"/>
      <c r="N148" s="1139">
        <f t="shared" si="2"/>
        <v>0</v>
      </c>
      <c r="O148" s="1139"/>
      <c r="P148" s="1139"/>
      <c r="Q148" s="1139"/>
      <c r="R148" s="770"/>
      <c r="T148" s="825" t="s">
        <v>5</v>
      </c>
      <c r="U148" s="775" t="s">
        <v>36</v>
      </c>
      <c r="V148" s="776">
        <v>0</v>
      </c>
      <c r="W148" s="776">
        <f>V148*K160</f>
        <v>0</v>
      </c>
      <c r="X148" s="776">
        <v>0</v>
      </c>
      <c r="Y148" s="776">
        <f>X148*K160</f>
        <v>0</v>
      </c>
      <c r="Z148" s="776">
        <v>0</v>
      </c>
      <c r="AA148" s="777">
        <f>Z148*K160</f>
        <v>0</v>
      </c>
      <c r="AC148" s="398"/>
      <c r="AT148" s="779" t="s">
        <v>126</v>
      </c>
      <c r="AU148" s="779" t="s">
        <v>80</v>
      </c>
      <c r="AY148" s="779" t="s">
        <v>125</v>
      </c>
      <c r="BE148" s="780">
        <f>IF(U148="základní",N160,0)</f>
        <v>0</v>
      </c>
      <c r="BF148" s="780">
        <f>IF(U148="snížená",N160,0)</f>
        <v>0</v>
      </c>
      <c r="BG148" s="780">
        <f>IF(U148="zákl. přenesená",N160,0)</f>
        <v>0</v>
      </c>
      <c r="BH148" s="780">
        <f>IF(U148="sníž. přenesená",N160,0)</f>
        <v>0</v>
      </c>
      <c r="BI148" s="780">
        <f>IF(U148="nulová",N160,0)</f>
        <v>0</v>
      </c>
      <c r="BJ148" s="779" t="s">
        <v>80</v>
      </c>
      <c r="BK148" s="780">
        <f>ROUND(L160*K160,2)</f>
        <v>0</v>
      </c>
      <c r="BL148" s="779" t="s">
        <v>128</v>
      </c>
      <c r="BM148" s="779" t="s">
        <v>189</v>
      </c>
    </row>
    <row r="149" spans="2:63" s="398" customFormat="1" ht="29.85" customHeight="1">
      <c r="B149" s="181"/>
      <c r="C149" s="195" t="s">
        <v>774</v>
      </c>
      <c r="D149" s="149"/>
      <c r="E149" s="94" t="s">
        <v>1119</v>
      </c>
      <c r="F149" s="947" t="s">
        <v>497</v>
      </c>
      <c r="G149" s="947"/>
      <c r="H149" s="947"/>
      <c r="I149" s="947"/>
      <c r="J149" s="149" t="s">
        <v>133</v>
      </c>
      <c r="K149" s="149">
        <v>13</v>
      </c>
      <c r="L149" s="21"/>
      <c r="M149" s="128"/>
      <c r="N149" s="966">
        <f t="shared" si="2"/>
        <v>0</v>
      </c>
      <c r="O149" s="966"/>
      <c r="P149" s="966"/>
      <c r="Q149" s="966"/>
      <c r="R149" s="181"/>
      <c r="T149" s="401"/>
      <c r="U149" s="181"/>
      <c r="V149" s="181"/>
      <c r="W149" s="402">
        <f>SUM(W150:W159)</f>
        <v>0</v>
      </c>
      <c r="X149" s="181"/>
      <c r="Y149" s="402">
        <f>SUM(Y150:Y159)</f>
        <v>0</v>
      </c>
      <c r="Z149" s="181"/>
      <c r="AA149" s="403">
        <f>SUM(AA150:AA159)</f>
        <v>0</v>
      </c>
      <c r="AT149" s="405" t="s">
        <v>68</v>
      </c>
      <c r="AU149" s="405" t="s">
        <v>76</v>
      </c>
      <c r="AY149" s="404" t="s">
        <v>125</v>
      </c>
      <c r="BK149" s="406">
        <f>SUM(BK150:BK159)</f>
        <v>0</v>
      </c>
    </row>
    <row r="150" spans="2:65" s="778" customFormat="1" ht="22.5" customHeight="1">
      <c r="B150" s="770"/>
      <c r="C150" s="772" t="s">
        <v>775</v>
      </c>
      <c r="D150" s="148"/>
      <c r="E150" s="137" t="s">
        <v>1120</v>
      </c>
      <c r="F150" s="1146" t="s">
        <v>490</v>
      </c>
      <c r="G150" s="1146"/>
      <c r="H150" s="1146"/>
      <c r="I150" s="1146"/>
      <c r="J150" s="148" t="s">
        <v>133</v>
      </c>
      <c r="K150" s="148">
        <v>13</v>
      </c>
      <c r="L150" s="13"/>
      <c r="M150" s="128"/>
      <c r="N150" s="1139">
        <f t="shared" si="2"/>
        <v>0</v>
      </c>
      <c r="O150" s="1139"/>
      <c r="P150" s="1139"/>
      <c r="Q150" s="1139"/>
      <c r="R150" s="770"/>
      <c r="T150" s="825" t="s">
        <v>5</v>
      </c>
      <c r="U150" s="775" t="s">
        <v>36</v>
      </c>
      <c r="V150" s="776">
        <v>0</v>
      </c>
      <c r="W150" s="776">
        <f>V150*K162</f>
        <v>0</v>
      </c>
      <c r="X150" s="776">
        <v>0</v>
      </c>
      <c r="Y150" s="776">
        <f>X150*K162</f>
        <v>0</v>
      </c>
      <c r="Z150" s="776">
        <v>0</v>
      </c>
      <c r="AA150" s="777">
        <f>Z150*K162</f>
        <v>0</v>
      </c>
      <c r="AC150" s="398"/>
      <c r="AT150" s="779" t="s">
        <v>126</v>
      </c>
      <c r="AU150" s="779" t="s">
        <v>80</v>
      </c>
      <c r="AY150" s="779" t="s">
        <v>125</v>
      </c>
      <c r="BE150" s="780">
        <f>IF(U150="základní",N162,0)</f>
        <v>0</v>
      </c>
      <c r="BF150" s="780">
        <f>IF(U150="snížená",N162,0)</f>
        <v>0</v>
      </c>
      <c r="BG150" s="780">
        <f>IF(U150="zákl. přenesená",N162,0)</f>
        <v>0</v>
      </c>
      <c r="BH150" s="780">
        <f>IF(U150="sníž. přenesená",N162,0)</f>
        <v>0</v>
      </c>
      <c r="BI150" s="780">
        <f>IF(U150="nulová",N162,0)</f>
        <v>0</v>
      </c>
      <c r="BJ150" s="779" t="s">
        <v>80</v>
      </c>
      <c r="BK150" s="780">
        <f>ROUND(L162*K162,2)</f>
        <v>0</v>
      </c>
      <c r="BL150" s="779" t="s">
        <v>128</v>
      </c>
      <c r="BM150" s="779" t="s">
        <v>190</v>
      </c>
    </row>
    <row r="151" spans="2:65" s="249" customFormat="1" ht="31.5" customHeight="1">
      <c r="B151" s="87"/>
      <c r="C151" s="195" t="s">
        <v>776</v>
      </c>
      <c r="D151" s="147"/>
      <c r="E151" s="94" t="s">
        <v>1121</v>
      </c>
      <c r="F151" s="947" t="s">
        <v>498</v>
      </c>
      <c r="G151" s="947"/>
      <c r="H151" s="947"/>
      <c r="I151" s="947"/>
      <c r="J151" s="147" t="s">
        <v>133</v>
      </c>
      <c r="K151" s="147">
        <v>57</v>
      </c>
      <c r="L151" s="21"/>
      <c r="M151" s="128"/>
      <c r="N151" s="966">
        <f t="shared" si="2"/>
        <v>0</v>
      </c>
      <c r="O151" s="966"/>
      <c r="P151" s="966"/>
      <c r="Q151" s="966"/>
      <c r="R151" s="87"/>
      <c r="T151" s="407" t="s">
        <v>5</v>
      </c>
      <c r="U151" s="221" t="s">
        <v>36</v>
      </c>
      <c r="V151" s="408">
        <v>0</v>
      </c>
      <c r="W151" s="408">
        <f>V151*K193</f>
        <v>0</v>
      </c>
      <c r="X151" s="408">
        <v>0</v>
      </c>
      <c r="Y151" s="408">
        <f>X151*K193</f>
        <v>0</v>
      </c>
      <c r="Z151" s="408">
        <v>0</v>
      </c>
      <c r="AA151" s="409">
        <f>Z151*K193</f>
        <v>0</v>
      </c>
      <c r="AC151" s="398"/>
      <c r="AT151" s="240" t="s">
        <v>126</v>
      </c>
      <c r="AU151" s="240" t="s">
        <v>80</v>
      </c>
      <c r="AY151" s="240" t="s">
        <v>125</v>
      </c>
      <c r="BE151" s="250">
        <f>IF(U151="základní",N193,0)</f>
        <v>0</v>
      </c>
      <c r="BF151" s="250">
        <f>IF(U151="snížená",N193,0)</f>
        <v>0</v>
      </c>
      <c r="BG151" s="250">
        <f>IF(U151="zákl. přenesená",N193,0)</f>
        <v>0</v>
      </c>
      <c r="BH151" s="250">
        <f>IF(U151="sníž. přenesená",N193,0)</f>
        <v>0</v>
      </c>
      <c r="BI151" s="250">
        <f>IF(U151="nulová",N193,0)</f>
        <v>0</v>
      </c>
      <c r="BJ151" s="240" t="s">
        <v>80</v>
      </c>
      <c r="BK151" s="250">
        <f>ROUND(L193*K193,2)</f>
        <v>0</v>
      </c>
      <c r="BL151" s="240" t="s">
        <v>128</v>
      </c>
      <c r="BM151" s="240" t="s">
        <v>191</v>
      </c>
    </row>
    <row r="152" spans="2:65" s="778" customFormat="1" ht="22.5" customHeight="1">
      <c r="B152" s="770"/>
      <c r="C152" s="772" t="s">
        <v>777</v>
      </c>
      <c r="D152" s="148"/>
      <c r="E152" s="137" t="s">
        <v>1122</v>
      </c>
      <c r="F152" s="1146" t="s">
        <v>491</v>
      </c>
      <c r="G152" s="1146"/>
      <c r="H152" s="1146"/>
      <c r="I152" s="1146"/>
      <c r="J152" s="148" t="s">
        <v>133</v>
      </c>
      <c r="K152" s="148">
        <v>57</v>
      </c>
      <c r="L152" s="13"/>
      <c r="M152" s="128"/>
      <c r="N152" s="1139">
        <f t="shared" si="2"/>
        <v>0</v>
      </c>
      <c r="O152" s="1139"/>
      <c r="P152" s="1139"/>
      <c r="Q152" s="1139"/>
      <c r="R152" s="770"/>
      <c r="T152" s="825" t="s">
        <v>5</v>
      </c>
      <c r="U152" s="775" t="s">
        <v>36</v>
      </c>
      <c r="V152" s="776">
        <v>0</v>
      </c>
      <c r="W152" s="776">
        <f>V152*K194</f>
        <v>0</v>
      </c>
      <c r="X152" s="776">
        <v>0</v>
      </c>
      <c r="Y152" s="776">
        <f>X152*K194</f>
        <v>0</v>
      </c>
      <c r="Z152" s="776">
        <v>0</v>
      </c>
      <c r="AA152" s="777">
        <f>Z152*K194</f>
        <v>0</v>
      </c>
      <c r="AC152" s="398"/>
      <c r="AT152" s="779" t="s">
        <v>126</v>
      </c>
      <c r="AU152" s="779" t="s">
        <v>80</v>
      </c>
      <c r="AY152" s="779" t="s">
        <v>125</v>
      </c>
      <c r="BE152" s="780">
        <f>IF(U152="základní",N194,0)</f>
        <v>0</v>
      </c>
      <c r="BF152" s="780">
        <f>IF(U152="snížená",N194,0)</f>
        <v>0</v>
      </c>
      <c r="BG152" s="780">
        <f>IF(U152="zákl. přenesená",N194,0)</f>
        <v>0</v>
      </c>
      <c r="BH152" s="780">
        <f>IF(U152="sníž. přenesená",N194,0)</f>
        <v>0</v>
      </c>
      <c r="BI152" s="780">
        <f>IF(U152="nulová",N194,0)</f>
        <v>0</v>
      </c>
      <c r="BJ152" s="779" t="s">
        <v>80</v>
      </c>
      <c r="BK152" s="780">
        <f>ROUND(L194*K194,2)</f>
        <v>0</v>
      </c>
      <c r="BL152" s="779" t="s">
        <v>128</v>
      </c>
      <c r="BM152" s="779" t="s">
        <v>192</v>
      </c>
    </row>
    <row r="153" spans="2:63" s="398" customFormat="1" ht="29.85" customHeight="1">
      <c r="B153" s="399"/>
      <c r="C153" s="181"/>
      <c r="D153" s="128" t="s">
        <v>499</v>
      </c>
      <c r="E153" s="128"/>
      <c r="F153" s="128"/>
      <c r="G153" s="128"/>
      <c r="H153" s="128"/>
      <c r="I153" s="128"/>
      <c r="J153" s="128"/>
      <c r="K153" s="128"/>
      <c r="L153" s="800"/>
      <c r="M153" s="128"/>
      <c r="N153" s="971"/>
      <c r="O153" s="926"/>
      <c r="P153" s="926"/>
      <c r="Q153" s="926"/>
      <c r="R153" s="400"/>
      <c r="T153" s="401"/>
      <c r="U153" s="181"/>
      <c r="V153" s="181"/>
      <c r="W153" s="402">
        <f>SUM(W155:W156)</f>
        <v>0</v>
      </c>
      <c r="X153" s="181"/>
      <c r="Y153" s="402">
        <f>SUM(Y155:Y156)</f>
        <v>0</v>
      </c>
      <c r="Z153" s="181"/>
      <c r="AA153" s="403">
        <f>SUM(AA155:AA156)</f>
        <v>0</v>
      </c>
      <c r="AR153" s="404" t="s">
        <v>76</v>
      </c>
      <c r="AT153" s="405" t="s">
        <v>68</v>
      </c>
      <c r="AU153" s="405" t="s">
        <v>76</v>
      </c>
      <c r="AY153" s="404" t="s">
        <v>125</v>
      </c>
      <c r="BK153" s="406">
        <f>SUM(BK155:BK156)</f>
        <v>0</v>
      </c>
    </row>
    <row r="154" spans="2:65" s="249" customFormat="1" ht="22.5" customHeight="1">
      <c r="B154" s="87"/>
      <c r="C154" s="147" t="s">
        <v>778</v>
      </c>
      <c r="D154" s="147"/>
      <c r="E154" s="94" t="s">
        <v>1123</v>
      </c>
      <c r="F154" s="947" t="s">
        <v>500</v>
      </c>
      <c r="G154" s="1018"/>
      <c r="H154" s="1018"/>
      <c r="I154" s="1018"/>
      <c r="J154" s="147" t="s">
        <v>198</v>
      </c>
      <c r="K154" s="147">
        <v>6</v>
      </c>
      <c r="L154" s="21"/>
      <c r="M154" s="128"/>
      <c r="N154" s="966">
        <f aca="true" t="shared" si="3" ref="N154:N159">ROUND(L154*K154,2)</f>
        <v>0</v>
      </c>
      <c r="O154" s="966"/>
      <c r="P154" s="966"/>
      <c r="Q154" s="966"/>
      <c r="R154" s="87"/>
      <c r="T154" s="407" t="s">
        <v>5</v>
      </c>
      <c r="U154" s="221" t="s">
        <v>36</v>
      </c>
      <c r="V154" s="408">
        <v>0</v>
      </c>
      <c r="W154" s="408">
        <f>V154*K196</f>
        <v>0</v>
      </c>
      <c r="X154" s="408">
        <v>0</v>
      </c>
      <c r="Y154" s="408">
        <f>X154*K196</f>
        <v>0</v>
      </c>
      <c r="Z154" s="408">
        <v>0</v>
      </c>
      <c r="AA154" s="409">
        <f>Z154*K196</f>
        <v>0</v>
      </c>
      <c r="AC154" s="398"/>
      <c r="AT154" s="240" t="s">
        <v>126</v>
      </c>
      <c r="AU154" s="240" t="s">
        <v>80</v>
      </c>
      <c r="AY154" s="240" t="s">
        <v>125</v>
      </c>
      <c r="BE154" s="250">
        <f>IF(U154="základní",N196,0)</f>
        <v>0</v>
      </c>
      <c r="BF154" s="250">
        <f>IF(U154="snížená",N196,0)</f>
        <v>0</v>
      </c>
      <c r="BG154" s="250">
        <f>IF(U154="zákl. přenesená",N196,0)</f>
        <v>0</v>
      </c>
      <c r="BH154" s="250">
        <f>IF(U154="sníž. přenesená",N196,0)</f>
        <v>0</v>
      </c>
      <c r="BI154" s="250">
        <f>IF(U154="nulová",N196,0)</f>
        <v>0</v>
      </c>
      <c r="BJ154" s="240" t="s">
        <v>80</v>
      </c>
      <c r="BK154" s="250">
        <f>ROUND(L196*K196,2)</f>
        <v>0</v>
      </c>
      <c r="BL154" s="240" t="s">
        <v>128</v>
      </c>
      <c r="BM154" s="240" t="s">
        <v>193</v>
      </c>
    </row>
    <row r="155" spans="2:65" s="778" customFormat="1" ht="22.5" customHeight="1">
      <c r="B155" s="770"/>
      <c r="C155" s="148" t="s">
        <v>779</v>
      </c>
      <c r="D155" s="148"/>
      <c r="E155" s="137" t="s">
        <v>1124</v>
      </c>
      <c r="F155" s="1146" t="s">
        <v>503</v>
      </c>
      <c r="G155" s="1146"/>
      <c r="H155" s="1146"/>
      <c r="I155" s="1146"/>
      <c r="J155" s="148" t="s">
        <v>198</v>
      </c>
      <c r="K155" s="148">
        <v>6</v>
      </c>
      <c r="L155" s="13"/>
      <c r="M155" s="128"/>
      <c r="N155" s="1139">
        <f t="shared" si="3"/>
        <v>0</v>
      </c>
      <c r="O155" s="1139"/>
      <c r="P155" s="1139"/>
      <c r="Q155" s="1139"/>
      <c r="R155" s="770"/>
      <c r="T155" s="825" t="s">
        <v>5</v>
      </c>
      <c r="U155" s="775" t="s">
        <v>36</v>
      </c>
      <c r="V155" s="776">
        <v>0</v>
      </c>
      <c r="W155" s="776">
        <f>V155*K197</f>
        <v>0</v>
      </c>
      <c r="X155" s="776">
        <v>0</v>
      </c>
      <c r="Y155" s="776">
        <f>X155*K197</f>
        <v>0</v>
      </c>
      <c r="Z155" s="776">
        <v>0</v>
      </c>
      <c r="AA155" s="777">
        <f>Z155*K197</f>
        <v>0</v>
      </c>
      <c r="AC155" s="398"/>
      <c r="AT155" s="779" t="s">
        <v>126</v>
      </c>
      <c r="AU155" s="779" t="s">
        <v>80</v>
      </c>
      <c r="AY155" s="779" t="s">
        <v>125</v>
      </c>
      <c r="BE155" s="780">
        <f>IF(U155="základní",N197,0)</f>
        <v>0</v>
      </c>
      <c r="BF155" s="780">
        <f>IF(U155="snížená",N197,0)</f>
        <v>0</v>
      </c>
      <c r="BG155" s="780">
        <f>IF(U155="zákl. přenesená",N197,0)</f>
        <v>0</v>
      </c>
      <c r="BH155" s="780">
        <f>IF(U155="sníž. přenesená",N197,0)</f>
        <v>0</v>
      </c>
      <c r="BI155" s="780">
        <f>IF(U155="nulová",N197,0)</f>
        <v>0</v>
      </c>
      <c r="BJ155" s="779" t="s">
        <v>80</v>
      </c>
      <c r="BK155" s="780">
        <f>ROUND(L197*K197,2)</f>
        <v>0</v>
      </c>
      <c r="BL155" s="779" t="s">
        <v>128</v>
      </c>
      <c r="BM155" s="779" t="s">
        <v>194</v>
      </c>
    </row>
    <row r="156" spans="2:65" s="249" customFormat="1" ht="22.5" customHeight="1">
      <c r="B156" s="87"/>
      <c r="C156" s="147" t="s">
        <v>780</v>
      </c>
      <c r="D156" s="147"/>
      <c r="E156" s="94" t="s">
        <v>1125</v>
      </c>
      <c r="F156" s="947" t="s">
        <v>501</v>
      </c>
      <c r="G156" s="1018"/>
      <c r="H156" s="1018"/>
      <c r="I156" s="1018"/>
      <c r="J156" s="147" t="s">
        <v>198</v>
      </c>
      <c r="K156" s="147">
        <v>1</v>
      </c>
      <c r="L156" s="21"/>
      <c r="M156" s="128"/>
      <c r="N156" s="966">
        <f>ROUND(L156*K156,2)</f>
        <v>0</v>
      </c>
      <c r="O156" s="966"/>
      <c r="P156" s="966"/>
      <c r="Q156" s="966"/>
      <c r="R156" s="87"/>
      <c r="T156" s="407" t="s">
        <v>5</v>
      </c>
      <c r="U156" s="221" t="s">
        <v>36</v>
      </c>
      <c r="V156" s="408">
        <v>0</v>
      </c>
      <c r="W156" s="408">
        <f>V156*K198</f>
        <v>0</v>
      </c>
      <c r="X156" s="408">
        <v>0</v>
      </c>
      <c r="Y156" s="408">
        <f>X156*K198</f>
        <v>0</v>
      </c>
      <c r="Z156" s="408">
        <v>0</v>
      </c>
      <c r="AA156" s="409">
        <f>Z156*K198</f>
        <v>0</v>
      </c>
      <c r="AC156" s="398"/>
      <c r="AT156" s="240" t="s">
        <v>126</v>
      </c>
      <c r="AU156" s="240" t="s">
        <v>80</v>
      </c>
      <c r="AY156" s="240" t="s">
        <v>125</v>
      </c>
      <c r="BE156" s="250">
        <f>IF(U156="základní",N198,0)</f>
        <v>0</v>
      </c>
      <c r="BF156" s="250">
        <f>IF(U156="snížená",N198,0)</f>
        <v>0</v>
      </c>
      <c r="BG156" s="250">
        <f>IF(U156="zákl. přenesená",N198,0)</f>
        <v>0</v>
      </c>
      <c r="BH156" s="250">
        <f>IF(U156="sníž. přenesená",N198,0)</f>
        <v>0</v>
      </c>
      <c r="BI156" s="250">
        <f>IF(U156="nulová",N198,0)</f>
        <v>0</v>
      </c>
      <c r="BJ156" s="240" t="s">
        <v>80</v>
      </c>
      <c r="BK156" s="250">
        <f>ROUND(L198*K198,2)</f>
        <v>0</v>
      </c>
      <c r="BL156" s="240" t="s">
        <v>128</v>
      </c>
      <c r="BM156" s="240" t="s">
        <v>195</v>
      </c>
    </row>
    <row r="157" spans="2:65" s="778" customFormat="1" ht="22.5" customHeight="1">
      <c r="B157" s="770"/>
      <c r="C157" s="148" t="s">
        <v>781</v>
      </c>
      <c r="D157" s="148"/>
      <c r="E157" s="137" t="s">
        <v>1126</v>
      </c>
      <c r="F157" s="1146" t="s">
        <v>502</v>
      </c>
      <c r="G157" s="1146"/>
      <c r="H157" s="1146"/>
      <c r="I157" s="1146"/>
      <c r="J157" s="148" t="s">
        <v>198</v>
      </c>
      <c r="K157" s="148">
        <v>1</v>
      </c>
      <c r="L157" s="13"/>
      <c r="M157" s="128"/>
      <c r="N157" s="1139">
        <f t="shared" si="3"/>
        <v>0</v>
      </c>
      <c r="O157" s="1139"/>
      <c r="P157" s="1139"/>
      <c r="Q157" s="1139"/>
      <c r="R157" s="770"/>
      <c r="T157" s="825" t="s">
        <v>5</v>
      </c>
      <c r="U157" s="775" t="s">
        <v>36</v>
      </c>
      <c r="V157" s="776">
        <v>0</v>
      </c>
      <c r="W157" s="776">
        <f>V157*K199</f>
        <v>0</v>
      </c>
      <c r="X157" s="776">
        <v>0</v>
      </c>
      <c r="Y157" s="776">
        <f>X157*K199</f>
        <v>0</v>
      </c>
      <c r="Z157" s="776">
        <v>0</v>
      </c>
      <c r="AA157" s="777">
        <f>Z157*K199</f>
        <v>0</v>
      </c>
      <c r="AC157" s="398"/>
      <c r="AR157" s="779" t="s">
        <v>128</v>
      </c>
      <c r="AT157" s="779" t="s">
        <v>126</v>
      </c>
      <c r="AU157" s="779" t="s">
        <v>80</v>
      </c>
      <c r="AY157" s="779" t="s">
        <v>125</v>
      </c>
      <c r="BE157" s="780">
        <f>IF(U157="základní",N199,0)</f>
        <v>0</v>
      </c>
      <c r="BF157" s="780">
        <f>IF(U157="snížená",N199,0)</f>
        <v>0</v>
      </c>
      <c r="BG157" s="780">
        <f>IF(U157="zákl. přenesená",N199,0)</f>
        <v>0</v>
      </c>
      <c r="BH157" s="780">
        <f>IF(U157="sníž. přenesená",N199,0)</f>
        <v>0</v>
      </c>
      <c r="BI157" s="780">
        <f>IF(U157="nulová",N199,0)</f>
        <v>0</v>
      </c>
      <c r="BJ157" s="779" t="s">
        <v>80</v>
      </c>
      <c r="BK157" s="780">
        <f>ROUND(L199*K199,2)</f>
        <v>0</v>
      </c>
      <c r="BL157" s="779" t="s">
        <v>128</v>
      </c>
      <c r="BM157" s="779" t="s">
        <v>196</v>
      </c>
    </row>
    <row r="158" spans="2:65" s="249" customFormat="1" ht="22.5" customHeight="1">
      <c r="B158" s="87"/>
      <c r="C158" s="147" t="s">
        <v>782</v>
      </c>
      <c r="D158" s="147"/>
      <c r="E158" s="94" t="s">
        <v>1127</v>
      </c>
      <c r="F158" s="947" t="s">
        <v>504</v>
      </c>
      <c r="G158" s="1018"/>
      <c r="H158" s="1018"/>
      <c r="I158" s="1018"/>
      <c r="J158" s="147" t="s">
        <v>133</v>
      </c>
      <c r="K158" s="147">
        <v>76</v>
      </c>
      <c r="L158" s="21"/>
      <c r="M158" s="128"/>
      <c r="N158" s="966">
        <f t="shared" si="3"/>
        <v>0</v>
      </c>
      <c r="O158" s="966"/>
      <c r="P158" s="966"/>
      <c r="Q158" s="966"/>
      <c r="R158" s="87"/>
      <c r="T158" s="407" t="s">
        <v>5</v>
      </c>
      <c r="U158" s="221" t="s">
        <v>36</v>
      </c>
      <c r="V158" s="408">
        <v>0</v>
      </c>
      <c r="W158" s="408">
        <f>V158*K200</f>
        <v>0</v>
      </c>
      <c r="X158" s="408">
        <v>0</v>
      </c>
      <c r="Y158" s="408">
        <f>X158*K200</f>
        <v>0</v>
      </c>
      <c r="Z158" s="408">
        <v>0</v>
      </c>
      <c r="AA158" s="409">
        <f>Z158*K200</f>
        <v>0</v>
      </c>
      <c r="AC158" s="398"/>
      <c r="AR158" s="240" t="s">
        <v>128</v>
      </c>
      <c r="AT158" s="240" t="s">
        <v>126</v>
      </c>
      <c r="AU158" s="240" t="s">
        <v>80</v>
      </c>
      <c r="AY158" s="240" t="s">
        <v>125</v>
      </c>
      <c r="BE158" s="250">
        <f>IF(U158="základní",N200,0)</f>
        <v>0</v>
      </c>
      <c r="BF158" s="250">
        <f>IF(U158="snížená",N200,0)</f>
        <v>0</v>
      </c>
      <c r="BG158" s="250">
        <f>IF(U158="zákl. přenesená",N200,0)</f>
        <v>0</v>
      </c>
      <c r="BH158" s="250">
        <f>IF(U158="sníž. přenesená",N200,0)</f>
        <v>0</v>
      </c>
      <c r="BI158" s="250">
        <f>IF(U158="nulová",N200,0)</f>
        <v>0</v>
      </c>
      <c r="BJ158" s="240" t="s">
        <v>80</v>
      </c>
      <c r="BK158" s="250">
        <f>ROUND(L200*K200,2)</f>
        <v>0</v>
      </c>
      <c r="BL158" s="240" t="s">
        <v>128</v>
      </c>
      <c r="BM158" s="240" t="s">
        <v>197</v>
      </c>
    </row>
    <row r="159" spans="1:65" s="778" customFormat="1" ht="31.5" customHeight="1">
      <c r="A159" s="770"/>
      <c r="B159" s="770"/>
      <c r="C159" s="148" t="s">
        <v>783</v>
      </c>
      <c r="D159" s="148"/>
      <c r="E159" s="137" t="s">
        <v>1128</v>
      </c>
      <c r="F159" s="1145" t="s">
        <v>505</v>
      </c>
      <c r="G159" s="1145"/>
      <c r="H159" s="1145"/>
      <c r="I159" s="1145"/>
      <c r="J159" s="150" t="s">
        <v>133</v>
      </c>
      <c r="K159" s="150">
        <v>76</v>
      </c>
      <c r="L159" s="13"/>
      <c r="M159" s="128"/>
      <c r="N159" s="1139">
        <f t="shared" si="3"/>
        <v>0</v>
      </c>
      <c r="O159" s="1139"/>
      <c r="P159" s="1139"/>
      <c r="Q159" s="1139"/>
      <c r="R159" s="770"/>
      <c r="S159" s="770"/>
      <c r="T159" s="774" t="s">
        <v>5</v>
      </c>
      <c r="U159" s="775" t="s">
        <v>36</v>
      </c>
      <c r="V159" s="776">
        <v>0</v>
      </c>
      <c r="W159" s="776">
        <f>V159*K219</f>
        <v>0</v>
      </c>
      <c r="X159" s="776">
        <v>0</v>
      </c>
      <c r="Y159" s="776">
        <f>X159*K219</f>
        <v>0</v>
      </c>
      <c r="Z159" s="776">
        <v>0</v>
      </c>
      <c r="AA159" s="777">
        <f>Z159*K219</f>
        <v>0</v>
      </c>
      <c r="AC159" s="398"/>
      <c r="AR159" s="779" t="s">
        <v>128</v>
      </c>
      <c r="AT159" s="779" t="s">
        <v>126</v>
      </c>
      <c r="AU159" s="779" t="s">
        <v>76</v>
      </c>
      <c r="AY159" s="779" t="s">
        <v>125</v>
      </c>
      <c r="BE159" s="780">
        <f>IF(U159="základní",N219,0)</f>
        <v>0</v>
      </c>
      <c r="BF159" s="780">
        <f>IF(U159="snížená",N219,0)</f>
        <v>0</v>
      </c>
      <c r="BG159" s="780">
        <f>IF(U159="zákl. přenesená",N219,0)</f>
        <v>0</v>
      </c>
      <c r="BH159" s="780">
        <f>IF(U159="sníž. přenesená",N219,0)</f>
        <v>0</v>
      </c>
      <c r="BI159" s="780">
        <f>IF(U159="nulová",N219,0)</f>
        <v>0</v>
      </c>
      <c r="BJ159" s="779" t="s">
        <v>80</v>
      </c>
      <c r="BK159" s="780">
        <f>ROUND(L219*K219,2)</f>
        <v>0</v>
      </c>
      <c r="BL159" s="779" t="s">
        <v>128</v>
      </c>
      <c r="BM159" s="779" t="s">
        <v>185</v>
      </c>
    </row>
    <row r="160" spans="2:63" s="398" customFormat="1" ht="29.85" customHeight="1">
      <c r="B160" s="399"/>
      <c r="C160" s="181"/>
      <c r="D160" s="128" t="s">
        <v>506</v>
      </c>
      <c r="E160" s="128"/>
      <c r="F160" s="128"/>
      <c r="G160" s="128"/>
      <c r="H160" s="128"/>
      <c r="I160" s="128"/>
      <c r="J160" s="128"/>
      <c r="K160" s="128"/>
      <c r="L160" s="800"/>
      <c r="M160" s="128"/>
      <c r="N160" s="971"/>
      <c r="O160" s="926"/>
      <c r="P160" s="926"/>
      <c r="Q160" s="926"/>
      <c r="R160" s="400"/>
      <c r="T160" s="401"/>
      <c r="U160" s="181"/>
      <c r="V160" s="181"/>
      <c r="W160" s="402">
        <f>SUM(W162:W163)</f>
        <v>0</v>
      </c>
      <c r="X160" s="181"/>
      <c r="Y160" s="402">
        <f>SUM(Y162:Y163)</f>
        <v>0</v>
      </c>
      <c r="Z160" s="181"/>
      <c r="AA160" s="403">
        <f>SUM(AA162:AA163)</f>
        <v>0</v>
      </c>
      <c r="AR160" s="404" t="s">
        <v>76</v>
      </c>
      <c r="AT160" s="405" t="s">
        <v>68</v>
      </c>
      <c r="AU160" s="405" t="s">
        <v>76</v>
      </c>
      <c r="AY160" s="404" t="s">
        <v>125</v>
      </c>
      <c r="BK160" s="406">
        <f>SUM(BK162:BK163)</f>
        <v>0</v>
      </c>
    </row>
    <row r="161" spans="1:65" s="1181" customFormat="1" ht="31.5" customHeight="1">
      <c r="A161" s="1172"/>
      <c r="B161" s="1172"/>
      <c r="C161" s="1173" t="s">
        <v>784</v>
      </c>
      <c r="D161" s="1173"/>
      <c r="E161" s="1174" t="s">
        <v>1129</v>
      </c>
      <c r="F161" s="1170" t="s">
        <v>2249</v>
      </c>
      <c r="G161" s="1171"/>
      <c r="H161" s="1171"/>
      <c r="I161" s="1171"/>
      <c r="J161" s="1173" t="s">
        <v>198</v>
      </c>
      <c r="K161" s="1173">
        <v>8</v>
      </c>
      <c r="L161" s="35">
        <v>0</v>
      </c>
      <c r="M161" s="1175"/>
      <c r="N161" s="1176">
        <f>ROUND(L161*K161,2)</f>
        <v>0</v>
      </c>
      <c r="O161" s="1176"/>
      <c r="P161" s="1176"/>
      <c r="Q161" s="1176"/>
      <c r="R161" s="1172"/>
      <c r="S161" s="1172"/>
      <c r="T161" s="1177" t="s">
        <v>5</v>
      </c>
      <c r="U161" s="1178" t="s">
        <v>36</v>
      </c>
      <c r="V161" s="1179">
        <v>0</v>
      </c>
      <c r="W161" s="1179">
        <f>V161*K221</f>
        <v>0</v>
      </c>
      <c r="X161" s="1179">
        <v>0</v>
      </c>
      <c r="Y161" s="1179">
        <f>X161*K221</f>
        <v>0</v>
      </c>
      <c r="Z161" s="1179">
        <v>0</v>
      </c>
      <c r="AA161" s="1180">
        <f>Z161*K221</f>
        <v>0</v>
      </c>
      <c r="AC161" s="1182"/>
      <c r="AR161" s="1183" t="s">
        <v>128</v>
      </c>
      <c r="AT161" s="1183" t="s">
        <v>126</v>
      </c>
      <c r="AU161" s="1183" t="s">
        <v>76</v>
      </c>
      <c r="AY161" s="1183" t="s">
        <v>125</v>
      </c>
      <c r="BE161" s="1184">
        <f>IF(U161="základní",N221,0)</f>
        <v>0</v>
      </c>
      <c r="BF161" s="1184">
        <f>IF(U161="snížená",N221,0)</f>
        <v>0</v>
      </c>
      <c r="BG161" s="1184">
        <f>IF(U161="zákl. přenesená",N221,0)</f>
        <v>0</v>
      </c>
      <c r="BH161" s="1184">
        <f>IF(U161="sníž. přenesená",N221,0)</f>
        <v>0</v>
      </c>
      <c r="BI161" s="1184">
        <f>IF(U161="nulová",N221,0)</f>
        <v>0</v>
      </c>
      <c r="BJ161" s="1183" t="s">
        <v>80</v>
      </c>
      <c r="BK161" s="1184">
        <f>ROUND(L221*K221,2)</f>
        <v>0</v>
      </c>
      <c r="BL161" s="1183" t="s">
        <v>128</v>
      </c>
      <c r="BM161" s="1183" t="s">
        <v>187</v>
      </c>
    </row>
    <row r="162" spans="1:65" s="1181" customFormat="1" ht="39" customHeight="1">
      <c r="A162" s="1172"/>
      <c r="B162" s="1172"/>
      <c r="C162" s="1173" t="s">
        <v>785</v>
      </c>
      <c r="D162" s="1185"/>
      <c r="E162" s="1174" t="s">
        <v>1130</v>
      </c>
      <c r="F162" s="1170" t="s">
        <v>2250</v>
      </c>
      <c r="G162" s="1171"/>
      <c r="H162" s="1171"/>
      <c r="I162" s="1171"/>
      <c r="J162" s="592" t="s">
        <v>198</v>
      </c>
      <c r="K162" s="1186">
        <v>8</v>
      </c>
      <c r="L162" s="35">
        <v>0</v>
      </c>
      <c r="M162" s="1175"/>
      <c r="N162" s="1176">
        <f>ROUND(L162*K162,2)</f>
        <v>0</v>
      </c>
      <c r="O162" s="1176"/>
      <c r="P162" s="1176"/>
      <c r="Q162" s="1176"/>
      <c r="R162" s="1172"/>
      <c r="S162" s="1172"/>
      <c r="T162" s="1177" t="s">
        <v>5</v>
      </c>
      <c r="U162" s="1178" t="s">
        <v>36</v>
      </c>
      <c r="V162" s="1179">
        <v>0</v>
      </c>
      <c r="W162" s="1179">
        <f>V162*K222</f>
        <v>0</v>
      </c>
      <c r="X162" s="1179">
        <v>0</v>
      </c>
      <c r="Y162" s="1179">
        <f>X162*K222</f>
        <v>0</v>
      </c>
      <c r="Z162" s="1179">
        <v>0</v>
      </c>
      <c r="AA162" s="1180">
        <f>Z162*K222</f>
        <v>0</v>
      </c>
      <c r="AC162" s="1182"/>
      <c r="AR162" s="1183" t="s">
        <v>128</v>
      </c>
      <c r="AT162" s="1183" t="s">
        <v>126</v>
      </c>
      <c r="AU162" s="1183" t="s">
        <v>76</v>
      </c>
      <c r="AY162" s="1183" t="s">
        <v>125</v>
      </c>
      <c r="BE162" s="1184">
        <f>IF(U162="základní",N222,0)</f>
        <v>0</v>
      </c>
      <c r="BF162" s="1184">
        <f>IF(U162="snížená",N222,0)</f>
        <v>0</v>
      </c>
      <c r="BG162" s="1184">
        <f>IF(U162="zákl. přenesená",N222,0)</f>
        <v>0</v>
      </c>
      <c r="BH162" s="1184">
        <f>IF(U162="sníž. přenesená",N222,0)</f>
        <v>0</v>
      </c>
      <c r="BI162" s="1184">
        <f>IF(U162="nulová",N222,0)</f>
        <v>0</v>
      </c>
      <c r="BJ162" s="1183" t="s">
        <v>80</v>
      </c>
      <c r="BK162" s="1184">
        <f>ROUND(L222*K222,2)</f>
        <v>0</v>
      </c>
      <c r="BL162" s="1183" t="s">
        <v>128</v>
      </c>
      <c r="BM162" s="1183" t="s">
        <v>188</v>
      </c>
    </row>
    <row r="163" spans="1:65" s="162" customFormat="1" ht="31.5" customHeight="1">
      <c r="A163" s="58"/>
      <c r="B163" s="58"/>
      <c r="C163" s="147" t="s">
        <v>786</v>
      </c>
      <c r="D163" s="490"/>
      <c r="E163" s="94" t="s">
        <v>1131</v>
      </c>
      <c r="F163" s="947" t="s">
        <v>507</v>
      </c>
      <c r="G163" s="1018"/>
      <c r="H163" s="1018"/>
      <c r="I163" s="1018"/>
      <c r="J163" s="96" t="s">
        <v>198</v>
      </c>
      <c r="K163" s="154">
        <v>2</v>
      </c>
      <c r="L163" s="21"/>
      <c r="M163" s="128"/>
      <c r="N163" s="966">
        <f>ROUND(L163*K163,2)</f>
        <v>0</v>
      </c>
      <c r="O163" s="966"/>
      <c r="P163" s="966"/>
      <c r="Q163" s="966"/>
      <c r="R163" s="58"/>
      <c r="S163" s="58"/>
      <c r="T163" s="483"/>
      <c r="U163" s="221"/>
      <c r="V163" s="408"/>
      <c r="W163" s="408"/>
      <c r="X163" s="408"/>
      <c r="Y163" s="408"/>
      <c r="Z163" s="408"/>
      <c r="AA163" s="409"/>
      <c r="AC163" s="398"/>
      <c r="AR163" s="448"/>
      <c r="AT163" s="448"/>
      <c r="AU163" s="448"/>
      <c r="AY163" s="448"/>
      <c r="BE163" s="484"/>
      <c r="BF163" s="484"/>
      <c r="BG163" s="484"/>
      <c r="BH163" s="484"/>
      <c r="BI163" s="484"/>
      <c r="BJ163" s="448"/>
      <c r="BK163" s="484"/>
      <c r="BL163" s="448"/>
      <c r="BM163" s="448"/>
    </row>
    <row r="164" spans="1:65" s="778" customFormat="1" ht="31.5" customHeight="1">
      <c r="A164" s="770"/>
      <c r="B164" s="770"/>
      <c r="C164" s="148" t="s">
        <v>787</v>
      </c>
      <c r="D164" s="772"/>
      <c r="E164" s="137" t="s">
        <v>1132</v>
      </c>
      <c r="F164" s="1146" t="s">
        <v>508</v>
      </c>
      <c r="G164" s="1146"/>
      <c r="H164" s="1146"/>
      <c r="I164" s="1146"/>
      <c r="J164" s="152" t="s">
        <v>198</v>
      </c>
      <c r="K164" s="153">
        <v>2</v>
      </c>
      <c r="L164" s="13"/>
      <c r="M164" s="128"/>
      <c r="N164" s="1139">
        <f aca="true" t="shared" si="4" ref="N164:N181">ROUND(L164*K164,2)</f>
        <v>0</v>
      </c>
      <c r="O164" s="1139"/>
      <c r="P164" s="1139"/>
      <c r="Q164" s="1139"/>
      <c r="R164" s="770"/>
      <c r="S164" s="770"/>
      <c r="T164" s="774"/>
      <c r="U164" s="775"/>
      <c r="V164" s="776"/>
      <c r="W164" s="776"/>
      <c r="X164" s="776"/>
      <c r="Y164" s="776"/>
      <c r="Z164" s="776"/>
      <c r="AA164" s="777"/>
      <c r="AC164" s="398"/>
      <c r="AR164" s="779"/>
      <c r="AT164" s="779"/>
      <c r="AU164" s="779"/>
      <c r="AY164" s="779"/>
      <c r="BE164" s="780"/>
      <c r="BF164" s="780"/>
      <c r="BG164" s="780"/>
      <c r="BH164" s="780"/>
      <c r="BI164" s="780"/>
      <c r="BJ164" s="779"/>
      <c r="BK164" s="780"/>
      <c r="BL164" s="779"/>
      <c r="BM164" s="779"/>
    </row>
    <row r="165" spans="1:65" s="162" customFormat="1" ht="31.5" customHeight="1">
      <c r="A165" s="58"/>
      <c r="B165" s="58"/>
      <c r="C165" s="147" t="s">
        <v>788</v>
      </c>
      <c r="D165" s="490"/>
      <c r="E165" s="94" t="s">
        <v>1133</v>
      </c>
      <c r="F165" s="947" t="s">
        <v>509</v>
      </c>
      <c r="G165" s="1018"/>
      <c r="H165" s="1018"/>
      <c r="I165" s="1018"/>
      <c r="J165" s="96" t="s">
        <v>198</v>
      </c>
      <c r="K165" s="154">
        <v>4</v>
      </c>
      <c r="L165" s="21"/>
      <c r="M165" s="128"/>
      <c r="N165" s="966">
        <f t="shared" si="4"/>
        <v>0</v>
      </c>
      <c r="O165" s="966"/>
      <c r="P165" s="966"/>
      <c r="Q165" s="966"/>
      <c r="R165" s="58"/>
      <c r="S165" s="58"/>
      <c r="T165" s="483"/>
      <c r="U165" s="221"/>
      <c r="V165" s="408"/>
      <c r="W165" s="408"/>
      <c r="X165" s="408"/>
      <c r="Y165" s="408"/>
      <c r="Z165" s="408"/>
      <c r="AA165" s="409"/>
      <c r="AC165" s="398"/>
      <c r="AR165" s="448"/>
      <c r="AT165" s="448"/>
      <c r="AU165" s="448"/>
      <c r="AY165" s="448"/>
      <c r="BE165" s="484"/>
      <c r="BF165" s="484"/>
      <c r="BG165" s="484"/>
      <c r="BH165" s="484"/>
      <c r="BI165" s="484"/>
      <c r="BJ165" s="448"/>
      <c r="BK165" s="484"/>
      <c r="BL165" s="448"/>
      <c r="BM165" s="448"/>
    </row>
    <row r="166" spans="1:65" s="778" customFormat="1" ht="31.5" customHeight="1">
      <c r="A166" s="770"/>
      <c r="B166" s="770"/>
      <c r="C166" s="148" t="s">
        <v>789</v>
      </c>
      <c r="D166" s="772"/>
      <c r="E166" s="137" t="s">
        <v>1134</v>
      </c>
      <c r="F166" s="1145" t="s">
        <v>510</v>
      </c>
      <c r="G166" s="1145"/>
      <c r="H166" s="1145"/>
      <c r="I166" s="1145"/>
      <c r="J166" s="155" t="s">
        <v>198</v>
      </c>
      <c r="K166" s="156">
        <v>4</v>
      </c>
      <c r="L166" s="13"/>
      <c r="M166" s="128"/>
      <c r="N166" s="1139">
        <f t="shared" si="4"/>
        <v>0</v>
      </c>
      <c r="O166" s="1139"/>
      <c r="P166" s="1139"/>
      <c r="Q166" s="1139"/>
      <c r="R166" s="770"/>
      <c r="S166" s="770"/>
      <c r="T166" s="774"/>
      <c r="U166" s="775"/>
      <c r="V166" s="776"/>
      <c r="W166" s="776"/>
      <c r="X166" s="776"/>
      <c r="Y166" s="776"/>
      <c r="Z166" s="776"/>
      <c r="AA166" s="777"/>
      <c r="AC166" s="398"/>
      <c r="AR166" s="779"/>
      <c r="AT166" s="779"/>
      <c r="AU166" s="779"/>
      <c r="AY166" s="779"/>
      <c r="BE166" s="780"/>
      <c r="BF166" s="780"/>
      <c r="BG166" s="780"/>
      <c r="BH166" s="780"/>
      <c r="BI166" s="780"/>
      <c r="BJ166" s="779"/>
      <c r="BK166" s="780"/>
      <c r="BL166" s="779"/>
      <c r="BM166" s="779"/>
    </row>
    <row r="167" spans="1:65" s="162" customFormat="1" ht="31.5" customHeight="1">
      <c r="A167" s="58"/>
      <c r="B167" s="58"/>
      <c r="C167" s="147" t="s">
        <v>790</v>
      </c>
      <c r="D167" s="490"/>
      <c r="E167" s="94" t="s">
        <v>1135</v>
      </c>
      <c r="F167" s="1070" t="s">
        <v>494</v>
      </c>
      <c r="G167" s="1070"/>
      <c r="H167" s="1070"/>
      <c r="I167" s="1070"/>
      <c r="J167" s="96" t="s">
        <v>133</v>
      </c>
      <c r="K167" s="154">
        <v>16</v>
      </c>
      <c r="L167" s="21"/>
      <c r="M167" s="128"/>
      <c r="N167" s="966">
        <f t="shared" si="4"/>
        <v>0</v>
      </c>
      <c r="O167" s="966"/>
      <c r="P167" s="966"/>
      <c r="Q167" s="966"/>
      <c r="R167" s="58"/>
      <c r="S167" s="58"/>
      <c r="T167" s="483"/>
      <c r="U167" s="221"/>
      <c r="V167" s="408"/>
      <c r="W167" s="408"/>
      <c r="X167" s="408"/>
      <c r="Y167" s="408"/>
      <c r="Z167" s="408"/>
      <c r="AA167" s="409"/>
      <c r="AC167" s="398"/>
      <c r="AR167" s="448"/>
      <c r="AT167" s="448"/>
      <c r="AU167" s="448"/>
      <c r="AY167" s="448"/>
      <c r="BE167" s="484"/>
      <c r="BF167" s="484"/>
      <c r="BG167" s="484"/>
      <c r="BH167" s="484"/>
      <c r="BI167" s="484"/>
      <c r="BJ167" s="448"/>
      <c r="BK167" s="484"/>
      <c r="BL167" s="448"/>
      <c r="BM167" s="448"/>
    </row>
    <row r="168" spans="1:65" s="778" customFormat="1" ht="31.5" customHeight="1">
      <c r="A168" s="770"/>
      <c r="B168" s="770"/>
      <c r="C168" s="148" t="s">
        <v>791</v>
      </c>
      <c r="D168" s="772"/>
      <c r="E168" s="137" t="s">
        <v>1136</v>
      </c>
      <c r="F168" s="1145" t="s">
        <v>487</v>
      </c>
      <c r="G168" s="1145"/>
      <c r="H168" s="1145"/>
      <c r="I168" s="1145"/>
      <c r="J168" s="155" t="s">
        <v>133</v>
      </c>
      <c r="K168" s="156">
        <v>16</v>
      </c>
      <c r="L168" s="13"/>
      <c r="M168" s="128"/>
      <c r="N168" s="1139">
        <f t="shared" si="4"/>
        <v>0</v>
      </c>
      <c r="O168" s="1139"/>
      <c r="P168" s="1139"/>
      <c r="Q168" s="1139"/>
      <c r="R168" s="770"/>
      <c r="S168" s="770"/>
      <c r="T168" s="774"/>
      <c r="U168" s="775"/>
      <c r="V168" s="776"/>
      <c r="W168" s="776"/>
      <c r="X168" s="776"/>
      <c r="Y168" s="776"/>
      <c r="Z168" s="776"/>
      <c r="AA168" s="777"/>
      <c r="AC168" s="398"/>
      <c r="AR168" s="779"/>
      <c r="AT168" s="779"/>
      <c r="AU168" s="779"/>
      <c r="AY168" s="779"/>
      <c r="BE168" s="780"/>
      <c r="BF168" s="780"/>
      <c r="BG168" s="780"/>
      <c r="BH168" s="780"/>
      <c r="BI168" s="780"/>
      <c r="BJ168" s="779"/>
      <c r="BK168" s="780"/>
      <c r="BL168" s="779"/>
      <c r="BM168" s="779"/>
    </row>
    <row r="169" spans="1:65" s="162" customFormat="1" ht="31.5" customHeight="1">
      <c r="A169" s="58"/>
      <c r="B169" s="58"/>
      <c r="C169" s="147" t="s">
        <v>792</v>
      </c>
      <c r="D169" s="490"/>
      <c r="E169" s="94" t="s">
        <v>1137</v>
      </c>
      <c r="F169" s="1070" t="s">
        <v>512</v>
      </c>
      <c r="G169" s="1070"/>
      <c r="H169" s="1070"/>
      <c r="I169" s="1070"/>
      <c r="J169" s="96" t="s">
        <v>133</v>
      </c>
      <c r="K169" s="154">
        <v>40</v>
      </c>
      <c r="L169" s="21"/>
      <c r="M169" s="128"/>
      <c r="N169" s="966">
        <f t="shared" si="4"/>
        <v>0</v>
      </c>
      <c r="O169" s="966"/>
      <c r="P169" s="966"/>
      <c r="Q169" s="966"/>
      <c r="R169" s="58"/>
      <c r="S169" s="58"/>
      <c r="T169" s="483"/>
      <c r="U169" s="221"/>
      <c r="V169" s="408"/>
      <c r="W169" s="408"/>
      <c r="X169" s="408"/>
      <c r="Y169" s="408"/>
      <c r="Z169" s="408"/>
      <c r="AA169" s="409"/>
      <c r="AC169" s="398"/>
      <c r="AR169" s="448"/>
      <c r="AT169" s="448"/>
      <c r="AU169" s="448"/>
      <c r="AY169" s="448"/>
      <c r="BE169" s="484"/>
      <c r="BF169" s="484"/>
      <c r="BG169" s="484"/>
      <c r="BH169" s="484"/>
      <c r="BI169" s="484"/>
      <c r="BJ169" s="448"/>
      <c r="BK169" s="484"/>
      <c r="BL169" s="448"/>
      <c r="BM169" s="448"/>
    </row>
    <row r="170" spans="1:65" s="778" customFormat="1" ht="31.5" customHeight="1">
      <c r="A170" s="770"/>
      <c r="B170" s="770"/>
      <c r="C170" s="148" t="s">
        <v>793</v>
      </c>
      <c r="D170" s="772"/>
      <c r="E170" s="137" t="s">
        <v>1138</v>
      </c>
      <c r="F170" s="1145" t="s">
        <v>511</v>
      </c>
      <c r="G170" s="1145"/>
      <c r="H170" s="1145"/>
      <c r="I170" s="1145"/>
      <c r="J170" s="155" t="s">
        <v>133</v>
      </c>
      <c r="K170" s="156">
        <v>40</v>
      </c>
      <c r="L170" s="13"/>
      <c r="M170" s="128"/>
      <c r="N170" s="1139">
        <f t="shared" si="4"/>
        <v>0</v>
      </c>
      <c r="O170" s="1139"/>
      <c r="P170" s="1139"/>
      <c r="Q170" s="1139"/>
      <c r="R170" s="770"/>
      <c r="S170" s="770"/>
      <c r="T170" s="774"/>
      <c r="U170" s="775"/>
      <c r="V170" s="776"/>
      <c r="W170" s="776"/>
      <c r="X170" s="776"/>
      <c r="Y170" s="776"/>
      <c r="Z170" s="776"/>
      <c r="AA170" s="777"/>
      <c r="AC170" s="398"/>
      <c r="AR170" s="779"/>
      <c r="AT170" s="779"/>
      <c r="AU170" s="779"/>
      <c r="AY170" s="779"/>
      <c r="BE170" s="780"/>
      <c r="BF170" s="780"/>
      <c r="BG170" s="780"/>
      <c r="BH170" s="780"/>
      <c r="BI170" s="780"/>
      <c r="BJ170" s="779"/>
      <c r="BK170" s="780"/>
      <c r="BL170" s="779"/>
      <c r="BM170" s="779"/>
    </row>
    <row r="171" spans="2:63" s="398" customFormat="1" ht="29.85" customHeight="1">
      <c r="B171" s="399"/>
      <c r="C171" s="181"/>
      <c r="D171" s="128" t="s">
        <v>513</v>
      </c>
      <c r="E171" s="128"/>
      <c r="F171" s="128"/>
      <c r="G171" s="128"/>
      <c r="H171" s="128"/>
      <c r="I171" s="128"/>
      <c r="J171" s="128"/>
      <c r="K171" s="128"/>
      <c r="L171" s="800"/>
      <c r="M171" s="128"/>
      <c r="N171" s="971"/>
      <c r="O171" s="926"/>
      <c r="P171" s="926"/>
      <c r="Q171" s="926"/>
      <c r="R171" s="400"/>
      <c r="S171" s="58"/>
      <c r="T171" s="401"/>
      <c r="U171" s="181"/>
      <c r="V171" s="181"/>
      <c r="W171" s="402">
        <f>SUM(W173:W174)</f>
        <v>0</v>
      </c>
      <c r="X171" s="181"/>
      <c r="Y171" s="402">
        <f>SUM(Y173:Y174)</f>
        <v>0</v>
      </c>
      <c r="Z171" s="181"/>
      <c r="AA171" s="403">
        <f>SUM(AA173:AA174)</f>
        <v>0</v>
      </c>
      <c r="AR171" s="404" t="s">
        <v>76</v>
      </c>
      <c r="AT171" s="405" t="s">
        <v>68</v>
      </c>
      <c r="AU171" s="405" t="s">
        <v>76</v>
      </c>
      <c r="AY171" s="404" t="s">
        <v>125</v>
      </c>
      <c r="BK171" s="406">
        <f>SUM(BK173:BK174)</f>
        <v>0</v>
      </c>
    </row>
    <row r="172" spans="1:65" s="162" customFormat="1" ht="38.45" customHeight="1">
      <c r="A172" s="58"/>
      <c r="B172" s="58"/>
      <c r="C172" s="195" t="s">
        <v>794</v>
      </c>
      <c r="D172" s="490"/>
      <c r="E172" s="94" t="s">
        <v>1139</v>
      </c>
      <c r="F172" s="947" t="s">
        <v>514</v>
      </c>
      <c r="G172" s="1018"/>
      <c r="H172" s="1018"/>
      <c r="I172" s="1018"/>
      <c r="J172" s="96" t="s">
        <v>198</v>
      </c>
      <c r="K172" s="154">
        <v>1</v>
      </c>
      <c r="L172" s="21"/>
      <c r="M172" s="128"/>
      <c r="N172" s="966">
        <f t="shared" si="4"/>
        <v>0</v>
      </c>
      <c r="O172" s="966"/>
      <c r="P172" s="966"/>
      <c r="Q172" s="966"/>
      <c r="R172" s="58"/>
      <c r="S172" s="58"/>
      <c r="T172" s="483"/>
      <c r="U172" s="221"/>
      <c r="V172" s="408"/>
      <c r="W172" s="408"/>
      <c r="X172" s="408"/>
      <c r="Y172" s="408"/>
      <c r="Z172" s="408"/>
      <c r="AA172" s="409"/>
      <c r="AC172" s="398"/>
      <c r="AR172" s="448"/>
      <c r="AT172" s="448"/>
      <c r="AU172" s="448"/>
      <c r="AY172" s="448"/>
      <c r="BE172" s="484"/>
      <c r="BF172" s="484"/>
      <c r="BG172" s="484"/>
      <c r="BH172" s="484"/>
      <c r="BI172" s="484"/>
      <c r="BJ172" s="448"/>
      <c r="BK172" s="484"/>
      <c r="BL172" s="448"/>
      <c r="BM172" s="448"/>
    </row>
    <row r="173" spans="1:65" s="778" customFormat="1" ht="45" customHeight="1">
      <c r="A173" s="770"/>
      <c r="B173" s="770"/>
      <c r="C173" s="772" t="s">
        <v>795</v>
      </c>
      <c r="D173" s="772"/>
      <c r="E173" s="137" t="s">
        <v>1140</v>
      </c>
      <c r="F173" s="1145" t="s">
        <v>515</v>
      </c>
      <c r="G173" s="1145"/>
      <c r="H173" s="1145"/>
      <c r="I173" s="1145"/>
      <c r="J173" s="155" t="s">
        <v>198</v>
      </c>
      <c r="K173" s="156">
        <v>1</v>
      </c>
      <c r="L173" s="13"/>
      <c r="M173" s="128"/>
      <c r="N173" s="1139">
        <f t="shared" si="4"/>
        <v>0</v>
      </c>
      <c r="O173" s="1139"/>
      <c r="P173" s="1139"/>
      <c r="Q173" s="1139"/>
      <c r="R173" s="770"/>
      <c r="S173" s="770"/>
      <c r="T173" s="774"/>
      <c r="U173" s="775"/>
      <c r="V173" s="776"/>
      <c r="W173" s="776"/>
      <c r="X173" s="776"/>
      <c r="Y173" s="776"/>
      <c r="Z173" s="776"/>
      <c r="AA173" s="777"/>
      <c r="AC173" s="398"/>
      <c r="AR173" s="779"/>
      <c r="AT173" s="779"/>
      <c r="AU173" s="779"/>
      <c r="AY173" s="779"/>
      <c r="BE173" s="780"/>
      <c r="BF173" s="780"/>
      <c r="BG173" s="780"/>
      <c r="BH173" s="780"/>
      <c r="BI173" s="780"/>
      <c r="BJ173" s="779"/>
      <c r="BK173" s="780"/>
      <c r="BL173" s="779"/>
      <c r="BM173" s="779"/>
    </row>
    <row r="174" spans="1:65" s="162" customFormat="1" ht="38.45" customHeight="1">
      <c r="A174" s="58"/>
      <c r="B174" s="58"/>
      <c r="C174" s="195" t="s">
        <v>796</v>
      </c>
      <c r="D174" s="490"/>
      <c r="E174" s="94" t="s">
        <v>1141</v>
      </c>
      <c r="F174" s="947" t="s">
        <v>517</v>
      </c>
      <c r="G174" s="1018"/>
      <c r="H174" s="1018"/>
      <c r="I174" s="1018"/>
      <c r="J174" s="96" t="s">
        <v>198</v>
      </c>
      <c r="K174" s="154">
        <v>14</v>
      </c>
      <c r="L174" s="21"/>
      <c r="M174" s="128"/>
      <c r="N174" s="966">
        <f t="shared" si="4"/>
        <v>0</v>
      </c>
      <c r="O174" s="966"/>
      <c r="P174" s="966"/>
      <c r="Q174" s="966"/>
      <c r="R174" s="58"/>
      <c r="S174" s="58"/>
      <c r="T174" s="483"/>
      <c r="U174" s="221"/>
      <c r="V174" s="408"/>
      <c r="W174" s="408"/>
      <c r="X174" s="408"/>
      <c r="Y174" s="408"/>
      <c r="Z174" s="408"/>
      <c r="AA174" s="409"/>
      <c r="AC174" s="398"/>
      <c r="AR174" s="448"/>
      <c r="AT174" s="448"/>
      <c r="AU174" s="448"/>
      <c r="AY174" s="448"/>
      <c r="BE174" s="484"/>
      <c r="BF174" s="484"/>
      <c r="BG174" s="484"/>
      <c r="BH174" s="484"/>
      <c r="BI174" s="484"/>
      <c r="BJ174" s="448"/>
      <c r="BK174" s="484"/>
      <c r="BL174" s="448"/>
      <c r="BM174" s="448"/>
    </row>
    <row r="175" spans="1:65" s="778" customFormat="1" ht="36.6" customHeight="1">
      <c r="A175" s="770"/>
      <c r="B175" s="770"/>
      <c r="C175" s="772" t="s">
        <v>797</v>
      </c>
      <c r="D175" s="772"/>
      <c r="E175" s="137" t="s">
        <v>1142</v>
      </c>
      <c r="F175" s="1145" t="s">
        <v>516</v>
      </c>
      <c r="G175" s="1145"/>
      <c r="H175" s="1145"/>
      <c r="I175" s="1145"/>
      <c r="J175" s="155" t="s">
        <v>198</v>
      </c>
      <c r="K175" s="156">
        <v>14</v>
      </c>
      <c r="L175" s="13"/>
      <c r="M175" s="128"/>
      <c r="N175" s="1139">
        <f t="shared" si="4"/>
        <v>0</v>
      </c>
      <c r="O175" s="1139"/>
      <c r="P175" s="1139"/>
      <c r="Q175" s="1139"/>
      <c r="R175" s="770"/>
      <c r="S175" s="770"/>
      <c r="T175" s="774"/>
      <c r="U175" s="775"/>
      <c r="V175" s="776"/>
      <c r="W175" s="776"/>
      <c r="X175" s="776"/>
      <c r="Y175" s="776"/>
      <c r="Z175" s="776"/>
      <c r="AA175" s="777"/>
      <c r="AC175" s="398"/>
      <c r="AR175" s="779"/>
      <c r="AT175" s="779"/>
      <c r="AU175" s="779"/>
      <c r="AY175" s="779"/>
      <c r="BE175" s="780"/>
      <c r="BF175" s="780"/>
      <c r="BG175" s="780"/>
      <c r="BH175" s="780"/>
      <c r="BI175" s="780"/>
      <c r="BJ175" s="779"/>
      <c r="BK175" s="780"/>
      <c r="BL175" s="779"/>
      <c r="BM175" s="779"/>
    </row>
    <row r="176" spans="1:65" s="162" customFormat="1" ht="31.5" customHeight="1">
      <c r="A176" s="58"/>
      <c r="B176" s="58"/>
      <c r="C176" s="195" t="s">
        <v>798</v>
      </c>
      <c r="D176" s="490"/>
      <c r="E176" s="94" t="s">
        <v>1143</v>
      </c>
      <c r="F176" s="947" t="s">
        <v>518</v>
      </c>
      <c r="G176" s="1018"/>
      <c r="H176" s="1018"/>
      <c r="I176" s="1018"/>
      <c r="J176" s="96" t="s">
        <v>198</v>
      </c>
      <c r="K176" s="154">
        <v>11</v>
      </c>
      <c r="L176" s="21"/>
      <c r="M176" s="128"/>
      <c r="N176" s="966">
        <f t="shared" si="4"/>
        <v>0</v>
      </c>
      <c r="O176" s="966"/>
      <c r="P176" s="966"/>
      <c r="Q176" s="966"/>
      <c r="R176" s="58"/>
      <c r="S176" s="58"/>
      <c r="T176" s="483"/>
      <c r="U176" s="221"/>
      <c r="V176" s="408"/>
      <c r="W176" s="408"/>
      <c r="X176" s="408"/>
      <c r="Y176" s="408"/>
      <c r="Z176" s="408"/>
      <c r="AA176" s="409"/>
      <c r="AC176" s="398"/>
      <c r="AR176" s="448"/>
      <c r="AT176" s="448"/>
      <c r="AU176" s="448"/>
      <c r="AY176" s="448"/>
      <c r="BE176" s="484"/>
      <c r="BF176" s="484"/>
      <c r="BG176" s="484"/>
      <c r="BH176" s="484"/>
      <c r="BI176" s="484"/>
      <c r="BJ176" s="448"/>
      <c r="BK176" s="484"/>
      <c r="BL176" s="448"/>
      <c r="BM176" s="448"/>
    </row>
    <row r="177" spans="1:65" s="778" customFormat="1" ht="31.5" customHeight="1">
      <c r="A177" s="770"/>
      <c r="B177" s="770"/>
      <c r="C177" s="772" t="s">
        <v>799</v>
      </c>
      <c r="D177" s="772"/>
      <c r="E177" s="137" t="s">
        <v>1144</v>
      </c>
      <c r="F177" s="1145" t="s">
        <v>519</v>
      </c>
      <c r="G177" s="1145"/>
      <c r="H177" s="1145"/>
      <c r="I177" s="1145"/>
      <c r="J177" s="155" t="s">
        <v>198</v>
      </c>
      <c r="K177" s="156">
        <v>11</v>
      </c>
      <c r="L177" s="13"/>
      <c r="M177" s="128"/>
      <c r="N177" s="1139">
        <f t="shared" si="4"/>
        <v>0</v>
      </c>
      <c r="O177" s="1139"/>
      <c r="P177" s="1139"/>
      <c r="Q177" s="1139"/>
      <c r="R177" s="770"/>
      <c r="S177" s="770"/>
      <c r="T177" s="774"/>
      <c r="U177" s="775"/>
      <c r="V177" s="776"/>
      <c r="W177" s="776"/>
      <c r="X177" s="776"/>
      <c r="Y177" s="776"/>
      <c r="Z177" s="776"/>
      <c r="AA177" s="777"/>
      <c r="AC177" s="398"/>
      <c r="AR177" s="779"/>
      <c r="AT177" s="779"/>
      <c r="AU177" s="779"/>
      <c r="AY177" s="779"/>
      <c r="BE177" s="780"/>
      <c r="BF177" s="780"/>
      <c r="BG177" s="780"/>
      <c r="BH177" s="780"/>
      <c r="BI177" s="780"/>
      <c r="BJ177" s="779"/>
      <c r="BK177" s="780"/>
      <c r="BL177" s="779"/>
      <c r="BM177" s="779"/>
    </row>
    <row r="178" spans="1:65" s="162" customFormat="1" ht="31.5" customHeight="1">
      <c r="A178" s="58"/>
      <c r="B178" s="58"/>
      <c r="C178" s="195" t="s">
        <v>800</v>
      </c>
      <c r="D178" s="490"/>
      <c r="E178" s="94" t="s">
        <v>1145</v>
      </c>
      <c r="F178" s="947" t="s">
        <v>520</v>
      </c>
      <c r="G178" s="1018"/>
      <c r="H178" s="1018"/>
      <c r="I178" s="1018"/>
      <c r="J178" s="96" t="s">
        <v>198</v>
      </c>
      <c r="K178" s="154">
        <v>3</v>
      </c>
      <c r="L178" s="21"/>
      <c r="M178" s="128"/>
      <c r="N178" s="966">
        <f t="shared" si="4"/>
        <v>0</v>
      </c>
      <c r="O178" s="966"/>
      <c r="P178" s="966"/>
      <c r="Q178" s="966"/>
      <c r="R178" s="58"/>
      <c r="S178" s="58"/>
      <c r="T178" s="483"/>
      <c r="U178" s="221"/>
      <c r="V178" s="408"/>
      <c r="W178" s="408"/>
      <c r="X178" s="408"/>
      <c r="Y178" s="408"/>
      <c r="Z178" s="408"/>
      <c r="AA178" s="409"/>
      <c r="AC178" s="398"/>
      <c r="AR178" s="448"/>
      <c r="AT178" s="448"/>
      <c r="AU178" s="448"/>
      <c r="AY178" s="448"/>
      <c r="BE178" s="484"/>
      <c r="BF178" s="484"/>
      <c r="BG178" s="484"/>
      <c r="BH178" s="484"/>
      <c r="BI178" s="484"/>
      <c r="BJ178" s="448"/>
      <c r="BK178" s="484"/>
      <c r="BL178" s="448"/>
      <c r="BM178" s="448"/>
    </row>
    <row r="179" spans="1:65" s="778" customFormat="1" ht="31.5" customHeight="1">
      <c r="A179" s="770"/>
      <c r="B179" s="770"/>
      <c r="C179" s="772" t="s">
        <v>801</v>
      </c>
      <c r="D179" s="772"/>
      <c r="E179" s="137" t="s">
        <v>1084</v>
      </c>
      <c r="F179" s="1145" t="s">
        <v>521</v>
      </c>
      <c r="G179" s="1145"/>
      <c r="H179" s="1145"/>
      <c r="I179" s="1145"/>
      <c r="J179" s="155" t="s">
        <v>198</v>
      </c>
      <c r="K179" s="156">
        <v>3</v>
      </c>
      <c r="L179" s="13"/>
      <c r="M179" s="128"/>
      <c r="N179" s="1139">
        <f t="shared" si="4"/>
        <v>0</v>
      </c>
      <c r="O179" s="1139"/>
      <c r="P179" s="1139"/>
      <c r="Q179" s="1139"/>
      <c r="R179" s="770"/>
      <c r="S179" s="770"/>
      <c r="T179" s="774"/>
      <c r="U179" s="775"/>
      <c r="V179" s="776"/>
      <c r="W179" s="776"/>
      <c r="X179" s="776"/>
      <c r="Y179" s="776"/>
      <c r="Z179" s="776"/>
      <c r="AA179" s="777"/>
      <c r="AC179" s="398"/>
      <c r="AR179" s="779"/>
      <c r="AT179" s="779"/>
      <c r="AU179" s="779"/>
      <c r="AY179" s="779"/>
      <c r="BE179" s="780"/>
      <c r="BF179" s="780"/>
      <c r="BG179" s="780"/>
      <c r="BH179" s="780"/>
      <c r="BI179" s="780"/>
      <c r="BJ179" s="779"/>
      <c r="BK179" s="780"/>
      <c r="BL179" s="779"/>
      <c r="BM179" s="779"/>
    </row>
    <row r="180" spans="1:65" s="162" customFormat="1" ht="31.5" customHeight="1">
      <c r="A180" s="58"/>
      <c r="B180" s="58"/>
      <c r="C180" s="195" t="s">
        <v>802</v>
      </c>
      <c r="D180" s="490"/>
      <c r="E180" s="94" t="s">
        <v>1146</v>
      </c>
      <c r="F180" s="947" t="s">
        <v>497</v>
      </c>
      <c r="G180" s="1018"/>
      <c r="H180" s="1018"/>
      <c r="I180" s="1018"/>
      <c r="J180" s="96" t="s">
        <v>133</v>
      </c>
      <c r="K180" s="154">
        <v>77</v>
      </c>
      <c r="L180" s="21"/>
      <c r="M180" s="128"/>
      <c r="N180" s="966">
        <f t="shared" si="4"/>
        <v>0</v>
      </c>
      <c r="O180" s="966"/>
      <c r="P180" s="966"/>
      <c r="Q180" s="966"/>
      <c r="R180" s="58"/>
      <c r="S180" s="58"/>
      <c r="T180" s="483"/>
      <c r="U180" s="221"/>
      <c r="V180" s="408"/>
      <c r="W180" s="408"/>
      <c r="X180" s="408"/>
      <c r="Y180" s="408"/>
      <c r="Z180" s="408"/>
      <c r="AA180" s="409"/>
      <c r="AC180" s="398"/>
      <c r="AR180" s="448"/>
      <c r="AT180" s="448"/>
      <c r="AU180" s="448"/>
      <c r="AY180" s="448"/>
      <c r="BE180" s="484"/>
      <c r="BF180" s="484"/>
      <c r="BG180" s="484"/>
      <c r="BH180" s="484"/>
      <c r="BI180" s="484"/>
      <c r="BJ180" s="448"/>
      <c r="BK180" s="484"/>
      <c r="BL180" s="448"/>
      <c r="BM180" s="448"/>
    </row>
    <row r="181" spans="1:65" s="778" customFormat="1" ht="31.5" customHeight="1">
      <c r="A181" s="770"/>
      <c r="B181" s="770"/>
      <c r="C181" s="772" t="s">
        <v>803</v>
      </c>
      <c r="D181" s="772"/>
      <c r="E181" s="137" t="s">
        <v>1147</v>
      </c>
      <c r="F181" s="1145" t="s">
        <v>490</v>
      </c>
      <c r="G181" s="1145"/>
      <c r="H181" s="1145"/>
      <c r="I181" s="1145"/>
      <c r="J181" s="155" t="s">
        <v>133</v>
      </c>
      <c r="K181" s="156">
        <v>77</v>
      </c>
      <c r="L181" s="13"/>
      <c r="M181" s="128"/>
      <c r="N181" s="1139">
        <f t="shared" si="4"/>
        <v>0</v>
      </c>
      <c r="O181" s="1139"/>
      <c r="P181" s="1139"/>
      <c r="Q181" s="1139"/>
      <c r="R181" s="770"/>
      <c r="S181" s="770"/>
      <c r="T181" s="774"/>
      <c r="U181" s="775"/>
      <c r="V181" s="776"/>
      <c r="W181" s="776"/>
      <c r="X181" s="776"/>
      <c r="Y181" s="776"/>
      <c r="Z181" s="776"/>
      <c r="AA181" s="777"/>
      <c r="AC181" s="398"/>
      <c r="AR181" s="779"/>
      <c r="AT181" s="779"/>
      <c r="AU181" s="779"/>
      <c r="AY181" s="779"/>
      <c r="BE181" s="780"/>
      <c r="BF181" s="780"/>
      <c r="BG181" s="780"/>
      <c r="BH181" s="780"/>
      <c r="BI181" s="780"/>
      <c r="BJ181" s="779"/>
      <c r="BK181" s="780"/>
      <c r="BL181" s="779"/>
      <c r="BM181" s="779"/>
    </row>
    <row r="182" spans="2:63" s="398" customFormat="1" ht="29.85" customHeight="1">
      <c r="B182" s="399"/>
      <c r="C182" s="181"/>
      <c r="D182" s="128" t="s">
        <v>523</v>
      </c>
      <c r="E182" s="128"/>
      <c r="F182" s="128"/>
      <c r="G182" s="128"/>
      <c r="H182" s="128"/>
      <c r="I182" s="128"/>
      <c r="J182" s="128"/>
      <c r="K182" s="128"/>
      <c r="L182" s="800"/>
      <c r="M182" s="128"/>
      <c r="N182" s="971"/>
      <c r="O182" s="926"/>
      <c r="P182" s="926"/>
      <c r="Q182" s="926"/>
      <c r="R182" s="400"/>
      <c r="T182" s="401"/>
      <c r="U182" s="181"/>
      <c r="V182" s="181"/>
      <c r="W182" s="402">
        <f>SUM(W186:W187)</f>
        <v>0</v>
      </c>
      <c r="X182" s="181"/>
      <c r="Y182" s="402">
        <f>SUM(Y186:Y187)</f>
        <v>0</v>
      </c>
      <c r="Z182" s="181"/>
      <c r="AA182" s="403">
        <f>SUM(AA186:AA187)</f>
        <v>0</v>
      </c>
      <c r="AR182" s="404" t="s">
        <v>76</v>
      </c>
      <c r="AT182" s="405" t="s">
        <v>68</v>
      </c>
      <c r="AU182" s="405" t="s">
        <v>76</v>
      </c>
      <c r="AY182" s="404" t="s">
        <v>125</v>
      </c>
      <c r="BK182" s="406">
        <f>SUM(BK186:BK187)</f>
        <v>0</v>
      </c>
    </row>
    <row r="183" spans="1:65" s="162" customFormat="1" ht="31.5" customHeight="1">
      <c r="A183" s="58"/>
      <c r="B183" s="58"/>
      <c r="C183" s="195" t="s">
        <v>804</v>
      </c>
      <c r="D183" s="490"/>
      <c r="E183" s="94" t="s">
        <v>1148</v>
      </c>
      <c r="F183" s="947" t="s">
        <v>522</v>
      </c>
      <c r="G183" s="1018"/>
      <c r="H183" s="1018"/>
      <c r="I183" s="1018"/>
      <c r="J183" s="96" t="s">
        <v>131</v>
      </c>
      <c r="K183" s="154">
        <v>1</v>
      </c>
      <c r="L183" s="22"/>
      <c r="M183" s="128"/>
      <c r="N183" s="966">
        <f>ROUND(L183*K183,2)</f>
        <v>0</v>
      </c>
      <c r="O183" s="966"/>
      <c r="P183" s="966"/>
      <c r="Q183" s="966"/>
      <c r="R183" s="58"/>
      <c r="S183" s="58"/>
      <c r="T183" s="483"/>
      <c r="U183" s="221"/>
      <c r="V183" s="408"/>
      <c r="W183" s="408"/>
      <c r="X183" s="408"/>
      <c r="Y183" s="408"/>
      <c r="Z183" s="408"/>
      <c r="AA183" s="409"/>
      <c r="AC183" s="398"/>
      <c r="AR183" s="448"/>
      <c r="AT183" s="448"/>
      <c r="AU183" s="448"/>
      <c r="AY183" s="448"/>
      <c r="BE183" s="484"/>
      <c r="BF183" s="484"/>
      <c r="BG183" s="484"/>
      <c r="BH183" s="484"/>
      <c r="BI183" s="484"/>
      <c r="BJ183" s="448"/>
      <c r="BK183" s="484"/>
      <c r="BL183" s="448"/>
      <c r="BM183" s="448"/>
    </row>
    <row r="184" spans="1:65" s="162" customFormat="1" ht="31.5" customHeight="1">
      <c r="A184" s="58"/>
      <c r="B184" s="58"/>
      <c r="C184" s="195" t="s">
        <v>805</v>
      </c>
      <c r="D184" s="490"/>
      <c r="E184" s="94" t="s">
        <v>1149</v>
      </c>
      <c r="F184" s="947" t="s">
        <v>1083</v>
      </c>
      <c r="G184" s="1018"/>
      <c r="H184" s="1018"/>
      <c r="I184" s="1018"/>
      <c r="J184" s="96" t="s">
        <v>131</v>
      </c>
      <c r="K184" s="154">
        <v>1</v>
      </c>
      <c r="L184" s="22"/>
      <c r="M184" s="128"/>
      <c r="N184" s="966">
        <f>ROUND(L184*K184,2)</f>
        <v>0</v>
      </c>
      <c r="O184" s="966"/>
      <c r="P184" s="966"/>
      <c r="Q184" s="966"/>
      <c r="R184" s="58"/>
      <c r="S184" s="58"/>
      <c r="T184" s="483"/>
      <c r="U184" s="221"/>
      <c r="V184" s="408"/>
      <c r="W184" s="408"/>
      <c r="X184" s="408"/>
      <c r="Y184" s="408"/>
      <c r="Z184" s="408"/>
      <c r="AA184" s="409"/>
      <c r="AC184" s="398"/>
      <c r="AR184" s="448"/>
      <c r="AT184" s="448"/>
      <c r="AU184" s="448"/>
      <c r="AY184" s="448"/>
      <c r="BE184" s="484"/>
      <c r="BF184" s="484"/>
      <c r="BG184" s="484"/>
      <c r="BH184" s="484"/>
      <c r="BI184" s="484"/>
      <c r="BJ184" s="448"/>
      <c r="BK184" s="484"/>
      <c r="BL184" s="448"/>
      <c r="BM184" s="448"/>
    </row>
    <row r="185" spans="1:65" s="162" customFormat="1" ht="109.9" customHeight="1">
      <c r="A185" s="58"/>
      <c r="B185" s="58"/>
      <c r="C185" s="195" t="s">
        <v>806</v>
      </c>
      <c r="D185" s="490"/>
      <c r="E185" s="94" t="s">
        <v>1150</v>
      </c>
      <c r="F185" s="947" t="s">
        <v>524</v>
      </c>
      <c r="G185" s="1018"/>
      <c r="H185" s="1018"/>
      <c r="I185" s="1018"/>
      <c r="J185" s="96" t="s">
        <v>131</v>
      </c>
      <c r="K185" s="154">
        <v>1</v>
      </c>
      <c r="L185" s="21"/>
      <c r="M185" s="128"/>
      <c r="N185" s="966">
        <f>ROUND(L185*K185,2)</f>
        <v>0</v>
      </c>
      <c r="O185" s="966"/>
      <c r="P185" s="966"/>
      <c r="Q185" s="966"/>
      <c r="R185" s="58"/>
      <c r="S185" s="58"/>
      <c r="T185" s="834"/>
      <c r="U185" s="221"/>
      <c r="V185" s="408"/>
      <c r="W185" s="408"/>
      <c r="X185" s="408"/>
      <c r="Y185" s="408"/>
      <c r="Z185" s="408"/>
      <c r="AA185" s="409"/>
      <c r="AC185" s="398"/>
      <c r="AR185" s="448"/>
      <c r="AT185" s="448"/>
      <c r="AU185" s="448"/>
      <c r="AY185" s="448"/>
      <c r="BE185" s="484"/>
      <c r="BF185" s="484"/>
      <c r="BG185" s="484"/>
      <c r="BH185" s="484"/>
      <c r="BI185" s="484"/>
      <c r="BJ185" s="448"/>
      <c r="BK185" s="484"/>
      <c r="BL185" s="448"/>
      <c r="BM185" s="448"/>
    </row>
    <row r="186" spans="3:65" s="58" customFormat="1" ht="31.5" customHeight="1">
      <c r="C186" s="195" t="s">
        <v>807</v>
      </c>
      <c r="D186" s="490"/>
      <c r="E186" s="94" t="s">
        <v>1151</v>
      </c>
      <c r="F186" s="947" t="s">
        <v>525</v>
      </c>
      <c r="G186" s="1018"/>
      <c r="H186" s="1018"/>
      <c r="I186" s="1018"/>
      <c r="J186" s="96" t="s">
        <v>131</v>
      </c>
      <c r="K186" s="154">
        <v>1</v>
      </c>
      <c r="L186" s="21"/>
      <c r="M186" s="128"/>
      <c r="N186" s="966">
        <f>ROUND(L186*K186,2)</f>
        <v>0</v>
      </c>
      <c r="O186" s="966"/>
      <c r="P186" s="966"/>
      <c r="Q186" s="966"/>
      <c r="T186" s="89"/>
      <c r="U186" s="221"/>
      <c r="V186" s="408"/>
      <c r="W186" s="408"/>
      <c r="X186" s="408"/>
      <c r="Y186" s="408"/>
      <c r="Z186" s="408"/>
      <c r="AA186" s="408"/>
      <c r="AC186" s="398"/>
      <c r="AR186" s="835"/>
      <c r="AT186" s="835"/>
      <c r="AU186" s="835"/>
      <c r="AY186" s="835"/>
      <c r="BE186" s="836"/>
      <c r="BF186" s="836"/>
      <c r="BG186" s="836"/>
      <c r="BH186" s="836"/>
      <c r="BI186" s="836"/>
      <c r="BJ186" s="835"/>
      <c r="BK186" s="836"/>
      <c r="BL186" s="835"/>
      <c r="BM186" s="835"/>
    </row>
    <row r="187" spans="3:65" s="58" customFormat="1" ht="31.5" customHeight="1">
      <c r="C187" s="195" t="s">
        <v>808</v>
      </c>
      <c r="D187" s="490"/>
      <c r="E187" s="94" t="s">
        <v>1152</v>
      </c>
      <c r="F187" s="947" t="s">
        <v>526</v>
      </c>
      <c r="G187" s="1018"/>
      <c r="H187" s="1018"/>
      <c r="I187" s="1018"/>
      <c r="J187" s="96" t="s">
        <v>131</v>
      </c>
      <c r="K187" s="154">
        <v>1</v>
      </c>
      <c r="L187" s="21"/>
      <c r="M187" s="128"/>
      <c r="N187" s="966">
        <f>ROUND(L187*K187,2)</f>
        <v>0</v>
      </c>
      <c r="O187" s="966"/>
      <c r="P187" s="966"/>
      <c r="Q187" s="966"/>
      <c r="T187" s="89"/>
      <c r="U187" s="221"/>
      <c r="V187" s="408"/>
      <c r="W187" s="408"/>
      <c r="X187" s="408"/>
      <c r="Y187" s="408"/>
      <c r="Z187" s="408"/>
      <c r="AA187" s="408"/>
      <c r="AC187" s="398"/>
      <c r="AR187" s="835"/>
      <c r="AT187" s="835"/>
      <c r="AU187" s="835"/>
      <c r="AY187" s="835"/>
      <c r="BE187" s="836"/>
      <c r="BF187" s="836"/>
      <c r="BG187" s="836"/>
      <c r="BH187" s="836"/>
      <c r="BI187" s="836"/>
      <c r="BJ187" s="835"/>
      <c r="BK187" s="836"/>
      <c r="BL187" s="835"/>
      <c r="BM187" s="835"/>
    </row>
    <row r="188" spans="2:63" s="398" customFormat="1" ht="29.85" customHeight="1">
      <c r="B188" s="181"/>
      <c r="C188" s="718" t="s">
        <v>809</v>
      </c>
      <c r="D188" s="718"/>
      <c r="E188" s="767" t="s">
        <v>1153</v>
      </c>
      <c r="F188" s="954" t="s">
        <v>206</v>
      </c>
      <c r="G188" s="954"/>
      <c r="H188" s="954"/>
      <c r="I188" s="954"/>
      <c r="J188" s="103" t="s">
        <v>2227</v>
      </c>
      <c r="K188" s="45">
        <v>1</v>
      </c>
      <c r="L188" s="122"/>
      <c r="M188" s="128"/>
      <c r="N188" s="1009">
        <f aca="true" t="shared" si="5" ref="N188:N189">ROUND(L188*K188,2)</f>
        <v>0</v>
      </c>
      <c r="O188" s="1009"/>
      <c r="P188" s="1009"/>
      <c r="Q188" s="1009"/>
      <c r="R188" s="181"/>
      <c r="S188" s="191"/>
      <c r="T188" s="401"/>
      <c r="U188" s="181"/>
      <c r="V188" s="181"/>
      <c r="W188" s="402"/>
      <c r="X188" s="181"/>
      <c r="Y188" s="402"/>
      <c r="Z188" s="181"/>
      <c r="AA188" s="403"/>
      <c r="AD188" s="58"/>
      <c r="AT188" s="405"/>
      <c r="AU188" s="405"/>
      <c r="AY188" s="404"/>
      <c r="BK188" s="406"/>
    </row>
    <row r="189" spans="2:63" s="398" customFormat="1" ht="29.85" customHeight="1">
      <c r="B189" s="181"/>
      <c r="C189" s="718" t="s">
        <v>810</v>
      </c>
      <c r="D189" s="718"/>
      <c r="E189" s="767" t="s">
        <v>1154</v>
      </c>
      <c r="F189" s="954" t="s">
        <v>2226</v>
      </c>
      <c r="G189" s="954"/>
      <c r="H189" s="954"/>
      <c r="I189" s="954"/>
      <c r="J189" s="103" t="s">
        <v>2227</v>
      </c>
      <c r="K189" s="142">
        <v>1</v>
      </c>
      <c r="L189" s="131"/>
      <c r="M189" s="128"/>
      <c r="N189" s="1009">
        <f t="shared" si="5"/>
        <v>0</v>
      </c>
      <c r="O189" s="1009"/>
      <c r="P189" s="1009"/>
      <c r="Q189" s="1009"/>
      <c r="R189" s="181"/>
      <c r="S189" s="191"/>
      <c r="T189" s="401"/>
      <c r="U189" s="181"/>
      <c r="V189" s="181"/>
      <c r="W189" s="402"/>
      <c r="X189" s="181"/>
      <c r="Y189" s="402"/>
      <c r="Z189" s="181"/>
      <c r="AA189" s="403"/>
      <c r="AD189" s="58"/>
      <c r="AT189" s="405"/>
      <c r="AU189" s="405"/>
      <c r="AY189" s="404"/>
      <c r="BK189" s="406"/>
    </row>
    <row r="190" spans="3:65" s="58" customFormat="1" ht="31.5" customHeight="1">
      <c r="C190" s="522"/>
      <c r="D190" s="522"/>
      <c r="E190" s="524"/>
      <c r="F190" s="991"/>
      <c r="G190" s="991"/>
      <c r="H190" s="991"/>
      <c r="I190" s="991"/>
      <c r="J190" s="525"/>
      <c r="K190" s="531"/>
      <c r="L190" s="836"/>
      <c r="M190" s="128"/>
      <c r="N190" s="836"/>
      <c r="O190" s="836"/>
      <c r="P190" s="836"/>
      <c r="Q190" s="836"/>
      <c r="T190" s="89"/>
      <c r="U190" s="221"/>
      <c r="V190" s="408"/>
      <c r="W190" s="408"/>
      <c r="X190" s="408"/>
      <c r="Y190" s="408"/>
      <c r="Z190" s="408"/>
      <c r="AA190" s="408"/>
      <c r="AC190" s="398"/>
      <c r="AR190" s="835"/>
      <c r="AT190" s="835"/>
      <c r="AU190" s="835"/>
      <c r="AY190" s="835"/>
      <c r="BE190" s="836"/>
      <c r="BF190" s="836"/>
      <c r="BG190" s="836"/>
      <c r="BH190" s="836"/>
      <c r="BI190" s="836"/>
      <c r="BJ190" s="835"/>
      <c r="BK190" s="836"/>
      <c r="BL190" s="835"/>
      <c r="BM190" s="835"/>
    </row>
    <row r="191" spans="3:65" s="58" customFormat="1" ht="31.5" customHeight="1">
      <c r="C191" s="522"/>
      <c r="D191" s="522"/>
      <c r="E191" s="524"/>
      <c r="F191" s="991"/>
      <c r="G191" s="991"/>
      <c r="H191" s="991"/>
      <c r="I191" s="991"/>
      <c r="J191" s="525"/>
      <c r="K191" s="531"/>
      <c r="L191" s="836"/>
      <c r="M191" s="836"/>
      <c r="N191" s="836"/>
      <c r="O191" s="836"/>
      <c r="P191" s="836"/>
      <c r="Q191" s="836"/>
      <c r="T191" s="89"/>
      <c r="U191" s="221"/>
      <c r="V191" s="408"/>
      <c r="W191" s="408"/>
      <c r="X191" s="408"/>
      <c r="Y191" s="408"/>
      <c r="Z191" s="408"/>
      <c r="AA191" s="408"/>
      <c r="AC191" s="398"/>
      <c r="AR191" s="835"/>
      <c r="AT191" s="835"/>
      <c r="AU191" s="835"/>
      <c r="AY191" s="835"/>
      <c r="BE191" s="836"/>
      <c r="BF191" s="836"/>
      <c r="BG191" s="836"/>
      <c r="BH191" s="836"/>
      <c r="BI191" s="836"/>
      <c r="BJ191" s="835"/>
      <c r="BK191" s="836"/>
      <c r="BL191" s="835"/>
      <c r="BM191" s="835"/>
    </row>
    <row r="192" spans="3:65" s="58" customFormat="1" ht="31.5" customHeight="1">
      <c r="C192" s="522"/>
      <c r="D192" s="522"/>
      <c r="E192" s="524"/>
      <c r="F192" s="991"/>
      <c r="G192" s="991"/>
      <c r="H192" s="991"/>
      <c r="I192" s="991"/>
      <c r="J192" s="525"/>
      <c r="K192" s="531"/>
      <c r="L192" s="836"/>
      <c r="M192" s="836"/>
      <c r="N192" s="836"/>
      <c r="O192" s="836"/>
      <c r="P192" s="836"/>
      <c r="Q192" s="836"/>
      <c r="T192" s="89"/>
      <c r="U192" s="221"/>
      <c r="V192" s="408"/>
      <c r="W192" s="408"/>
      <c r="X192" s="408"/>
      <c r="Y192" s="408"/>
      <c r="Z192" s="408"/>
      <c r="AA192" s="408"/>
      <c r="AC192" s="398"/>
      <c r="AR192" s="835"/>
      <c r="AT192" s="835"/>
      <c r="AU192" s="835"/>
      <c r="AY192" s="835"/>
      <c r="BE192" s="836"/>
      <c r="BF192" s="836"/>
      <c r="BG192" s="836"/>
      <c r="BH192" s="836"/>
      <c r="BI192" s="836"/>
      <c r="BJ192" s="835"/>
      <c r="BK192" s="836"/>
      <c r="BL192" s="835"/>
      <c r="BM192" s="835"/>
    </row>
    <row r="193" spans="6:65" s="58" customFormat="1" ht="44.25" customHeight="1">
      <c r="F193" s="986"/>
      <c r="G193" s="973"/>
      <c r="H193" s="973"/>
      <c r="I193" s="973"/>
      <c r="T193" s="89" t="s">
        <v>5</v>
      </c>
      <c r="U193" s="221" t="s">
        <v>36</v>
      </c>
      <c r="V193" s="408">
        <v>0</v>
      </c>
      <c r="W193" s="408">
        <f>V193*K223</f>
        <v>0</v>
      </c>
      <c r="X193" s="408">
        <v>0</v>
      </c>
      <c r="Y193" s="408">
        <f>X193*K223</f>
        <v>0</v>
      </c>
      <c r="Z193" s="408">
        <v>0</v>
      </c>
      <c r="AA193" s="408">
        <f>Z193*K223</f>
        <v>0</v>
      </c>
      <c r="AC193" s="398"/>
      <c r="AR193" s="835" t="s">
        <v>128</v>
      </c>
      <c r="AT193" s="835" t="s">
        <v>126</v>
      </c>
      <c r="AU193" s="835" t="s">
        <v>76</v>
      </c>
      <c r="AY193" s="835" t="s">
        <v>125</v>
      </c>
      <c r="BE193" s="836">
        <f>IF(U193="základní",N223,0)</f>
        <v>0</v>
      </c>
      <c r="BF193" s="836">
        <f>IF(U193="snížená",N223,0)</f>
        <v>0</v>
      </c>
      <c r="BG193" s="836">
        <f>IF(U193="zákl. přenesená",N223,0)</f>
        <v>0</v>
      </c>
      <c r="BH193" s="836">
        <f>IF(U193="sníž. přenesená",N223,0)</f>
        <v>0</v>
      </c>
      <c r="BI193" s="836">
        <f>IF(U193="nulová",N223,0)</f>
        <v>0</v>
      </c>
      <c r="BJ193" s="835" t="s">
        <v>80</v>
      </c>
      <c r="BK193" s="836">
        <f>ROUND(L223*K223,2)</f>
        <v>0</v>
      </c>
      <c r="BL193" s="835" t="s">
        <v>128</v>
      </c>
      <c r="BM193" s="835" t="s">
        <v>189</v>
      </c>
    </row>
    <row r="194" spans="3:29" s="58" customFormat="1" ht="6.95" customHeight="1">
      <c r="C194" s="522"/>
      <c r="D194" s="522"/>
      <c r="E194" s="524"/>
      <c r="F194" s="991"/>
      <c r="G194" s="991"/>
      <c r="H194" s="991"/>
      <c r="I194" s="991"/>
      <c r="J194" s="525"/>
      <c r="K194" s="531"/>
      <c r="L194" s="989"/>
      <c r="M194" s="989"/>
      <c r="N194" s="989"/>
      <c r="O194" s="989"/>
      <c r="P194" s="989"/>
      <c r="Q194" s="989"/>
      <c r="AC194" s="398"/>
    </row>
    <row r="195" spans="3:29" s="157" customFormat="1" ht="13.5">
      <c r="C195" s="58"/>
      <c r="D195" s="58"/>
      <c r="E195" s="58"/>
      <c r="F195" s="986"/>
      <c r="G195" s="973"/>
      <c r="H195" s="973"/>
      <c r="I195" s="973"/>
      <c r="J195" s="58"/>
      <c r="K195" s="58"/>
      <c r="L195" s="58"/>
      <c r="M195" s="58"/>
      <c r="N195" s="58"/>
      <c r="O195" s="58"/>
      <c r="P195" s="58"/>
      <c r="Q195" s="58"/>
      <c r="AC195" s="398"/>
    </row>
    <row r="196" spans="3:29" s="157" customFormat="1" ht="13.5">
      <c r="C196" s="522"/>
      <c r="D196" s="522"/>
      <c r="E196" s="524"/>
      <c r="F196" s="991"/>
      <c r="G196" s="991"/>
      <c r="H196" s="991"/>
      <c r="I196" s="991"/>
      <c r="J196" s="525"/>
      <c r="K196" s="531"/>
      <c r="L196" s="989"/>
      <c r="M196" s="989"/>
      <c r="N196" s="989"/>
      <c r="O196" s="989"/>
      <c r="P196" s="989"/>
      <c r="Q196" s="989"/>
      <c r="AC196" s="398"/>
    </row>
    <row r="197" spans="3:29" s="157" customFormat="1" ht="13.5">
      <c r="C197" s="58"/>
      <c r="D197" s="58"/>
      <c r="E197" s="58"/>
      <c r="F197" s="986"/>
      <c r="G197" s="973"/>
      <c r="H197" s="973"/>
      <c r="I197" s="973"/>
      <c r="J197" s="58"/>
      <c r="K197" s="58"/>
      <c r="L197" s="58"/>
      <c r="M197" s="58"/>
      <c r="N197" s="58"/>
      <c r="O197" s="58"/>
      <c r="P197" s="58"/>
      <c r="Q197" s="58"/>
      <c r="AC197" s="398"/>
    </row>
    <row r="198" spans="3:29" s="157" customFormat="1" ht="13.5">
      <c r="C198" s="522"/>
      <c r="D198" s="522"/>
      <c r="E198" s="524"/>
      <c r="F198" s="991"/>
      <c r="G198" s="991"/>
      <c r="H198" s="991"/>
      <c r="I198" s="991"/>
      <c r="J198" s="525"/>
      <c r="K198" s="531"/>
      <c r="L198" s="989"/>
      <c r="M198" s="989"/>
      <c r="N198" s="989"/>
      <c r="O198" s="989"/>
      <c r="P198" s="989"/>
      <c r="Q198" s="989"/>
      <c r="AC198" s="398"/>
    </row>
    <row r="199" spans="3:29" s="157" customFormat="1" ht="13.5">
      <c r="C199" s="58"/>
      <c r="D199" s="58"/>
      <c r="E199" s="58"/>
      <c r="F199" s="986"/>
      <c r="G199" s="973"/>
      <c r="H199" s="973"/>
      <c r="I199" s="973"/>
      <c r="J199" s="58"/>
      <c r="K199" s="58"/>
      <c r="L199" s="58"/>
      <c r="M199" s="58"/>
      <c r="N199" s="58"/>
      <c r="O199" s="58"/>
      <c r="P199" s="58"/>
      <c r="Q199" s="58"/>
      <c r="AC199" s="398"/>
    </row>
    <row r="200" spans="3:29" s="157" customFormat="1" ht="13.5">
      <c r="C200" s="522"/>
      <c r="D200" s="522"/>
      <c r="E200" s="524"/>
      <c r="F200" s="991"/>
      <c r="G200" s="991"/>
      <c r="H200" s="991"/>
      <c r="I200" s="991"/>
      <c r="J200" s="525"/>
      <c r="K200" s="531"/>
      <c r="L200" s="989"/>
      <c r="M200" s="989"/>
      <c r="N200" s="989"/>
      <c r="O200" s="989"/>
      <c r="P200" s="989"/>
      <c r="Q200" s="989"/>
      <c r="AC200" s="398"/>
    </row>
    <row r="201" spans="3:29" s="157" customFormat="1" ht="13.5">
      <c r="C201" s="58"/>
      <c r="D201" s="58"/>
      <c r="E201" s="58"/>
      <c r="F201" s="986"/>
      <c r="G201" s="973"/>
      <c r="H201" s="973"/>
      <c r="I201" s="973"/>
      <c r="J201" s="58"/>
      <c r="K201" s="58"/>
      <c r="L201" s="58"/>
      <c r="M201" s="58"/>
      <c r="N201" s="58"/>
      <c r="O201" s="58"/>
      <c r="P201" s="58"/>
      <c r="Q201" s="58"/>
      <c r="AC201" s="398"/>
    </row>
    <row r="202" spans="3:29" s="157" customFormat="1" ht="18">
      <c r="C202" s="181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971"/>
      <c r="O202" s="926"/>
      <c r="P202" s="926"/>
      <c r="Q202" s="926"/>
      <c r="AC202" s="398"/>
    </row>
    <row r="203" spans="3:29" s="157" customFormat="1" ht="13.5">
      <c r="C203" s="522"/>
      <c r="D203" s="522"/>
      <c r="E203" s="524"/>
      <c r="F203" s="991"/>
      <c r="G203" s="991"/>
      <c r="H203" s="991"/>
      <c r="I203" s="991"/>
      <c r="J203" s="525"/>
      <c r="K203" s="531"/>
      <c r="L203" s="989"/>
      <c r="M203" s="989"/>
      <c r="N203" s="989"/>
      <c r="O203" s="989"/>
      <c r="P203" s="989"/>
      <c r="Q203" s="989"/>
      <c r="AC203" s="398"/>
    </row>
    <row r="204" spans="3:29" s="157" customFormat="1" ht="13.5">
      <c r="C204" s="58"/>
      <c r="D204" s="58"/>
      <c r="E204" s="58"/>
      <c r="F204" s="986"/>
      <c r="G204" s="973"/>
      <c r="H204" s="973"/>
      <c r="I204" s="973"/>
      <c r="J204" s="58"/>
      <c r="K204" s="58"/>
      <c r="L204" s="58"/>
      <c r="M204" s="58"/>
      <c r="N204" s="58"/>
      <c r="O204" s="58"/>
      <c r="P204" s="58"/>
      <c r="Q204" s="58"/>
      <c r="AC204" s="398"/>
    </row>
    <row r="205" spans="3:29" s="157" customFormat="1" ht="13.5">
      <c r="C205" s="522"/>
      <c r="D205" s="522"/>
      <c r="E205" s="524"/>
      <c r="F205" s="991"/>
      <c r="G205" s="991"/>
      <c r="H205" s="991"/>
      <c r="I205" s="991"/>
      <c r="J205" s="525"/>
      <c r="K205" s="531"/>
      <c r="L205" s="989"/>
      <c r="M205" s="989"/>
      <c r="N205" s="989"/>
      <c r="O205" s="989"/>
      <c r="P205" s="989"/>
      <c r="Q205" s="989"/>
      <c r="AC205" s="398"/>
    </row>
    <row r="206" spans="3:29" s="157" customFormat="1" ht="13.5">
      <c r="C206" s="58"/>
      <c r="D206" s="58"/>
      <c r="E206" s="58"/>
      <c r="F206" s="986"/>
      <c r="G206" s="973"/>
      <c r="H206" s="973"/>
      <c r="I206" s="973"/>
      <c r="J206" s="58"/>
      <c r="K206" s="58"/>
      <c r="L206" s="58"/>
      <c r="M206" s="58"/>
      <c r="N206" s="58"/>
      <c r="O206" s="58"/>
      <c r="P206" s="58"/>
      <c r="Q206" s="58"/>
      <c r="AC206" s="398"/>
    </row>
    <row r="207" spans="3:17" s="157" customFormat="1" ht="18">
      <c r="C207" s="181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971"/>
      <c r="O207" s="926"/>
      <c r="P207" s="926"/>
      <c r="Q207" s="926"/>
    </row>
    <row r="208" spans="3:17" s="157" customFormat="1" ht="13.5">
      <c r="C208" s="522"/>
      <c r="D208" s="522"/>
      <c r="E208" s="524"/>
      <c r="F208" s="991"/>
      <c r="G208" s="991"/>
      <c r="H208" s="991"/>
      <c r="I208" s="991"/>
      <c r="J208" s="525"/>
      <c r="K208" s="531"/>
      <c r="L208" s="989"/>
      <c r="M208" s="989"/>
      <c r="N208" s="989"/>
      <c r="O208" s="989"/>
      <c r="P208" s="989"/>
      <c r="Q208" s="989"/>
    </row>
    <row r="209" spans="3:17" s="157" customFormat="1" ht="13.5">
      <c r="C209" s="58"/>
      <c r="D209" s="58"/>
      <c r="E209" s="58"/>
      <c r="F209" s="986"/>
      <c r="G209" s="973"/>
      <c r="H209" s="973"/>
      <c r="I209" s="973"/>
      <c r="J209" s="58"/>
      <c r="K209" s="58"/>
      <c r="L209" s="58"/>
      <c r="M209" s="58"/>
      <c r="N209" s="58"/>
      <c r="O209" s="58"/>
      <c r="P209" s="58"/>
      <c r="Q209" s="58"/>
    </row>
    <row r="210" spans="3:17" s="157" customFormat="1" ht="13.5">
      <c r="C210" s="522"/>
      <c r="D210" s="522"/>
      <c r="E210" s="524"/>
      <c r="F210" s="991"/>
      <c r="G210" s="991"/>
      <c r="H210" s="991"/>
      <c r="I210" s="991"/>
      <c r="J210" s="525"/>
      <c r="K210" s="531"/>
      <c r="L210" s="989"/>
      <c r="M210" s="989"/>
      <c r="N210" s="989"/>
      <c r="O210" s="989"/>
      <c r="P210" s="989"/>
      <c r="Q210" s="989"/>
    </row>
    <row r="211" spans="3:17" s="157" customFormat="1" ht="13.5">
      <c r="C211" s="58"/>
      <c r="D211" s="58"/>
      <c r="E211" s="58"/>
      <c r="F211" s="986"/>
      <c r="G211" s="973"/>
      <c r="H211" s="973"/>
      <c r="I211" s="973"/>
      <c r="J211" s="58"/>
      <c r="K211" s="58"/>
      <c r="L211" s="58"/>
      <c r="M211" s="58"/>
      <c r="N211" s="58"/>
      <c r="O211" s="58"/>
      <c r="P211" s="58"/>
      <c r="Q211" s="58"/>
    </row>
    <row r="212" spans="3:17" s="157" customFormat="1" ht="13.5">
      <c r="C212" s="522"/>
      <c r="D212" s="522"/>
      <c r="E212" s="524"/>
      <c r="F212" s="991"/>
      <c r="G212" s="991"/>
      <c r="H212" s="991"/>
      <c r="I212" s="991"/>
      <c r="J212" s="525"/>
      <c r="K212" s="531"/>
      <c r="L212" s="989"/>
      <c r="M212" s="989"/>
      <c r="N212" s="989"/>
      <c r="O212" s="989"/>
      <c r="P212" s="989"/>
      <c r="Q212" s="989"/>
    </row>
    <row r="213" spans="3:17" s="157" customFormat="1" ht="13.5">
      <c r="C213" s="58"/>
      <c r="D213" s="58"/>
      <c r="E213" s="58"/>
      <c r="F213" s="986"/>
      <c r="G213" s="973"/>
      <c r="H213" s="973"/>
      <c r="I213" s="973"/>
      <c r="J213" s="58"/>
      <c r="K213" s="58"/>
      <c r="L213" s="58"/>
      <c r="M213" s="58"/>
      <c r="N213" s="58"/>
      <c r="O213" s="58"/>
      <c r="P213" s="58"/>
      <c r="Q213" s="58"/>
    </row>
    <row r="214" spans="3:17" s="157" customFormat="1" ht="13.5">
      <c r="C214" s="522"/>
      <c r="D214" s="522"/>
      <c r="E214" s="524"/>
      <c r="F214" s="991"/>
      <c r="G214" s="991"/>
      <c r="H214" s="991"/>
      <c r="I214" s="991"/>
      <c r="J214" s="525"/>
      <c r="K214" s="531"/>
      <c r="L214" s="989"/>
      <c r="M214" s="989"/>
      <c r="N214" s="989"/>
      <c r="O214" s="989"/>
      <c r="P214" s="989"/>
      <c r="Q214" s="989"/>
    </row>
    <row r="215" spans="3:17" s="157" customFormat="1" ht="13.5">
      <c r="C215" s="58"/>
      <c r="D215" s="58"/>
      <c r="E215" s="58"/>
      <c r="F215" s="986"/>
      <c r="G215" s="973"/>
      <c r="H215" s="973"/>
      <c r="I215" s="973"/>
      <c r="J215" s="58"/>
      <c r="K215" s="58"/>
      <c r="L215" s="58"/>
      <c r="M215" s="58"/>
      <c r="N215" s="58"/>
      <c r="O215" s="58"/>
      <c r="P215" s="58"/>
      <c r="Q215" s="58"/>
    </row>
    <row r="216" spans="3:17" s="157" customFormat="1" ht="18">
      <c r="C216" s="181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971"/>
      <c r="O216" s="926"/>
      <c r="P216" s="926"/>
      <c r="Q216" s="926"/>
    </row>
    <row r="217" spans="3:17" s="157" customFormat="1" ht="13.5">
      <c r="C217" s="522"/>
      <c r="D217" s="522"/>
      <c r="E217" s="524"/>
      <c r="F217" s="991"/>
      <c r="G217" s="991"/>
      <c r="H217" s="991"/>
      <c r="I217" s="991"/>
      <c r="J217" s="525"/>
      <c r="K217" s="531"/>
      <c r="L217" s="989"/>
      <c r="M217" s="989"/>
      <c r="N217" s="989"/>
      <c r="O217" s="989"/>
      <c r="P217" s="989"/>
      <c r="Q217" s="989"/>
    </row>
    <row r="218" spans="3:17" s="157" customFormat="1" ht="13.5">
      <c r="C218" s="522"/>
      <c r="D218" s="522"/>
      <c r="E218" s="524"/>
      <c r="F218" s="991"/>
      <c r="G218" s="991"/>
      <c r="H218" s="991"/>
      <c r="I218" s="991"/>
      <c r="J218" s="525"/>
      <c r="K218" s="531"/>
      <c r="L218" s="989"/>
      <c r="M218" s="989"/>
      <c r="N218" s="989"/>
      <c r="O218" s="989"/>
      <c r="P218" s="989"/>
      <c r="Q218" s="989"/>
    </row>
    <row r="219" spans="3:17" s="157" customFormat="1" ht="13.5">
      <c r="C219" s="522"/>
      <c r="D219" s="522"/>
      <c r="E219" s="524"/>
      <c r="F219" s="991"/>
      <c r="G219" s="991"/>
      <c r="H219" s="991"/>
      <c r="I219" s="991"/>
      <c r="J219" s="525"/>
      <c r="K219" s="531"/>
      <c r="L219" s="989"/>
      <c r="M219" s="989"/>
      <c r="N219" s="989"/>
      <c r="O219" s="989"/>
      <c r="P219" s="989"/>
      <c r="Q219" s="989"/>
    </row>
    <row r="220" spans="3:17" s="157" customFormat="1" ht="13.5">
      <c r="C220" s="522"/>
      <c r="D220" s="522"/>
      <c r="E220" s="524"/>
      <c r="F220" s="991"/>
      <c r="G220" s="991"/>
      <c r="H220" s="991"/>
      <c r="I220" s="991"/>
      <c r="J220" s="525"/>
      <c r="K220" s="531"/>
      <c r="L220" s="989"/>
      <c r="M220" s="989"/>
      <c r="N220" s="989"/>
      <c r="O220" s="989"/>
      <c r="P220" s="989"/>
      <c r="Q220" s="989"/>
    </row>
    <row r="221" spans="3:17" s="157" customFormat="1" ht="13.5">
      <c r="C221" s="522"/>
      <c r="D221" s="522"/>
      <c r="E221" s="524"/>
      <c r="F221" s="991"/>
      <c r="G221" s="991"/>
      <c r="H221" s="991"/>
      <c r="I221" s="991"/>
      <c r="J221" s="525"/>
      <c r="K221" s="531"/>
      <c r="L221" s="989"/>
      <c r="M221" s="989"/>
      <c r="N221" s="989"/>
      <c r="O221" s="989"/>
      <c r="P221" s="989"/>
      <c r="Q221" s="989"/>
    </row>
    <row r="222" spans="3:17" s="157" customFormat="1" ht="13.5">
      <c r="C222" s="522"/>
      <c r="D222" s="522"/>
      <c r="E222" s="524"/>
      <c r="F222" s="991"/>
      <c r="G222" s="991"/>
      <c r="H222" s="991"/>
      <c r="I222" s="991"/>
      <c r="J222" s="525"/>
      <c r="K222" s="531"/>
      <c r="L222" s="989"/>
      <c r="M222" s="989"/>
      <c r="N222" s="989"/>
      <c r="O222" s="989"/>
      <c r="P222" s="989"/>
      <c r="Q222" s="989"/>
    </row>
    <row r="223" spans="3:17" s="157" customFormat="1" ht="13.5">
      <c r="C223" s="522"/>
      <c r="D223" s="522"/>
      <c r="E223" s="524"/>
      <c r="F223" s="991"/>
      <c r="G223" s="991"/>
      <c r="H223" s="991"/>
      <c r="I223" s="991"/>
      <c r="J223" s="525"/>
      <c r="K223" s="531"/>
      <c r="L223" s="989"/>
      <c r="M223" s="989"/>
      <c r="N223" s="989"/>
      <c r="O223" s="989"/>
      <c r="P223" s="989"/>
      <c r="Q223" s="989"/>
    </row>
    <row r="224" spans="3:17" s="157" customFormat="1" ht="13.5"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="157" customFormat="1" ht="13.5"/>
  </sheetData>
  <sheetProtection sheet="1" objects="1" scenarios="1"/>
  <mergeCells count="273">
    <mergeCell ref="N188:Q188"/>
    <mergeCell ref="N189:Q189"/>
    <mergeCell ref="H1:K1"/>
    <mergeCell ref="C2:Q2"/>
    <mergeCell ref="S2:AC2"/>
    <mergeCell ref="C4:Q4"/>
    <mergeCell ref="F6:P6"/>
    <mergeCell ref="F7:P7"/>
    <mergeCell ref="O18:P18"/>
    <mergeCell ref="O19:P19"/>
    <mergeCell ref="O21:P21"/>
    <mergeCell ref="O22:P22"/>
    <mergeCell ref="E25:P25"/>
    <mergeCell ref="M28:P28"/>
    <mergeCell ref="F8:P8"/>
    <mergeCell ref="O10:P10"/>
    <mergeCell ref="O12:P12"/>
    <mergeCell ref="O13:P13"/>
    <mergeCell ref="O15:P15"/>
    <mergeCell ref="O16:P16"/>
    <mergeCell ref="H35:J35"/>
    <mergeCell ref="M35:P35"/>
    <mergeCell ref="H36:J36"/>
    <mergeCell ref="M36:P36"/>
    <mergeCell ref="H37:J37"/>
    <mergeCell ref="M37:P37"/>
    <mergeCell ref="M29:P29"/>
    <mergeCell ref="M31:P31"/>
    <mergeCell ref="H33:J33"/>
    <mergeCell ref="M33:P33"/>
    <mergeCell ref="H34:J34"/>
    <mergeCell ref="M34:P34"/>
    <mergeCell ref="F84:J84"/>
    <mergeCell ref="M84:Q84"/>
    <mergeCell ref="M85:Q85"/>
    <mergeCell ref="C87:G87"/>
    <mergeCell ref="N87:Q87"/>
    <mergeCell ref="N89:Q89"/>
    <mergeCell ref="L39:P39"/>
    <mergeCell ref="C76:Q76"/>
    <mergeCell ref="F78:P78"/>
    <mergeCell ref="F79:P79"/>
    <mergeCell ref="F80:P80"/>
    <mergeCell ref="F82:J82"/>
    <mergeCell ref="M82:P82"/>
    <mergeCell ref="F104:P104"/>
    <mergeCell ref="M106:P106"/>
    <mergeCell ref="M108:Q108"/>
    <mergeCell ref="M109:Q109"/>
    <mergeCell ref="F111:I111"/>
    <mergeCell ref="L111:M111"/>
    <mergeCell ref="N111:Q111"/>
    <mergeCell ref="N90:Q90"/>
    <mergeCell ref="N92:Q92"/>
    <mergeCell ref="L94:Q94"/>
    <mergeCell ref="C100:Q100"/>
    <mergeCell ref="F102:P102"/>
    <mergeCell ref="F103:P103"/>
    <mergeCell ref="F117:I117"/>
    <mergeCell ref="N117:Q117"/>
    <mergeCell ref="F118:I118"/>
    <mergeCell ref="N118:Q118"/>
    <mergeCell ref="F119:I119"/>
    <mergeCell ref="N119:Q119"/>
    <mergeCell ref="N112:Q112"/>
    <mergeCell ref="N113:Q113"/>
    <mergeCell ref="N114:Q114"/>
    <mergeCell ref="F116:I116"/>
    <mergeCell ref="N116:Q116"/>
    <mergeCell ref="F123:I123"/>
    <mergeCell ref="N123:Q123"/>
    <mergeCell ref="F124:I124"/>
    <mergeCell ref="N124:Q124"/>
    <mergeCell ref="F125:I125"/>
    <mergeCell ref="N125:Q125"/>
    <mergeCell ref="F120:I120"/>
    <mergeCell ref="N120:Q120"/>
    <mergeCell ref="F121:I121"/>
    <mergeCell ref="N121:Q121"/>
    <mergeCell ref="F122:I122"/>
    <mergeCell ref="N122:Q122"/>
    <mergeCell ref="F128:I128"/>
    <mergeCell ref="N128:Q128"/>
    <mergeCell ref="F129:I129"/>
    <mergeCell ref="N129:Q129"/>
    <mergeCell ref="F130:I130"/>
    <mergeCell ref="N130:Q130"/>
    <mergeCell ref="F126:I126"/>
    <mergeCell ref="N126:Q126"/>
    <mergeCell ref="F127:I127"/>
    <mergeCell ref="N127:Q127"/>
    <mergeCell ref="F134:I134"/>
    <mergeCell ref="N134:Q134"/>
    <mergeCell ref="F135:I135"/>
    <mergeCell ref="N135:Q135"/>
    <mergeCell ref="F136:I136"/>
    <mergeCell ref="N136:Q136"/>
    <mergeCell ref="F131:I131"/>
    <mergeCell ref="N131:Q131"/>
    <mergeCell ref="F132:I132"/>
    <mergeCell ref="N132:Q132"/>
    <mergeCell ref="F133:I133"/>
    <mergeCell ref="N133:Q133"/>
    <mergeCell ref="F140:I140"/>
    <mergeCell ref="N140:Q140"/>
    <mergeCell ref="F141:I141"/>
    <mergeCell ref="N141:Q141"/>
    <mergeCell ref="F142:I142"/>
    <mergeCell ref="N142:Q142"/>
    <mergeCell ref="F137:I137"/>
    <mergeCell ref="N137:Q137"/>
    <mergeCell ref="F138:I138"/>
    <mergeCell ref="N138:Q138"/>
    <mergeCell ref="F139:I139"/>
    <mergeCell ref="N139:Q139"/>
    <mergeCell ref="F143:I143"/>
    <mergeCell ref="N143:Q143"/>
    <mergeCell ref="F144:I144"/>
    <mergeCell ref="N144:Q144"/>
    <mergeCell ref="N145:Q145"/>
    <mergeCell ref="F159:I159"/>
    <mergeCell ref="F150:I150"/>
    <mergeCell ref="F151:I151"/>
    <mergeCell ref="F152:I152"/>
    <mergeCell ref="N146:Q146"/>
    <mergeCell ref="N147:Q147"/>
    <mergeCell ref="N148:Q148"/>
    <mergeCell ref="N149:Q149"/>
    <mergeCell ref="N150:Q150"/>
    <mergeCell ref="N156:Q156"/>
    <mergeCell ref="F154:I154"/>
    <mergeCell ref="F155:I155"/>
    <mergeCell ref="F156:I15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205:I205"/>
    <mergeCell ref="L205:M205"/>
    <mergeCell ref="N205:Q205"/>
    <mergeCell ref="F206:I206"/>
    <mergeCell ref="N207:Q207"/>
    <mergeCell ref="F208:I208"/>
    <mergeCell ref="L208:M208"/>
    <mergeCell ref="N208:Q208"/>
    <mergeCell ref="F201:I201"/>
    <mergeCell ref="N202:Q202"/>
    <mergeCell ref="F203:I203"/>
    <mergeCell ref="L203:M203"/>
    <mergeCell ref="N203:Q203"/>
    <mergeCell ref="F204:I204"/>
    <mergeCell ref="F213:I213"/>
    <mergeCell ref="F214:I214"/>
    <mergeCell ref="L214:M214"/>
    <mergeCell ref="N214:Q214"/>
    <mergeCell ref="F215:I215"/>
    <mergeCell ref="N216:Q216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23:I223"/>
    <mergeCell ref="L223:M223"/>
    <mergeCell ref="N223:Q223"/>
    <mergeCell ref="F115:I115"/>
    <mergeCell ref="N115:Q115"/>
    <mergeCell ref="F145:I145"/>
    <mergeCell ref="F146:I146"/>
    <mergeCell ref="F147:I147"/>
    <mergeCell ref="F148:I148"/>
    <mergeCell ref="F149:I149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N151:Q151"/>
    <mergeCell ref="N152:Q152"/>
    <mergeCell ref="N153:Q153"/>
    <mergeCell ref="N154:Q154"/>
    <mergeCell ref="N155:Q155"/>
    <mergeCell ref="F176:I176"/>
    <mergeCell ref="F177:I177"/>
    <mergeCell ref="F166:I166"/>
    <mergeCell ref="F167:I167"/>
    <mergeCell ref="F168:I168"/>
    <mergeCell ref="F169:I169"/>
    <mergeCell ref="F170:I170"/>
    <mergeCell ref="N157:Q157"/>
    <mergeCell ref="N158:Q158"/>
    <mergeCell ref="N159:Q159"/>
    <mergeCell ref="F163:I163"/>
    <mergeCell ref="F164:I164"/>
    <mergeCell ref="F165:I165"/>
    <mergeCell ref="F157:I157"/>
    <mergeCell ref="F158:I158"/>
    <mergeCell ref="N160:Q160"/>
    <mergeCell ref="F161:I161"/>
    <mergeCell ref="F162:I162"/>
    <mergeCell ref="N162:Q162"/>
    <mergeCell ref="N173:Q173"/>
    <mergeCell ref="N174:Q174"/>
    <mergeCell ref="N175:Q175"/>
    <mergeCell ref="N176:Q176"/>
    <mergeCell ref="N177:Q177"/>
    <mergeCell ref="F188:I188"/>
    <mergeCell ref="F189:I189"/>
    <mergeCell ref="F190:I190"/>
    <mergeCell ref="F191:I191"/>
    <mergeCell ref="F192:I192"/>
    <mergeCell ref="N161:Q161"/>
    <mergeCell ref="N163:Q163"/>
    <mergeCell ref="N164:Q164"/>
    <mergeCell ref="N165:Q165"/>
    <mergeCell ref="N166:Q166"/>
    <mergeCell ref="F184:I184"/>
    <mergeCell ref="F185:I185"/>
    <mergeCell ref="F186:I186"/>
    <mergeCell ref="F187:I187"/>
    <mergeCell ref="F178:I178"/>
    <mergeCell ref="F179:I179"/>
    <mergeCell ref="F180:I180"/>
    <mergeCell ref="F181:I181"/>
    <mergeCell ref="F183:I183"/>
    <mergeCell ref="F172:I172"/>
    <mergeCell ref="F173:I173"/>
    <mergeCell ref="F174:I174"/>
    <mergeCell ref="F175:I175"/>
    <mergeCell ref="N178:Q178"/>
    <mergeCell ref="N187:Q187"/>
    <mergeCell ref="N179:Q179"/>
    <mergeCell ref="N180:Q180"/>
    <mergeCell ref="N181:Q181"/>
    <mergeCell ref="N183:Q183"/>
    <mergeCell ref="N184:Q184"/>
    <mergeCell ref="N167:Q167"/>
    <mergeCell ref="N168:Q168"/>
    <mergeCell ref="N169:Q169"/>
    <mergeCell ref="N170:Q170"/>
    <mergeCell ref="N171:Q171"/>
    <mergeCell ref="N172:Q172"/>
    <mergeCell ref="N182:Q182"/>
    <mergeCell ref="N185:Q185"/>
    <mergeCell ref="N186:Q186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629F-DFC3-4316-895D-68907B3CED07}">
  <sheetPr>
    <pageSetUpPr fitToPage="1"/>
  </sheetPr>
  <dimension ref="A1:BN306"/>
  <sheetViews>
    <sheetView showGridLines="0" view="pageBreakPreview" zoomScaleSheetLayoutView="100" workbookViewId="0" topLeftCell="A1">
      <pane ySplit="1" topLeftCell="A119" activePane="bottomLeft" state="frozen"/>
      <selection pane="topLeft" activeCell="AE69" sqref="AE69"/>
      <selection pane="bottomLeft" activeCell="F127" sqref="F127:I127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23" t="s">
        <v>1649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58"/>
      <c r="G15" s="58"/>
      <c r="H15" s="58"/>
      <c r="I15" s="58"/>
      <c r="J15" s="58"/>
      <c r="K15" s="58"/>
      <c r="L15" s="58"/>
      <c r="M15" s="158" t="s">
        <v>21</v>
      </c>
      <c r="N15" s="58"/>
      <c r="O15" s="883"/>
      <c r="P15" s="883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883"/>
      <c r="P16" s="883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f>M31</f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v>0</v>
      </c>
      <c r="I34" s="973"/>
      <c r="J34" s="973"/>
      <c r="K34" s="58"/>
      <c r="L34" s="58"/>
      <c r="M34" s="975">
        <v>0</v>
      </c>
      <c r="N34" s="973"/>
      <c r="O34" s="973"/>
      <c r="P34" s="973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>ROUND((SUM(BG92:BG93)+SUM(BG112:BG144)),2)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>ROUND((SUM(BH92:BH93)+SUM(BH112:BH144)),2)</f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>ROUND((SUM(BI92:BI93)+SUM(BI112:BI144)),2)</f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164" t="s">
        <v>48</v>
      </c>
      <c r="K61" s="85"/>
      <c r="L61" s="85"/>
      <c r="M61" s="85"/>
      <c r="N61" s="85"/>
      <c r="O61" s="85"/>
      <c r="P61" s="16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166"/>
      <c r="K62" s="157"/>
      <c r="L62" s="157"/>
      <c r="M62" s="157"/>
      <c r="N62" s="157"/>
      <c r="O62" s="157"/>
      <c r="P62" s="167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166"/>
      <c r="K63" s="157"/>
      <c r="L63" s="157"/>
      <c r="M63" s="157"/>
      <c r="N63" s="157"/>
      <c r="O63" s="157"/>
      <c r="P63" s="167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166"/>
      <c r="K64" s="157"/>
      <c r="L64" s="157"/>
      <c r="M64" s="157"/>
      <c r="N64" s="157"/>
      <c r="O64" s="157"/>
      <c r="P64" s="167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166"/>
      <c r="K65" s="157"/>
      <c r="L65" s="157"/>
      <c r="M65" s="157"/>
      <c r="N65" s="157"/>
      <c r="O65" s="157"/>
      <c r="P65" s="167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166"/>
      <c r="K66" s="157"/>
      <c r="L66" s="157"/>
      <c r="M66" s="157"/>
      <c r="N66" s="157"/>
      <c r="O66" s="157"/>
      <c r="P66" s="167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166"/>
      <c r="K67" s="157"/>
      <c r="L67" s="157"/>
      <c r="M67" s="157"/>
      <c r="N67" s="157"/>
      <c r="O67" s="157"/>
      <c r="P67" s="167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166"/>
      <c r="K68" s="157"/>
      <c r="L68" s="157"/>
      <c r="M68" s="157"/>
      <c r="N68" s="157"/>
      <c r="O68" s="157"/>
      <c r="P68" s="167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166"/>
      <c r="K69" s="157"/>
      <c r="L69" s="157"/>
      <c r="M69" s="157"/>
      <c r="N69" s="157"/>
      <c r="O69" s="157"/>
      <c r="P69" s="167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168" t="s">
        <v>45</v>
      </c>
      <c r="K70" s="169"/>
      <c r="L70" s="169"/>
      <c r="M70" s="169"/>
      <c r="N70" s="170" t="s">
        <v>46</v>
      </c>
      <c r="O70" s="169"/>
      <c r="P70" s="171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910" t="str">
        <f>F8</f>
        <v>09-TRUHLÁŘSKÉ PRÁCE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78" t="str">
        <f>F12</f>
        <v>R-MOSTY, Z.S.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160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175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893"/>
      <c r="P89" s="893"/>
      <c r="Q89" s="893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09-TRUHLÁŘSKÉ PRÁCE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175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893">
        <v>0</v>
      </c>
      <c r="O92" s="983"/>
      <c r="P92" s="983"/>
      <c r="Q92" s="983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57"/>
      <c r="R103" s="453"/>
    </row>
    <row r="104" spans="2:18" s="162" customFormat="1" ht="36.95" customHeight="1">
      <c r="B104" s="455"/>
      <c r="C104" s="174" t="s">
        <v>102</v>
      </c>
      <c r="D104" s="58"/>
      <c r="E104" s="58"/>
      <c r="F104" s="910" t="str">
        <f>F8</f>
        <v>09-TRUHLÁŘSKÉ PRÁCE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160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7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W113+#REF!+#REF!+#REF!+#REF!+#REF!+#REF!+#REF!+#REF!+#REF!+W137</f>
        <v>#REF!</v>
      </c>
      <c r="X112" s="85"/>
      <c r="Y112" s="474" t="e">
        <f>Y113+#REF!+#REF!+#REF!+#REF!+#REF!+#REF!+#REF!+#REF!+#REF!+Y137</f>
        <v>#REF!</v>
      </c>
      <c r="Z112" s="85"/>
      <c r="AA112" s="475" t="e">
        <f>AA113+#REF!+#REF!+#REF!+#REF!+#REF!+#REF!+#REF!+#REF!+#REF!+AA137</f>
        <v>#REF!</v>
      </c>
      <c r="AD112" s="484">
        <f>N112</f>
        <v>0</v>
      </c>
      <c r="AU112" s="448" t="s">
        <v>109</v>
      </c>
      <c r="BK112" s="476" t="e">
        <f>BK113+#REF!+#REF!+#REF!+#REF!+#REF!+#REF!+#REF!+#REF!+#REF!+BK137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09-TRUHLÁŘSKÉ PRÁCE</v>
      </c>
      <c r="E113" s="105"/>
      <c r="F113" s="105"/>
      <c r="G113" s="182" t="s">
        <v>2186</v>
      </c>
      <c r="H113" s="105"/>
      <c r="I113" s="105"/>
      <c r="J113" s="105"/>
      <c r="K113" s="105"/>
      <c r="L113" s="105"/>
      <c r="M113" s="105"/>
      <c r="N113" s="971">
        <f>SUM(N115:Q258)</f>
        <v>0</v>
      </c>
      <c r="O113" s="926"/>
      <c r="P113" s="926"/>
      <c r="Q113" s="926"/>
      <c r="R113" s="400"/>
      <c r="S113" s="400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U113" s="405" t="s">
        <v>69</v>
      </c>
      <c r="AY113" s="404" t="s">
        <v>125</v>
      </c>
      <c r="BK113" s="406" t="e">
        <f>SUM(#REF!)</f>
        <v>#REF!</v>
      </c>
    </row>
    <row r="114" spans="2:63" s="398" customFormat="1" ht="29.85" customHeight="1">
      <c r="B114" s="399"/>
      <c r="C114" s="181"/>
      <c r="D114" s="128" t="s">
        <v>1648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971"/>
      <c r="O114" s="926"/>
      <c r="P114" s="926"/>
      <c r="Q114" s="926"/>
      <c r="R114" s="400"/>
      <c r="T114" s="401"/>
      <c r="U114" s="181"/>
      <c r="V114" s="181"/>
      <c r="W114" s="402">
        <f>SUM(W115:W116)</f>
        <v>0</v>
      </c>
      <c r="X114" s="181"/>
      <c r="Y114" s="402">
        <f>SUM(Y115:Y116)</f>
        <v>0</v>
      </c>
      <c r="Z114" s="181"/>
      <c r="AA114" s="403">
        <f>SUM(AA115:AA116)</f>
        <v>0</v>
      </c>
      <c r="AR114" s="404" t="s">
        <v>76</v>
      </c>
      <c r="AT114" s="405" t="s">
        <v>68</v>
      </c>
      <c r="AU114" s="405" t="s">
        <v>76</v>
      </c>
      <c r="AY114" s="404" t="s">
        <v>125</v>
      </c>
      <c r="BK114" s="406">
        <f>SUM(BK115:BK116)</f>
        <v>0</v>
      </c>
    </row>
    <row r="115" spans="1:63" s="398" customFormat="1" ht="37.35" customHeight="1">
      <c r="A115" s="181"/>
      <c r="B115" s="399"/>
      <c r="C115" s="183" t="s">
        <v>207</v>
      </c>
      <c r="D115" s="184"/>
      <c r="E115" s="94" t="s">
        <v>1650</v>
      </c>
      <c r="F115" s="960" t="s">
        <v>1596</v>
      </c>
      <c r="G115" s="960"/>
      <c r="H115" s="960"/>
      <c r="I115" s="960"/>
      <c r="J115" s="94" t="s">
        <v>131</v>
      </c>
      <c r="K115" s="95">
        <v>1</v>
      </c>
      <c r="L115" s="185"/>
      <c r="M115" s="128"/>
      <c r="N115" s="948">
        <f aca="true" t="shared" si="0" ref="N115:N126">ROUND(L115*K115,2)</f>
        <v>0</v>
      </c>
      <c r="O115" s="948"/>
      <c r="P115" s="948"/>
      <c r="Q115" s="948"/>
      <c r="R115" s="199"/>
      <c r="S115" s="199"/>
      <c r="T115" s="181"/>
      <c r="U115" s="181"/>
      <c r="V115" s="181"/>
      <c r="W115" s="402"/>
      <c r="X115" s="181"/>
      <c r="Y115" s="402"/>
      <c r="Z115" s="181"/>
      <c r="AA115" s="402"/>
      <c r="AB115" s="181"/>
      <c r="AU115" s="405"/>
      <c r="AY115" s="404"/>
      <c r="BK115" s="406"/>
    </row>
    <row r="116" spans="1:63" s="77" customFormat="1" ht="37.35" customHeight="1">
      <c r="A116" s="674"/>
      <c r="B116" s="758"/>
      <c r="C116" s="183" t="s">
        <v>208</v>
      </c>
      <c r="D116" s="186"/>
      <c r="E116" s="94" t="s">
        <v>1651</v>
      </c>
      <c r="F116" s="1148" t="s">
        <v>1647</v>
      </c>
      <c r="G116" s="1148"/>
      <c r="H116" s="1148"/>
      <c r="I116" s="1148"/>
      <c r="J116" s="187" t="s">
        <v>198</v>
      </c>
      <c r="K116" s="188">
        <v>1</v>
      </c>
      <c r="L116" s="189"/>
      <c r="M116" s="128"/>
      <c r="N116" s="1149">
        <f t="shared" si="0"/>
        <v>0</v>
      </c>
      <c r="O116" s="1149"/>
      <c r="P116" s="1149"/>
      <c r="Q116" s="1149"/>
      <c r="R116" s="838"/>
      <c r="S116" s="838"/>
      <c r="T116" s="674"/>
      <c r="U116" s="674"/>
      <c r="V116" s="674"/>
      <c r="W116" s="675"/>
      <c r="X116" s="674"/>
      <c r="Y116" s="675"/>
      <c r="Z116" s="674"/>
      <c r="AA116" s="675"/>
      <c r="AB116" s="674"/>
      <c r="AC116" s="398"/>
      <c r="AU116" s="677"/>
      <c r="AY116" s="678"/>
      <c r="BK116" s="625"/>
    </row>
    <row r="117" spans="2:65" s="191" customFormat="1" ht="30" customHeight="1">
      <c r="B117" s="618"/>
      <c r="C117" s="183" t="s">
        <v>209</v>
      </c>
      <c r="D117" s="190"/>
      <c r="E117" s="94" t="s">
        <v>1652</v>
      </c>
      <c r="F117" s="1148" t="s">
        <v>1608</v>
      </c>
      <c r="G117" s="1148"/>
      <c r="H117" s="1148"/>
      <c r="I117" s="1148"/>
      <c r="J117" s="187" t="s">
        <v>198</v>
      </c>
      <c r="K117" s="188">
        <v>1</v>
      </c>
      <c r="L117" s="189"/>
      <c r="M117" s="128"/>
      <c r="N117" s="1149">
        <f t="shared" si="0"/>
        <v>0</v>
      </c>
      <c r="O117" s="1149"/>
      <c r="P117" s="1149"/>
      <c r="Q117" s="1149"/>
      <c r="R117" s="839"/>
      <c r="S117" s="840"/>
      <c r="T117" s="686" t="s">
        <v>5</v>
      </c>
      <c r="U117" s="621" t="s">
        <v>36</v>
      </c>
      <c r="V117" s="622">
        <v>0</v>
      </c>
      <c r="W117" s="622">
        <f>V117*K117</f>
        <v>0</v>
      </c>
      <c r="X117" s="622">
        <v>0</v>
      </c>
      <c r="Y117" s="622">
        <f>X117*K117</f>
        <v>0</v>
      </c>
      <c r="Z117" s="622">
        <v>0</v>
      </c>
      <c r="AA117" s="623">
        <f>Z117*K117</f>
        <v>0</v>
      </c>
      <c r="AC117" s="398"/>
      <c r="AR117" s="624" t="s">
        <v>128</v>
      </c>
      <c r="AT117" s="624" t="s">
        <v>126</v>
      </c>
      <c r="AU117" s="624" t="s">
        <v>80</v>
      </c>
      <c r="AY117" s="624" t="s">
        <v>125</v>
      </c>
      <c r="BE117" s="625">
        <f>IF(U117="základní",N117,0)</f>
        <v>0</v>
      </c>
      <c r="BF117" s="625">
        <f>IF(U117="snížená",N117,0)</f>
        <v>0</v>
      </c>
      <c r="BG117" s="625">
        <f>IF(U117="zákl. přenesená",N117,0)</f>
        <v>0</v>
      </c>
      <c r="BH117" s="625">
        <f>IF(U117="sníž. přenesená",N117,0)</f>
        <v>0</v>
      </c>
      <c r="BI117" s="625">
        <f>IF(U117="nulová",N117,0)</f>
        <v>0</v>
      </c>
      <c r="BJ117" s="624" t="s">
        <v>80</v>
      </c>
      <c r="BK117" s="625">
        <f>ROUND(L117*K117,2)</f>
        <v>0</v>
      </c>
      <c r="BL117" s="624" t="s">
        <v>128</v>
      </c>
      <c r="BM117" s="624" t="s">
        <v>136</v>
      </c>
    </row>
    <row r="118" spans="2:65" s="191" customFormat="1" ht="30" customHeight="1">
      <c r="B118" s="618"/>
      <c r="C118" s="183" t="s">
        <v>210</v>
      </c>
      <c r="D118" s="190"/>
      <c r="E118" s="94" t="s">
        <v>1653</v>
      </c>
      <c r="F118" s="1148" t="s">
        <v>1646</v>
      </c>
      <c r="G118" s="1148"/>
      <c r="H118" s="1148"/>
      <c r="I118" s="1148"/>
      <c r="J118" s="187" t="s">
        <v>198</v>
      </c>
      <c r="K118" s="188">
        <v>1</v>
      </c>
      <c r="L118" s="189"/>
      <c r="M118" s="128"/>
      <c r="N118" s="1149">
        <f t="shared" si="0"/>
        <v>0</v>
      </c>
      <c r="O118" s="1149"/>
      <c r="P118" s="1149"/>
      <c r="Q118" s="1149"/>
      <c r="R118" s="839"/>
      <c r="S118" s="840"/>
      <c r="T118" s="686"/>
      <c r="U118" s="621"/>
      <c r="V118" s="622"/>
      <c r="W118" s="622"/>
      <c r="X118" s="622"/>
      <c r="Y118" s="622"/>
      <c r="Z118" s="622"/>
      <c r="AA118" s="623"/>
      <c r="AC118" s="398"/>
      <c r="AR118" s="624"/>
      <c r="AT118" s="624"/>
      <c r="AU118" s="624"/>
      <c r="AY118" s="624"/>
      <c r="BE118" s="625"/>
      <c r="BF118" s="625"/>
      <c r="BG118" s="625"/>
      <c r="BH118" s="625"/>
      <c r="BI118" s="625"/>
      <c r="BJ118" s="624"/>
      <c r="BK118" s="625"/>
      <c r="BL118" s="624"/>
      <c r="BM118" s="624"/>
    </row>
    <row r="119" spans="2:65" s="191" customFormat="1" ht="30" customHeight="1">
      <c r="B119" s="618"/>
      <c r="C119" s="183" t="s">
        <v>211</v>
      </c>
      <c r="D119" s="190"/>
      <c r="E119" s="94" t="s">
        <v>1654</v>
      </c>
      <c r="F119" s="1148" t="s">
        <v>1618</v>
      </c>
      <c r="G119" s="1148"/>
      <c r="H119" s="1148"/>
      <c r="I119" s="1148"/>
      <c r="J119" s="187" t="s">
        <v>198</v>
      </c>
      <c r="K119" s="188">
        <v>1</v>
      </c>
      <c r="L119" s="189"/>
      <c r="M119" s="128"/>
      <c r="N119" s="1149">
        <f t="shared" si="0"/>
        <v>0</v>
      </c>
      <c r="O119" s="1149"/>
      <c r="P119" s="1149"/>
      <c r="Q119" s="1149"/>
      <c r="R119" s="839"/>
      <c r="S119" s="840"/>
      <c r="T119" s="686"/>
      <c r="U119" s="621"/>
      <c r="V119" s="622"/>
      <c r="W119" s="622"/>
      <c r="X119" s="622"/>
      <c r="Y119" s="622"/>
      <c r="Z119" s="622"/>
      <c r="AA119" s="623"/>
      <c r="AC119" s="398"/>
      <c r="AR119" s="624"/>
      <c r="AT119" s="624"/>
      <c r="AU119" s="624"/>
      <c r="AY119" s="624"/>
      <c r="BE119" s="625"/>
      <c r="BF119" s="625"/>
      <c r="BG119" s="625"/>
      <c r="BH119" s="625"/>
      <c r="BI119" s="625"/>
      <c r="BJ119" s="624"/>
      <c r="BK119" s="625"/>
      <c r="BL119" s="624"/>
      <c r="BM119" s="624"/>
    </row>
    <row r="120" spans="2:65" s="191" customFormat="1" ht="30" customHeight="1">
      <c r="B120" s="618"/>
      <c r="C120" s="183" t="s">
        <v>212</v>
      </c>
      <c r="D120" s="190"/>
      <c r="E120" s="94" t="s">
        <v>1655</v>
      </c>
      <c r="F120" s="1043" t="s">
        <v>1645</v>
      </c>
      <c r="G120" s="1044"/>
      <c r="H120" s="1044"/>
      <c r="I120" s="1045"/>
      <c r="J120" s="187" t="s">
        <v>198</v>
      </c>
      <c r="K120" s="188">
        <v>2</v>
      </c>
      <c r="L120" s="189"/>
      <c r="M120" s="128"/>
      <c r="N120" s="1149">
        <f t="shared" si="0"/>
        <v>0</v>
      </c>
      <c r="O120" s="1149"/>
      <c r="P120" s="1149"/>
      <c r="Q120" s="1149"/>
      <c r="R120" s="839"/>
      <c r="S120" s="840"/>
      <c r="T120" s="686"/>
      <c r="U120" s="621"/>
      <c r="V120" s="622"/>
      <c r="W120" s="622"/>
      <c r="X120" s="622"/>
      <c r="Y120" s="622"/>
      <c r="Z120" s="622"/>
      <c r="AA120" s="623"/>
      <c r="AC120" s="398"/>
      <c r="AR120" s="624"/>
      <c r="AT120" s="624"/>
      <c r="AU120" s="624"/>
      <c r="AY120" s="624"/>
      <c r="BE120" s="625"/>
      <c r="BF120" s="625"/>
      <c r="BG120" s="625"/>
      <c r="BH120" s="625"/>
      <c r="BI120" s="625"/>
      <c r="BJ120" s="624"/>
      <c r="BK120" s="625"/>
      <c r="BL120" s="624"/>
      <c r="BM120" s="624"/>
    </row>
    <row r="121" spans="2:65" s="191" customFormat="1" ht="30" customHeight="1">
      <c r="B121" s="618"/>
      <c r="C121" s="183" t="s">
        <v>213</v>
      </c>
      <c r="D121" s="190"/>
      <c r="E121" s="94" t="s">
        <v>1656</v>
      </c>
      <c r="F121" s="1043" t="s">
        <v>1644</v>
      </c>
      <c r="G121" s="1044"/>
      <c r="H121" s="1044"/>
      <c r="I121" s="1045"/>
      <c r="J121" s="187" t="s">
        <v>198</v>
      </c>
      <c r="K121" s="188">
        <v>1</v>
      </c>
      <c r="L121" s="189"/>
      <c r="M121" s="128"/>
      <c r="N121" s="1149">
        <f t="shared" si="0"/>
        <v>0</v>
      </c>
      <c r="O121" s="1149"/>
      <c r="P121" s="1149"/>
      <c r="Q121" s="1149"/>
      <c r="R121" s="839"/>
      <c r="S121" s="840"/>
      <c r="T121" s="686"/>
      <c r="U121" s="621"/>
      <c r="V121" s="622"/>
      <c r="W121" s="622"/>
      <c r="X121" s="622"/>
      <c r="Y121" s="622"/>
      <c r="Z121" s="622"/>
      <c r="AA121" s="623"/>
      <c r="AC121" s="398"/>
      <c r="AR121" s="624"/>
      <c r="AT121" s="624"/>
      <c r="AU121" s="624"/>
      <c r="AY121" s="624"/>
      <c r="BE121" s="625"/>
      <c r="BF121" s="625"/>
      <c r="BG121" s="625"/>
      <c r="BH121" s="625"/>
      <c r="BI121" s="625"/>
      <c r="BJ121" s="624"/>
      <c r="BK121" s="625"/>
      <c r="BL121" s="624"/>
      <c r="BM121" s="624"/>
    </row>
    <row r="122" spans="2:65" s="191" customFormat="1" ht="30" customHeight="1">
      <c r="B122" s="618"/>
      <c r="C122" s="183" t="s">
        <v>214</v>
      </c>
      <c r="D122" s="190"/>
      <c r="E122" s="94" t="s">
        <v>1657</v>
      </c>
      <c r="F122" s="1148" t="s">
        <v>1605</v>
      </c>
      <c r="G122" s="1148"/>
      <c r="H122" s="1148"/>
      <c r="I122" s="1148"/>
      <c r="J122" s="187" t="s">
        <v>198</v>
      </c>
      <c r="K122" s="188">
        <v>1</v>
      </c>
      <c r="L122" s="189"/>
      <c r="M122" s="128"/>
      <c r="N122" s="1149">
        <f t="shared" si="0"/>
        <v>0</v>
      </c>
      <c r="O122" s="1149"/>
      <c r="P122" s="1149"/>
      <c r="Q122" s="1149"/>
      <c r="R122" s="839"/>
      <c r="S122" s="840"/>
      <c r="T122" s="686" t="s">
        <v>5</v>
      </c>
      <c r="U122" s="621" t="s">
        <v>36</v>
      </c>
      <c r="V122" s="622">
        <v>0</v>
      </c>
      <c r="W122" s="622">
        <f>V122*K122</f>
        <v>0</v>
      </c>
      <c r="X122" s="622">
        <v>0</v>
      </c>
      <c r="Y122" s="622">
        <f>X122*K122</f>
        <v>0</v>
      </c>
      <c r="Z122" s="622">
        <v>0</v>
      </c>
      <c r="AA122" s="623">
        <f>Z122*K122</f>
        <v>0</v>
      </c>
      <c r="AC122" s="398"/>
      <c r="AR122" s="624" t="s">
        <v>128</v>
      </c>
      <c r="AT122" s="624" t="s">
        <v>126</v>
      </c>
      <c r="AU122" s="624" t="s">
        <v>80</v>
      </c>
      <c r="AY122" s="624" t="s">
        <v>125</v>
      </c>
      <c r="BE122" s="625">
        <f>IF(U122="základní",N122,0)</f>
        <v>0</v>
      </c>
      <c r="BF122" s="625">
        <f>IF(U122="snížená",N122,0)</f>
        <v>0</v>
      </c>
      <c r="BG122" s="625">
        <f>IF(U122="zákl. přenesená",N122,0)</f>
        <v>0</v>
      </c>
      <c r="BH122" s="625">
        <f>IF(U122="sníž. přenesená",N122,0)</f>
        <v>0</v>
      </c>
      <c r="BI122" s="625">
        <f>IF(U122="nulová",N122,0)</f>
        <v>0</v>
      </c>
      <c r="BJ122" s="624" t="s">
        <v>80</v>
      </c>
      <c r="BK122" s="625">
        <f>ROUND(L122*K122,2)</f>
        <v>0</v>
      </c>
      <c r="BL122" s="624" t="s">
        <v>128</v>
      </c>
      <c r="BM122" s="624" t="s">
        <v>137</v>
      </c>
    </row>
    <row r="123" spans="2:65" s="191" customFormat="1" ht="30" customHeight="1">
      <c r="B123" s="618"/>
      <c r="C123" s="183" t="s">
        <v>215</v>
      </c>
      <c r="D123" s="190"/>
      <c r="E123" s="94" t="s">
        <v>1658</v>
      </c>
      <c r="F123" s="1148" t="s">
        <v>1633</v>
      </c>
      <c r="G123" s="1148"/>
      <c r="H123" s="1148"/>
      <c r="I123" s="1148"/>
      <c r="J123" s="187" t="s">
        <v>198</v>
      </c>
      <c r="K123" s="188">
        <v>2</v>
      </c>
      <c r="L123" s="189"/>
      <c r="M123" s="128"/>
      <c r="N123" s="1149">
        <f t="shared" si="0"/>
        <v>0</v>
      </c>
      <c r="O123" s="1149"/>
      <c r="P123" s="1149"/>
      <c r="Q123" s="1149"/>
      <c r="R123" s="839"/>
      <c r="S123" s="840"/>
      <c r="T123" s="686"/>
      <c r="U123" s="621"/>
      <c r="V123" s="622"/>
      <c r="W123" s="622"/>
      <c r="X123" s="622"/>
      <c r="Y123" s="622"/>
      <c r="Z123" s="622"/>
      <c r="AA123" s="623"/>
      <c r="AC123" s="398"/>
      <c r="AR123" s="624"/>
      <c r="AT123" s="624"/>
      <c r="AU123" s="624"/>
      <c r="AY123" s="624"/>
      <c r="BE123" s="625"/>
      <c r="BF123" s="625"/>
      <c r="BG123" s="625"/>
      <c r="BH123" s="625"/>
      <c r="BI123" s="625"/>
      <c r="BJ123" s="624"/>
      <c r="BK123" s="625"/>
      <c r="BL123" s="624"/>
      <c r="BM123" s="624"/>
    </row>
    <row r="124" spans="2:65" s="191" customFormat="1" ht="30" customHeight="1">
      <c r="B124" s="618"/>
      <c r="C124" s="183" t="s">
        <v>216</v>
      </c>
      <c r="D124" s="190"/>
      <c r="E124" s="94" t="s">
        <v>1659</v>
      </c>
      <c r="F124" s="1148" t="s">
        <v>1594</v>
      </c>
      <c r="G124" s="1148"/>
      <c r="H124" s="1148"/>
      <c r="I124" s="1148"/>
      <c r="J124" s="187" t="s">
        <v>198</v>
      </c>
      <c r="K124" s="188">
        <v>1</v>
      </c>
      <c r="L124" s="189"/>
      <c r="M124" s="128"/>
      <c r="N124" s="1149">
        <f t="shared" si="0"/>
        <v>0</v>
      </c>
      <c r="O124" s="1149"/>
      <c r="P124" s="1149"/>
      <c r="Q124" s="1149"/>
      <c r="R124" s="839"/>
      <c r="S124" s="840"/>
      <c r="T124" s="686"/>
      <c r="U124" s="621"/>
      <c r="V124" s="622"/>
      <c r="W124" s="622"/>
      <c r="X124" s="622"/>
      <c r="Y124" s="622"/>
      <c r="Z124" s="622"/>
      <c r="AA124" s="623"/>
      <c r="AC124" s="398"/>
      <c r="AR124" s="624"/>
      <c r="AT124" s="624"/>
      <c r="AU124" s="624"/>
      <c r="AY124" s="624"/>
      <c r="BE124" s="625"/>
      <c r="BF124" s="625"/>
      <c r="BG124" s="625"/>
      <c r="BH124" s="625"/>
      <c r="BI124" s="625"/>
      <c r="BJ124" s="624"/>
      <c r="BK124" s="625"/>
      <c r="BL124" s="624"/>
      <c r="BM124" s="624"/>
    </row>
    <row r="125" spans="2:65" s="191" customFormat="1" ht="30" customHeight="1">
      <c r="B125" s="618"/>
      <c r="C125" s="183" t="s">
        <v>217</v>
      </c>
      <c r="D125" s="190"/>
      <c r="E125" s="94" t="s">
        <v>1660</v>
      </c>
      <c r="F125" s="1148" t="s">
        <v>1601</v>
      </c>
      <c r="G125" s="1148"/>
      <c r="H125" s="1148"/>
      <c r="I125" s="1148"/>
      <c r="J125" s="187" t="s">
        <v>198</v>
      </c>
      <c r="K125" s="188">
        <v>1</v>
      </c>
      <c r="L125" s="189"/>
      <c r="M125" s="128"/>
      <c r="N125" s="1149">
        <f t="shared" si="0"/>
        <v>0</v>
      </c>
      <c r="O125" s="1149"/>
      <c r="P125" s="1149"/>
      <c r="Q125" s="1149"/>
      <c r="R125" s="839"/>
      <c r="S125" s="840"/>
      <c r="T125" s="686"/>
      <c r="U125" s="621"/>
      <c r="V125" s="622"/>
      <c r="W125" s="622"/>
      <c r="X125" s="622"/>
      <c r="Y125" s="622"/>
      <c r="Z125" s="622"/>
      <c r="AA125" s="623"/>
      <c r="AC125" s="398"/>
      <c r="AR125" s="624"/>
      <c r="AT125" s="624"/>
      <c r="AU125" s="624"/>
      <c r="AY125" s="624"/>
      <c r="BE125" s="625"/>
      <c r="BF125" s="625"/>
      <c r="BG125" s="625"/>
      <c r="BH125" s="625"/>
      <c r="BI125" s="625"/>
      <c r="BJ125" s="624"/>
      <c r="BK125" s="625"/>
      <c r="BL125" s="624"/>
      <c r="BM125" s="624"/>
    </row>
    <row r="126" spans="2:65" s="191" customFormat="1" ht="30" customHeight="1">
      <c r="B126" s="618"/>
      <c r="C126" s="183" t="s">
        <v>218</v>
      </c>
      <c r="D126" s="190"/>
      <c r="E126" s="94" t="s">
        <v>1661</v>
      </c>
      <c r="F126" s="1148" t="s">
        <v>1612</v>
      </c>
      <c r="G126" s="1148"/>
      <c r="H126" s="1148"/>
      <c r="I126" s="1148"/>
      <c r="J126" s="187" t="s">
        <v>198</v>
      </c>
      <c r="K126" s="188">
        <v>10</v>
      </c>
      <c r="L126" s="189"/>
      <c r="M126" s="128"/>
      <c r="N126" s="1149">
        <f t="shared" si="0"/>
        <v>0</v>
      </c>
      <c r="O126" s="1149"/>
      <c r="P126" s="1149"/>
      <c r="Q126" s="1149"/>
      <c r="R126" s="839"/>
      <c r="S126" s="840"/>
      <c r="T126" s="686"/>
      <c r="U126" s="621"/>
      <c r="V126" s="622"/>
      <c r="W126" s="622"/>
      <c r="X126" s="622"/>
      <c r="Y126" s="622"/>
      <c r="Z126" s="622"/>
      <c r="AA126" s="623"/>
      <c r="AC126" s="398"/>
      <c r="AR126" s="624"/>
      <c r="AT126" s="624"/>
      <c r="AU126" s="624"/>
      <c r="AY126" s="624"/>
      <c r="BE126" s="625"/>
      <c r="BF126" s="625"/>
      <c r="BG126" s="625"/>
      <c r="BH126" s="625"/>
      <c r="BI126" s="625"/>
      <c r="BJ126" s="624"/>
      <c r="BK126" s="625"/>
      <c r="BL126" s="624"/>
      <c r="BM126" s="624"/>
    </row>
    <row r="127" spans="2:65" s="191" customFormat="1" ht="30" customHeight="1">
      <c r="B127" s="618"/>
      <c r="D127" s="190"/>
      <c r="E127" s="94"/>
      <c r="F127" s="995" t="s">
        <v>547</v>
      </c>
      <c r="G127" s="996"/>
      <c r="H127" s="996"/>
      <c r="I127" s="997"/>
      <c r="J127" s="187"/>
      <c r="K127" s="188"/>
      <c r="L127" s="189"/>
      <c r="M127" s="128"/>
      <c r="N127" s="1150"/>
      <c r="O127" s="1151"/>
      <c r="P127" s="1151"/>
      <c r="Q127" s="1152"/>
      <c r="R127" s="839"/>
      <c r="S127" s="840"/>
      <c r="T127" s="686"/>
      <c r="U127" s="621"/>
      <c r="V127" s="622"/>
      <c r="W127" s="622"/>
      <c r="X127" s="622"/>
      <c r="Y127" s="622"/>
      <c r="Z127" s="622"/>
      <c r="AA127" s="623"/>
      <c r="AC127" s="398"/>
      <c r="AR127" s="624"/>
      <c r="AT127" s="624"/>
      <c r="AU127" s="624"/>
      <c r="AY127" s="624"/>
      <c r="BE127" s="625"/>
      <c r="BF127" s="625"/>
      <c r="BG127" s="625"/>
      <c r="BH127" s="625"/>
      <c r="BI127" s="625"/>
      <c r="BJ127" s="624"/>
      <c r="BK127" s="625"/>
      <c r="BL127" s="624"/>
      <c r="BM127" s="624"/>
    </row>
    <row r="128" spans="2:65" s="191" customFormat="1" ht="30" customHeight="1">
      <c r="B128" s="618"/>
      <c r="C128" s="183" t="s">
        <v>219</v>
      </c>
      <c r="D128" s="190"/>
      <c r="E128" s="94" t="s">
        <v>1662</v>
      </c>
      <c r="F128" s="1148" t="s">
        <v>1639</v>
      </c>
      <c r="G128" s="1148"/>
      <c r="H128" s="1148"/>
      <c r="I128" s="1148"/>
      <c r="J128" s="187" t="s">
        <v>198</v>
      </c>
      <c r="K128" s="188">
        <v>1</v>
      </c>
      <c r="L128" s="189"/>
      <c r="M128" s="128"/>
      <c r="N128" s="1149">
        <f>ROUND(L128*K128,2)</f>
        <v>0</v>
      </c>
      <c r="O128" s="1149"/>
      <c r="P128" s="1149"/>
      <c r="Q128" s="1149"/>
      <c r="R128" s="839"/>
      <c r="S128" s="840"/>
      <c r="T128" s="686"/>
      <c r="U128" s="621"/>
      <c r="V128" s="622"/>
      <c r="W128" s="622"/>
      <c r="X128" s="622"/>
      <c r="Y128" s="622"/>
      <c r="Z128" s="622"/>
      <c r="AA128" s="623"/>
      <c r="AC128" s="398"/>
      <c r="AR128" s="624"/>
      <c r="AT128" s="624"/>
      <c r="AU128" s="624"/>
      <c r="AY128" s="624"/>
      <c r="BE128" s="625"/>
      <c r="BF128" s="625"/>
      <c r="BG128" s="625"/>
      <c r="BH128" s="625"/>
      <c r="BI128" s="625"/>
      <c r="BJ128" s="624"/>
      <c r="BK128" s="625"/>
      <c r="BL128" s="624"/>
      <c r="BM128" s="624"/>
    </row>
    <row r="129" spans="2:65" s="191" customFormat="1" ht="30" customHeight="1">
      <c r="B129" s="618"/>
      <c r="C129" s="183" t="s">
        <v>220</v>
      </c>
      <c r="D129" s="190"/>
      <c r="E129" s="94" t="s">
        <v>1663</v>
      </c>
      <c r="F129" s="1148" t="s">
        <v>1598</v>
      </c>
      <c r="G129" s="1148"/>
      <c r="H129" s="1148"/>
      <c r="I129" s="1148"/>
      <c r="J129" s="187" t="s">
        <v>198</v>
      </c>
      <c r="K129" s="188">
        <v>1</v>
      </c>
      <c r="L129" s="189"/>
      <c r="M129" s="128"/>
      <c r="N129" s="1149">
        <f>ROUND(L129*K129,2)</f>
        <v>0</v>
      </c>
      <c r="O129" s="1149"/>
      <c r="P129" s="1149"/>
      <c r="Q129" s="1149"/>
      <c r="R129" s="839"/>
      <c r="S129" s="840"/>
      <c r="T129" s="686"/>
      <c r="U129" s="621"/>
      <c r="V129" s="622"/>
      <c r="W129" s="622"/>
      <c r="X129" s="622"/>
      <c r="Y129" s="622"/>
      <c r="Z129" s="622"/>
      <c r="AA129" s="623"/>
      <c r="AC129" s="398"/>
      <c r="AR129" s="624"/>
      <c r="AT129" s="624"/>
      <c r="AU129" s="624"/>
      <c r="AY129" s="624"/>
      <c r="BE129" s="625"/>
      <c r="BF129" s="625"/>
      <c r="BG129" s="625"/>
      <c r="BH129" s="625"/>
      <c r="BI129" s="625"/>
      <c r="BJ129" s="624"/>
      <c r="BK129" s="625"/>
      <c r="BL129" s="624"/>
      <c r="BM129" s="624"/>
    </row>
    <row r="130" spans="2:65" s="191" customFormat="1" ht="30" customHeight="1">
      <c r="B130" s="618"/>
      <c r="C130" s="183" t="s">
        <v>221</v>
      </c>
      <c r="D130" s="190"/>
      <c r="E130" s="94" t="s">
        <v>1664</v>
      </c>
      <c r="F130" s="1148" t="s">
        <v>1638</v>
      </c>
      <c r="G130" s="1148"/>
      <c r="H130" s="1148"/>
      <c r="I130" s="1148"/>
      <c r="J130" s="187" t="s">
        <v>198</v>
      </c>
      <c r="K130" s="188">
        <v>1</v>
      </c>
      <c r="L130" s="189"/>
      <c r="M130" s="128"/>
      <c r="N130" s="1149">
        <f>ROUND(L130*K130,2)</f>
        <v>0</v>
      </c>
      <c r="O130" s="1149"/>
      <c r="P130" s="1149"/>
      <c r="Q130" s="1149"/>
      <c r="R130" s="839"/>
      <c r="S130" s="840"/>
      <c r="T130" s="686" t="s">
        <v>5</v>
      </c>
      <c r="U130" s="621" t="s">
        <v>36</v>
      </c>
      <c r="V130" s="622">
        <v>0</v>
      </c>
      <c r="W130" s="622">
        <f>V130*K130</f>
        <v>0</v>
      </c>
      <c r="X130" s="622">
        <v>0</v>
      </c>
      <c r="Y130" s="622">
        <f>X130*K130</f>
        <v>0</v>
      </c>
      <c r="Z130" s="622">
        <v>0</v>
      </c>
      <c r="AA130" s="623">
        <f>Z130*K130</f>
        <v>0</v>
      </c>
      <c r="AC130" s="398"/>
      <c r="AR130" s="624" t="s">
        <v>128</v>
      </c>
      <c r="AT130" s="624" t="s">
        <v>126</v>
      </c>
      <c r="AU130" s="624" t="s">
        <v>80</v>
      </c>
      <c r="AY130" s="624" t="s">
        <v>125</v>
      </c>
      <c r="BE130" s="625">
        <f>IF(U130="základní",N130,0)</f>
        <v>0</v>
      </c>
      <c r="BF130" s="625">
        <f>IF(U130="snížená",N130,0)</f>
        <v>0</v>
      </c>
      <c r="BG130" s="625">
        <f>IF(U130="zákl. přenesená",N130,0)</f>
        <v>0</v>
      </c>
      <c r="BH130" s="625">
        <f>IF(U130="sníž. přenesená",N130,0)</f>
        <v>0</v>
      </c>
      <c r="BI130" s="625">
        <f>IF(U130="nulová",N130,0)</f>
        <v>0</v>
      </c>
      <c r="BJ130" s="624" t="s">
        <v>80</v>
      </c>
      <c r="BK130" s="625">
        <f>ROUND(L130*K130,2)</f>
        <v>0</v>
      </c>
      <c r="BL130" s="624" t="s">
        <v>128</v>
      </c>
      <c r="BM130" s="624" t="s">
        <v>138</v>
      </c>
    </row>
    <row r="131" spans="2:65" s="191" customFormat="1" ht="30" customHeight="1">
      <c r="B131" s="618"/>
      <c r="D131" s="190"/>
      <c r="E131" s="94"/>
      <c r="F131" s="995" t="s">
        <v>1592</v>
      </c>
      <c r="G131" s="996"/>
      <c r="H131" s="996"/>
      <c r="I131" s="997"/>
      <c r="J131" s="187"/>
      <c r="K131" s="188"/>
      <c r="L131" s="189"/>
      <c r="M131" s="128"/>
      <c r="N131" s="1150"/>
      <c r="O131" s="1151"/>
      <c r="P131" s="1151"/>
      <c r="Q131" s="1152"/>
      <c r="R131" s="839"/>
      <c r="S131" s="840"/>
      <c r="T131" s="841"/>
      <c r="U131" s="621"/>
      <c r="V131" s="622"/>
      <c r="W131" s="622"/>
      <c r="X131" s="622"/>
      <c r="Y131" s="622"/>
      <c r="Z131" s="622"/>
      <c r="AA131" s="623"/>
      <c r="AC131" s="398"/>
      <c r="AR131" s="624"/>
      <c r="AT131" s="624"/>
      <c r="AU131" s="624"/>
      <c r="AY131" s="624"/>
      <c r="BE131" s="625"/>
      <c r="BF131" s="625"/>
      <c r="BG131" s="625"/>
      <c r="BH131" s="625"/>
      <c r="BI131" s="625"/>
      <c r="BJ131" s="624"/>
      <c r="BK131" s="625"/>
      <c r="BL131" s="624"/>
      <c r="BM131" s="624"/>
    </row>
    <row r="132" spans="2:63" s="842" customFormat="1" ht="30" customHeight="1">
      <c r="B132" s="843"/>
      <c r="C132" s="183" t="s">
        <v>222</v>
      </c>
      <c r="D132" s="192"/>
      <c r="E132" s="94" t="s">
        <v>1665</v>
      </c>
      <c r="F132" s="960" t="s">
        <v>1591</v>
      </c>
      <c r="G132" s="1137"/>
      <c r="H132" s="1137"/>
      <c r="I132" s="1137"/>
      <c r="J132" s="138" t="s">
        <v>131</v>
      </c>
      <c r="K132" s="193">
        <v>1</v>
      </c>
      <c r="L132" s="194"/>
      <c r="M132" s="128"/>
      <c r="N132" s="1138">
        <f>ROUND(L132*K132,2)</f>
        <v>0</v>
      </c>
      <c r="O132" s="1138"/>
      <c r="P132" s="1138"/>
      <c r="Q132" s="1138"/>
      <c r="R132" s="844"/>
      <c r="S132" s="845"/>
      <c r="T132" s="846"/>
      <c r="U132" s="847"/>
      <c r="V132" s="847"/>
      <c r="W132" s="848">
        <f>SUM(W133:W133)</f>
        <v>0</v>
      </c>
      <c r="X132" s="847"/>
      <c r="Y132" s="848">
        <f>SUM(Y133:Y133)</f>
        <v>0</v>
      </c>
      <c r="Z132" s="847"/>
      <c r="AA132" s="849">
        <f>SUM(AA133:AA133)</f>
        <v>0</v>
      </c>
      <c r="AC132" s="398"/>
      <c r="AR132" s="850" t="s">
        <v>76</v>
      </c>
      <c r="AT132" s="851" t="s">
        <v>68</v>
      </c>
      <c r="AU132" s="851" t="s">
        <v>76</v>
      </c>
      <c r="AY132" s="850" t="s">
        <v>125</v>
      </c>
      <c r="BK132" s="852">
        <f>SUM(BK133:BK133)</f>
        <v>0</v>
      </c>
    </row>
    <row r="133" spans="2:47" s="249" customFormat="1" ht="30" customHeight="1">
      <c r="B133" s="247"/>
      <c r="C133" s="183" t="s">
        <v>223</v>
      </c>
      <c r="D133" s="195"/>
      <c r="E133" s="94" t="s">
        <v>1666</v>
      </c>
      <c r="F133" s="954" t="s">
        <v>206</v>
      </c>
      <c r="G133" s="954"/>
      <c r="H133" s="954"/>
      <c r="I133" s="954"/>
      <c r="J133" s="103" t="s">
        <v>2227</v>
      </c>
      <c r="K133" s="45">
        <v>1</v>
      </c>
      <c r="L133" s="197"/>
      <c r="M133" s="128"/>
      <c r="N133" s="948">
        <f>ROUND(L133*K133,2)</f>
        <v>0</v>
      </c>
      <c r="O133" s="948"/>
      <c r="P133" s="948"/>
      <c r="Q133" s="948"/>
      <c r="R133" s="248"/>
      <c r="T133" s="639"/>
      <c r="U133" s="87"/>
      <c r="V133" s="87"/>
      <c r="W133" s="87"/>
      <c r="X133" s="87"/>
      <c r="Y133" s="87"/>
      <c r="Z133" s="87"/>
      <c r="AA133" s="275"/>
      <c r="AC133" s="398"/>
      <c r="AU133" s="240" t="s">
        <v>76</v>
      </c>
    </row>
    <row r="134" spans="2:65" s="249" customFormat="1" ht="30" customHeight="1">
      <c r="B134" s="247"/>
      <c r="C134" s="183" t="s">
        <v>224</v>
      </c>
      <c r="D134" s="195"/>
      <c r="E134" s="94" t="s">
        <v>1667</v>
      </c>
      <c r="F134" s="954" t="s">
        <v>2226</v>
      </c>
      <c r="G134" s="954"/>
      <c r="H134" s="954"/>
      <c r="I134" s="954"/>
      <c r="J134" s="103" t="s">
        <v>2227</v>
      </c>
      <c r="K134" s="142">
        <v>1</v>
      </c>
      <c r="L134" s="197"/>
      <c r="M134" s="128"/>
      <c r="N134" s="948">
        <f>ROUND(L134*K134,2)</f>
        <v>0</v>
      </c>
      <c r="O134" s="948"/>
      <c r="P134" s="948"/>
      <c r="Q134" s="948"/>
      <c r="R134" s="248"/>
      <c r="T134" s="640" t="s">
        <v>5</v>
      </c>
      <c r="U134" s="641" t="s">
        <v>36</v>
      </c>
      <c r="V134" s="642">
        <v>0</v>
      </c>
      <c r="W134" s="642" t="e">
        <f>V134*#REF!</f>
        <v>#REF!</v>
      </c>
      <c r="X134" s="642">
        <v>0</v>
      </c>
      <c r="Y134" s="642" t="e">
        <f>X134*#REF!</f>
        <v>#REF!</v>
      </c>
      <c r="Z134" s="642">
        <v>0</v>
      </c>
      <c r="AA134" s="643" t="e">
        <f>Z134*#REF!</f>
        <v>#REF!</v>
      </c>
      <c r="AC134" s="398"/>
      <c r="AU134" s="240" t="s">
        <v>76</v>
      </c>
      <c r="AY134" s="240" t="s">
        <v>125</v>
      </c>
      <c r="BE134" s="250">
        <f>IF(U134="základní",#REF!,0)</f>
        <v>0</v>
      </c>
      <c r="BF134" s="250" t="e">
        <f>IF(U134="snížená",#REF!,0)</f>
        <v>#REF!</v>
      </c>
      <c r="BG134" s="250">
        <f>IF(U134="zákl. přenesená",#REF!,0)</f>
        <v>0</v>
      </c>
      <c r="BH134" s="250">
        <f>IF(U134="sníž. přenesená",#REF!,0)</f>
        <v>0</v>
      </c>
      <c r="BI134" s="250">
        <f>IF(U134="nulová",#REF!,0)</f>
        <v>0</v>
      </c>
      <c r="BJ134" s="240" t="s">
        <v>80</v>
      </c>
      <c r="BK134" s="250" t="e">
        <f>ROUND(#REF!*#REF!,2)</f>
        <v>#REF!</v>
      </c>
      <c r="BL134" s="240" t="s">
        <v>128</v>
      </c>
      <c r="BM134" s="240" t="s">
        <v>139</v>
      </c>
    </row>
    <row r="135" spans="2:63" s="398" customFormat="1" ht="29.85" customHeight="1">
      <c r="B135" s="399"/>
      <c r="C135" s="199"/>
      <c r="D135" s="200" t="s">
        <v>1643</v>
      </c>
      <c r="E135" s="200"/>
      <c r="F135" s="200"/>
      <c r="G135" s="200"/>
      <c r="H135" s="200"/>
      <c r="I135" s="200"/>
      <c r="J135" s="200"/>
      <c r="K135" s="200"/>
      <c r="L135" s="200"/>
      <c r="M135" s="128"/>
      <c r="N135" s="1157"/>
      <c r="O135" s="1158"/>
      <c r="P135" s="1158"/>
      <c r="Q135" s="1158"/>
      <c r="R135" s="853"/>
      <c r="S135" s="854"/>
      <c r="T135" s="401"/>
      <c r="U135" s="181"/>
      <c r="V135" s="181"/>
      <c r="W135" s="402">
        <f>SUM(W136:W137)</f>
        <v>0</v>
      </c>
      <c r="X135" s="181"/>
      <c r="Y135" s="402">
        <f>SUM(Y136:Y137)</f>
        <v>0</v>
      </c>
      <c r="Z135" s="181"/>
      <c r="AA135" s="403">
        <f>SUM(AA136:AA137)</f>
        <v>0</v>
      </c>
      <c r="AR135" s="404" t="s">
        <v>76</v>
      </c>
      <c r="AT135" s="405" t="s">
        <v>68</v>
      </c>
      <c r="AU135" s="405" t="s">
        <v>76</v>
      </c>
      <c r="AY135" s="404" t="s">
        <v>125</v>
      </c>
      <c r="BK135" s="406">
        <f>SUM(BK136:BK137)</f>
        <v>0</v>
      </c>
    </row>
    <row r="136" spans="1:63" s="398" customFormat="1" ht="37.35" customHeight="1">
      <c r="A136" s="181"/>
      <c r="B136" s="399"/>
      <c r="C136" s="183" t="s">
        <v>225</v>
      </c>
      <c r="D136" s="184"/>
      <c r="E136" s="94" t="s">
        <v>1668</v>
      </c>
      <c r="F136" s="960" t="s">
        <v>1596</v>
      </c>
      <c r="G136" s="960"/>
      <c r="H136" s="960"/>
      <c r="I136" s="960"/>
      <c r="J136" s="94" t="s">
        <v>131</v>
      </c>
      <c r="K136" s="95">
        <v>1</v>
      </c>
      <c r="L136" s="185"/>
      <c r="M136" s="128"/>
      <c r="N136" s="948">
        <f aca="true" t="shared" si="1" ref="N136:N147">ROUND(L136*K136,2)</f>
        <v>0</v>
      </c>
      <c r="O136" s="948"/>
      <c r="P136" s="948"/>
      <c r="Q136" s="948"/>
      <c r="R136" s="199"/>
      <c r="S136" s="199"/>
      <c r="T136" s="181"/>
      <c r="U136" s="181"/>
      <c r="V136" s="181"/>
      <c r="W136" s="402"/>
      <c r="X136" s="181"/>
      <c r="Y136" s="402"/>
      <c r="Z136" s="181"/>
      <c r="AA136" s="402"/>
      <c r="AB136" s="181"/>
      <c r="AU136" s="405"/>
      <c r="AY136" s="404"/>
      <c r="BK136" s="406"/>
    </row>
    <row r="137" spans="2:65" s="191" customFormat="1" ht="22.5" customHeight="1">
      <c r="B137" s="617"/>
      <c r="C137" s="183" t="s">
        <v>226</v>
      </c>
      <c r="D137" s="184"/>
      <c r="E137" s="94" t="s">
        <v>1669</v>
      </c>
      <c r="F137" s="1153" t="s">
        <v>1642</v>
      </c>
      <c r="G137" s="1154"/>
      <c r="H137" s="1154"/>
      <c r="I137" s="1154"/>
      <c r="J137" s="201" t="s">
        <v>198</v>
      </c>
      <c r="K137" s="95">
        <v>1</v>
      </c>
      <c r="L137" s="189"/>
      <c r="M137" s="128"/>
      <c r="N137" s="1149">
        <f t="shared" si="1"/>
        <v>0</v>
      </c>
      <c r="O137" s="1149"/>
      <c r="P137" s="1149"/>
      <c r="Q137" s="1149"/>
      <c r="R137" s="855"/>
      <c r="S137" s="840"/>
      <c r="T137" s="686" t="s">
        <v>5</v>
      </c>
      <c r="U137" s="621" t="s">
        <v>36</v>
      </c>
      <c r="V137" s="622">
        <v>0</v>
      </c>
      <c r="W137" s="622">
        <f>V137*K156</f>
        <v>0</v>
      </c>
      <c r="X137" s="622">
        <v>0</v>
      </c>
      <c r="Y137" s="622">
        <f>X137*K156</f>
        <v>0</v>
      </c>
      <c r="Z137" s="622">
        <v>0</v>
      </c>
      <c r="AA137" s="623">
        <f>Z137*K156</f>
        <v>0</v>
      </c>
      <c r="AC137" s="398"/>
      <c r="AT137" s="624" t="s">
        <v>126</v>
      </c>
      <c r="AU137" s="624" t="s">
        <v>80</v>
      </c>
      <c r="AY137" s="624" t="s">
        <v>125</v>
      </c>
      <c r="BE137" s="625">
        <f>IF(U137="základní",N156,0)</f>
        <v>0</v>
      </c>
      <c r="BF137" s="625">
        <f>IF(U137="snížená",N156,0)</f>
        <v>0</v>
      </c>
      <c r="BG137" s="625">
        <f>IF(U137="zákl. přenesená",N156,0)</f>
        <v>0</v>
      </c>
      <c r="BH137" s="625">
        <f>IF(U137="sníž. přenesená",N156,0)</f>
        <v>0</v>
      </c>
      <c r="BI137" s="625">
        <f>IF(U137="nulová",N156,0)</f>
        <v>0</v>
      </c>
      <c r="BJ137" s="624" t="s">
        <v>80</v>
      </c>
      <c r="BK137" s="625">
        <f>ROUND(L156*K156,2)</f>
        <v>0</v>
      </c>
      <c r="BL137" s="624" t="s">
        <v>128</v>
      </c>
      <c r="BM137" s="624" t="s">
        <v>195</v>
      </c>
    </row>
    <row r="138" spans="2:65" s="191" customFormat="1" ht="22.5" customHeight="1">
      <c r="B138" s="617"/>
      <c r="C138" s="183" t="s">
        <v>227</v>
      </c>
      <c r="D138" s="184"/>
      <c r="E138" s="94" t="s">
        <v>1670</v>
      </c>
      <c r="F138" s="1153" t="s">
        <v>1608</v>
      </c>
      <c r="G138" s="1154"/>
      <c r="H138" s="1154"/>
      <c r="I138" s="1154"/>
      <c r="J138" s="201" t="s">
        <v>198</v>
      </c>
      <c r="K138" s="95">
        <v>1</v>
      </c>
      <c r="L138" s="189"/>
      <c r="M138" s="128"/>
      <c r="N138" s="1149">
        <f t="shared" si="1"/>
        <v>0</v>
      </c>
      <c r="O138" s="1149"/>
      <c r="P138" s="1149"/>
      <c r="Q138" s="1149"/>
      <c r="R138" s="855"/>
      <c r="S138" s="840"/>
      <c r="T138" s="686" t="s">
        <v>5</v>
      </c>
      <c r="U138" s="621" t="s">
        <v>36</v>
      </c>
      <c r="V138" s="622">
        <v>0</v>
      </c>
      <c r="W138" s="622">
        <f>V138*K157</f>
        <v>0</v>
      </c>
      <c r="X138" s="622">
        <v>0</v>
      </c>
      <c r="Y138" s="622">
        <f>X138*K157</f>
        <v>0</v>
      </c>
      <c r="Z138" s="622">
        <v>0</v>
      </c>
      <c r="AA138" s="623">
        <f>Z138*K157</f>
        <v>0</v>
      </c>
      <c r="AC138" s="398"/>
      <c r="AR138" s="624" t="s">
        <v>128</v>
      </c>
      <c r="AT138" s="624" t="s">
        <v>126</v>
      </c>
      <c r="AU138" s="624" t="s">
        <v>80</v>
      </c>
      <c r="AY138" s="624" t="s">
        <v>125</v>
      </c>
      <c r="BE138" s="625">
        <f>IF(U138="základní",N157,0)</f>
        <v>0</v>
      </c>
      <c r="BF138" s="625">
        <f>IF(U138="snížená",N157,0)</f>
        <v>0</v>
      </c>
      <c r="BG138" s="625">
        <f>IF(U138="zákl. přenesená",N157,0)</f>
        <v>0</v>
      </c>
      <c r="BH138" s="625">
        <f>IF(U138="sníž. přenesená",N157,0)</f>
        <v>0</v>
      </c>
      <c r="BI138" s="625">
        <f>IF(U138="nulová",N157,0)</f>
        <v>0</v>
      </c>
      <c r="BJ138" s="624" t="s">
        <v>80</v>
      </c>
      <c r="BK138" s="625">
        <f>ROUND(L157*K157,2)</f>
        <v>0</v>
      </c>
      <c r="BL138" s="624" t="s">
        <v>128</v>
      </c>
      <c r="BM138" s="624" t="s">
        <v>196</v>
      </c>
    </row>
    <row r="139" spans="2:65" s="191" customFormat="1" ht="22.5" customHeight="1">
      <c r="B139" s="617"/>
      <c r="C139" s="183" t="s">
        <v>228</v>
      </c>
      <c r="D139" s="184"/>
      <c r="E139" s="94" t="s">
        <v>1671</v>
      </c>
      <c r="F139" s="1153" t="s">
        <v>1641</v>
      </c>
      <c r="G139" s="1154"/>
      <c r="H139" s="1154"/>
      <c r="I139" s="1154"/>
      <c r="J139" s="201" t="s">
        <v>198</v>
      </c>
      <c r="K139" s="95">
        <v>1</v>
      </c>
      <c r="L139" s="189"/>
      <c r="M139" s="128"/>
      <c r="N139" s="1149">
        <f t="shared" si="1"/>
        <v>0</v>
      </c>
      <c r="O139" s="1149"/>
      <c r="P139" s="1149"/>
      <c r="Q139" s="1149"/>
      <c r="R139" s="855"/>
      <c r="S139" s="840"/>
      <c r="T139" s="686" t="s">
        <v>5</v>
      </c>
      <c r="U139" s="621" t="s">
        <v>36</v>
      </c>
      <c r="V139" s="622">
        <v>0</v>
      </c>
      <c r="W139" s="622">
        <f>V139*K158</f>
        <v>0</v>
      </c>
      <c r="X139" s="622">
        <v>0</v>
      </c>
      <c r="Y139" s="622">
        <f>X139*K158</f>
        <v>0</v>
      </c>
      <c r="Z139" s="622">
        <v>0</v>
      </c>
      <c r="AA139" s="623">
        <f>Z139*K158</f>
        <v>0</v>
      </c>
      <c r="AC139" s="398"/>
      <c r="AR139" s="624" t="s">
        <v>128</v>
      </c>
      <c r="AT139" s="624" t="s">
        <v>126</v>
      </c>
      <c r="AU139" s="624" t="s">
        <v>80</v>
      </c>
      <c r="AY139" s="624" t="s">
        <v>125</v>
      </c>
      <c r="BE139" s="625">
        <f>IF(U139="základní",N158,0)</f>
        <v>0</v>
      </c>
      <c r="BF139" s="625">
        <f>IF(U139="snížená",N158,0)</f>
        <v>0</v>
      </c>
      <c r="BG139" s="625">
        <f>IF(U139="zákl. přenesená",N158,0)</f>
        <v>0</v>
      </c>
      <c r="BH139" s="625">
        <f>IF(U139="sníž. přenesená",N158,0)</f>
        <v>0</v>
      </c>
      <c r="BI139" s="625">
        <f>IF(U139="nulová",N158,0)</f>
        <v>0</v>
      </c>
      <c r="BJ139" s="624" t="s">
        <v>80</v>
      </c>
      <c r="BK139" s="625">
        <f>ROUND(L158*K158,2)</f>
        <v>0</v>
      </c>
      <c r="BL139" s="624" t="s">
        <v>128</v>
      </c>
      <c r="BM139" s="624" t="s">
        <v>197</v>
      </c>
    </row>
    <row r="140" spans="1:65" s="191" customFormat="1" ht="31.5" customHeight="1">
      <c r="A140" s="617"/>
      <c r="B140" s="617"/>
      <c r="C140" s="183" t="s">
        <v>229</v>
      </c>
      <c r="D140" s="184"/>
      <c r="E140" s="94" t="s">
        <v>1672</v>
      </c>
      <c r="F140" s="1153" t="s">
        <v>1606</v>
      </c>
      <c r="G140" s="1154"/>
      <c r="H140" s="1154"/>
      <c r="I140" s="1154"/>
      <c r="J140" s="201" t="s">
        <v>198</v>
      </c>
      <c r="K140" s="95">
        <v>1</v>
      </c>
      <c r="L140" s="189"/>
      <c r="M140" s="128"/>
      <c r="N140" s="1149">
        <f t="shared" si="1"/>
        <v>0</v>
      </c>
      <c r="O140" s="1149"/>
      <c r="P140" s="1149"/>
      <c r="Q140" s="1149"/>
      <c r="R140" s="855"/>
      <c r="S140" s="855"/>
      <c r="T140" s="620" t="s">
        <v>5</v>
      </c>
      <c r="U140" s="621" t="s">
        <v>36</v>
      </c>
      <c r="V140" s="622">
        <v>0</v>
      </c>
      <c r="W140" s="622">
        <f>V140*K176</f>
        <v>0</v>
      </c>
      <c r="X140" s="622">
        <v>0</v>
      </c>
      <c r="Y140" s="622">
        <f>X140*K176</f>
        <v>0</v>
      </c>
      <c r="Z140" s="622">
        <v>0</v>
      </c>
      <c r="AA140" s="623">
        <f>Z140*K176</f>
        <v>0</v>
      </c>
      <c r="AC140" s="398"/>
      <c r="AR140" s="624" t="s">
        <v>128</v>
      </c>
      <c r="AT140" s="624" t="s">
        <v>126</v>
      </c>
      <c r="AU140" s="624" t="s">
        <v>76</v>
      </c>
      <c r="AY140" s="624" t="s">
        <v>125</v>
      </c>
      <c r="BE140" s="625">
        <f>IF(U140="základní",N176,0)</f>
        <v>0</v>
      </c>
      <c r="BF140" s="625">
        <f>IF(U140="snížená",N176,0)</f>
        <v>0</v>
      </c>
      <c r="BG140" s="625">
        <f>IF(U140="zákl. přenesená",N176,0)</f>
        <v>0</v>
      </c>
      <c r="BH140" s="625">
        <f>IF(U140="sníž. přenesená",N176,0)</f>
        <v>0</v>
      </c>
      <c r="BI140" s="625">
        <f>IF(U140="nulová",N176,0)</f>
        <v>0</v>
      </c>
      <c r="BJ140" s="624" t="s">
        <v>80</v>
      </c>
      <c r="BK140" s="625">
        <f>ROUND(L176*K176,2)</f>
        <v>0</v>
      </c>
      <c r="BL140" s="624" t="s">
        <v>128</v>
      </c>
      <c r="BM140" s="624" t="s">
        <v>185</v>
      </c>
    </row>
    <row r="141" spans="1:65" s="191" customFormat="1" ht="31.5" customHeight="1">
      <c r="A141" s="617"/>
      <c r="B141" s="617"/>
      <c r="C141" s="183" t="s">
        <v>230</v>
      </c>
      <c r="D141" s="184"/>
      <c r="E141" s="94" t="s">
        <v>1673</v>
      </c>
      <c r="F141" s="1004" t="s">
        <v>1640</v>
      </c>
      <c r="G141" s="1004"/>
      <c r="H141" s="1004"/>
      <c r="I141" s="1004"/>
      <c r="J141" s="202" t="s">
        <v>198</v>
      </c>
      <c r="K141" s="95">
        <v>2</v>
      </c>
      <c r="L141" s="189"/>
      <c r="M141" s="128"/>
      <c r="N141" s="1149">
        <f t="shared" si="1"/>
        <v>0</v>
      </c>
      <c r="O141" s="1149"/>
      <c r="P141" s="1149"/>
      <c r="Q141" s="1149"/>
      <c r="R141" s="855"/>
      <c r="S141" s="855"/>
      <c r="T141" s="620" t="s">
        <v>5</v>
      </c>
      <c r="U141" s="621" t="s">
        <v>36</v>
      </c>
      <c r="V141" s="622">
        <v>0</v>
      </c>
      <c r="W141" s="622">
        <f>V141*K177</f>
        <v>0</v>
      </c>
      <c r="X141" s="622">
        <v>0</v>
      </c>
      <c r="Y141" s="622">
        <f>X141*K177</f>
        <v>0</v>
      </c>
      <c r="Z141" s="622">
        <v>0</v>
      </c>
      <c r="AA141" s="623">
        <f>Z141*K177</f>
        <v>0</v>
      </c>
      <c r="AC141" s="398"/>
      <c r="AR141" s="624" t="s">
        <v>128</v>
      </c>
      <c r="AT141" s="624" t="s">
        <v>126</v>
      </c>
      <c r="AU141" s="624" t="s">
        <v>76</v>
      </c>
      <c r="AY141" s="624" t="s">
        <v>125</v>
      </c>
      <c r="BE141" s="625">
        <f>IF(U141="základní",N177,0)</f>
        <v>0</v>
      </c>
      <c r="BF141" s="625">
        <f>IF(U141="snížená",N177,0)</f>
        <v>0</v>
      </c>
      <c r="BG141" s="625">
        <f>IF(U141="zákl. přenesená",N177,0)</f>
        <v>0</v>
      </c>
      <c r="BH141" s="625">
        <f>IF(U141="sníž. přenesená",N177,0)</f>
        <v>0</v>
      </c>
      <c r="BI141" s="625">
        <f>IF(U141="nulová",N177,0)</f>
        <v>0</v>
      </c>
      <c r="BJ141" s="624" t="s">
        <v>80</v>
      </c>
      <c r="BK141" s="625">
        <f>ROUND(L177*K177,2)</f>
        <v>0</v>
      </c>
      <c r="BL141" s="624" t="s">
        <v>128</v>
      </c>
      <c r="BM141" s="624" t="s">
        <v>186</v>
      </c>
    </row>
    <row r="142" spans="1:65" s="191" customFormat="1" ht="31.5" customHeight="1">
      <c r="A142" s="617"/>
      <c r="B142" s="617"/>
      <c r="C142" s="183" t="s">
        <v>231</v>
      </c>
      <c r="D142" s="184"/>
      <c r="E142" s="94" t="s">
        <v>1674</v>
      </c>
      <c r="F142" s="1153" t="s">
        <v>1622</v>
      </c>
      <c r="G142" s="1154"/>
      <c r="H142" s="1154"/>
      <c r="I142" s="1154"/>
      <c r="J142" s="202" t="s">
        <v>198</v>
      </c>
      <c r="K142" s="203">
        <v>1</v>
      </c>
      <c r="L142" s="189"/>
      <c r="M142" s="128"/>
      <c r="N142" s="1149">
        <f t="shared" si="1"/>
        <v>0</v>
      </c>
      <c r="O142" s="1149"/>
      <c r="P142" s="1149"/>
      <c r="Q142" s="1149"/>
      <c r="R142" s="855"/>
      <c r="S142" s="855"/>
      <c r="T142" s="620" t="s">
        <v>5</v>
      </c>
      <c r="U142" s="621" t="s">
        <v>36</v>
      </c>
      <c r="V142" s="622">
        <v>0</v>
      </c>
      <c r="W142" s="622">
        <f>V142*K178</f>
        <v>0</v>
      </c>
      <c r="X142" s="622">
        <v>0</v>
      </c>
      <c r="Y142" s="622">
        <f>X142*K178</f>
        <v>0</v>
      </c>
      <c r="Z142" s="622">
        <v>0</v>
      </c>
      <c r="AA142" s="623">
        <f>Z142*K178</f>
        <v>0</v>
      </c>
      <c r="AC142" s="398"/>
      <c r="AR142" s="624" t="s">
        <v>128</v>
      </c>
      <c r="AT142" s="624" t="s">
        <v>126</v>
      </c>
      <c r="AU142" s="624" t="s">
        <v>76</v>
      </c>
      <c r="AY142" s="624" t="s">
        <v>125</v>
      </c>
      <c r="BE142" s="625">
        <f>IF(U142="základní",N178,0)</f>
        <v>0</v>
      </c>
      <c r="BF142" s="625">
        <f>IF(U142="snížená",N178,0)</f>
        <v>0</v>
      </c>
      <c r="BG142" s="625">
        <f>IF(U142="zákl. přenesená",N178,0)</f>
        <v>0</v>
      </c>
      <c r="BH142" s="625">
        <f>IF(U142="sníž. přenesená",N178,0)</f>
        <v>0</v>
      </c>
      <c r="BI142" s="625">
        <f>IF(U142="nulová",N178,0)</f>
        <v>0</v>
      </c>
      <c r="BJ142" s="624" t="s">
        <v>80</v>
      </c>
      <c r="BK142" s="625">
        <f>ROUND(L178*K178,2)</f>
        <v>0</v>
      </c>
      <c r="BL142" s="624" t="s">
        <v>128</v>
      </c>
      <c r="BM142" s="624" t="s">
        <v>187</v>
      </c>
    </row>
    <row r="143" spans="1:65" s="191" customFormat="1" ht="31.5" customHeight="1">
      <c r="A143" s="617"/>
      <c r="B143" s="617"/>
      <c r="C143" s="183" t="s">
        <v>232</v>
      </c>
      <c r="D143" s="184"/>
      <c r="E143" s="94" t="s">
        <v>1675</v>
      </c>
      <c r="F143" s="1004" t="s">
        <v>1605</v>
      </c>
      <c r="G143" s="1004"/>
      <c r="H143" s="1004"/>
      <c r="I143" s="1004"/>
      <c r="J143" s="202" t="s">
        <v>198</v>
      </c>
      <c r="K143" s="203">
        <v>1</v>
      </c>
      <c r="L143" s="189"/>
      <c r="M143" s="128"/>
      <c r="N143" s="1149">
        <f t="shared" si="1"/>
        <v>0</v>
      </c>
      <c r="O143" s="1149"/>
      <c r="P143" s="1149"/>
      <c r="Q143" s="1149"/>
      <c r="R143" s="855"/>
      <c r="S143" s="855"/>
      <c r="T143" s="620" t="s">
        <v>5</v>
      </c>
      <c r="U143" s="621" t="s">
        <v>36</v>
      </c>
      <c r="V143" s="622">
        <v>0</v>
      </c>
      <c r="W143" s="622">
        <f>V143*K179</f>
        <v>0</v>
      </c>
      <c r="X143" s="622">
        <v>0</v>
      </c>
      <c r="Y143" s="622">
        <f>X143*K179</f>
        <v>0</v>
      </c>
      <c r="Z143" s="622">
        <v>0</v>
      </c>
      <c r="AA143" s="623">
        <f>Z143*K179</f>
        <v>0</v>
      </c>
      <c r="AC143" s="398"/>
      <c r="AR143" s="624" t="s">
        <v>128</v>
      </c>
      <c r="AT143" s="624" t="s">
        <v>126</v>
      </c>
      <c r="AU143" s="624" t="s">
        <v>76</v>
      </c>
      <c r="AY143" s="624" t="s">
        <v>125</v>
      </c>
      <c r="BE143" s="625">
        <f>IF(U143="základní",N179,0)</f>
        <v>0</v>
      </c>
      <c r="BF143" s="625">
        <f>IF(U143="snížená",N179,0)</f>
        <v>0</v>
      </c>
      <c r="BG143" s="625">
        <f>IF(U143="zákl. přenesená",N179,0)</f>
        <v>0</v>
      </c>
      <c r="BH143" s="625">
        <f>IF(U143="sníž. přenesená",N179,0)</f>
        <v>0</v>
      </c>
      <c r="BI143" s="625">
        <f>IF(U143="nulová",N179,0)</f>
        <v>0</v>
      </c>
      <c r="BJ143" s="624" t="s">
        <v>80</v>
      </c>
      <c r="BK143" s="625">
        <f>ROUND(L179*K179,2)</f>
        <v>0</v>
      </c>
      <c r="BL143" s="624" t="s">
        <v>128</v>
      </c>
      <c r="BM143" s="624" t="s">
        <v>188</v>
      </c>
    </row>
    <row r="144" spans="1:65" s="191" customFormat="1" ht="31.5" customHeight="1">
      <c r="A144" s="617"/>
      <c r="B144" s="617"/>
      <c r="C144" s="183" t="s">
        <v>233</v>
      </c>
      <c r="D144" s="184"/>
      <c r="E144" s="94" t="s">
        <v>1676</v>
      </c>
      <c r="F144" s="1153" t="s">
        <v>1633</v>
      </c>
      <c r="G144" s="1154"/>
      <c r="H144" s="1154"/>
      <c r="I144" s="1154"/>
      <c r="J144" s="202" t="s">
        <v>198</v>
      </c>
      <c r="K144" s="203">
        <v>2</v>
      </c>
      <c r="L144" s="189"/>
      <c r="M144" s="128"/>
      <c r="N144" s="1149">
        <f t="shared" si="1"/>
        <v>0</v>
      </c>
      <c r="O144" s="1149"/>
      <c r="P144" s="1149"/>
      <c r="Q144" s="1149"/>
      <c r="R144" s="855"/>
      <c r="S144" s="855"/>
      <c r="T144" s="620" t="s">
        <v>5</v>
      </c>
      <c r="U144" s="856" t="s">
        <v>36</v>
      </c>
      <c r="V144" s="857">
        <v>0</v>
      </c>
      <c r="W144" s="857">
        <f>V144*K180</f>
        <v>0</v>
      </c>
      <c r="X144" s="857">
        <v>0</v>
      </c>
      <c r="Y144" s="857">
        <f>X144*K180</f>
        <v>0</v>
      </c>
      <c r="Z144" s="857">
        <v>0</v>
      </c>
      <c r="AA144" s="858">
        <f>Z144*K180</f>
        <v>0</v>
      </c>
      <c r="AC144" s="398"/>
      <c r="AR144" s="624" t="s">
        <v>128</v>
      </c>
      <c r="AT144" s="624" t="s">
        <v>126</v>
      </c>
      <c r="AU144" s="624" t="s">
        <v>76</v>
      </c>
      <c r="AY144" s="624" t="s">
        <v>125</v>
      </c>
      <c r="BE144" s="625">
        <f>IF(U144="základní",N180,0)</f>
        <v>0</v>
      </c>
      <c r="BF144" s="625">
        <f>IF(U144="snížená",N180,0)</f>
        <v>0</v>
      </c>
      <c r="BG144" s="625">
        <f>IF(U144="zákl. přenesená",N180,0)</f>
        <v>0</v>
      </c>
      <c r="BH144" s="625">
        <f>IF(U144="sníž. přenesená",N180,0)</f>
        <v>0</v>
      </c>
      <c r="BI144" s="625">
        <f>IF(U144="nulová",N180,0)</f>
        <v>0</v>
      </c>
      <c r="BJ144" s="624" t="s">
        <v>80</v>
      </c>
      <c r="BK144" s="625">
        <f>ROUND(L180*K180,2)</f>
        <v>0</v>
      </c>
      <c r="BL144" s="624" t="s">
        <v>128</v>
      </c>
      <c r="BM144" s="624" t="s">
        <v>189</v>
      </c>
    </row>
    <row r="145" spans="1:65" s="191" customFormat="1" ht="31.5" customHeight="1">
      <c r="A145" s="617"/>
      <c r="B145" s="617"/>
      <c r="C145" s="183" t="s">
        <v>234</v>
      </c>
      <c r="D145" s="184"/>
      <c r="E145" s="94" t="s">
        <v>1677</v>
      </c>
      <c r="F145" s="1004" t="s">
        <v>1594</v>
      </c>
      <c r="G145" s="1004"/>
      <c r="H145" s="1004"/>
      <c r="I145" s="1004"/>
      <c r="J145" s="202" t="s">
        <v>198</v>
      </c>
      <c r="K145" s="203">
        <v>1</v>
      </c>
      <c r="L145" s="189"/>
      <c r="M145" s="128"/>
      <c r="N145" s="1149">
        <f t="shared" si="1"/>
        <v>0</v>
      </c>
      <c r="O145" s="1149"/>
      <c r="P145" s="1149"/>
      <c r="Q145" s="1149"/>
      <c r="R145" s="855"/>
      <c r="S145" s="855"/>
      <c r="T145" s="679"/>
      <c r="U145" s="621"/>
      <c r="V145" s="622"/>
      <c r="W145" s="622"/>
      <c r="X145" s="622"/>
      <c r="Y145" s="622"/>
      <c r="Z145" s="622"/>
      <c r="AA145" s="622"/>
      <c r="AC145" s="398"/>
      <c r="AR145" s="624"/>
      <c r="AT145" s="624"/>
      <c r="AU145" s="624"/>
      <c r="AY145" s="624"/>
      <c r="BE145" s="625"/>
      <c r="BF145" s="625"/>
      <c r="BG145" s="625"/>
      <c r="BH145" s="625"/>
      <c r="BI145" s="625"/>
      <c r="BJ145" s="624"/>
      <c r="BK145" s="625"/>
      <c r="BL145" s="624"/>
      <c r="BM145" s="624"/>
    </row>
    <row r="146" spans="1:65" s="191" customFormat="1" ht="31.5" customHeight="1">
      <c r="A146" s="617"/>
      <c r="B146" s="617"/>
      <c r="C146" s="183" t="s">
        <v>235</v>
      </c>
      <c r="D146" s="184"/>
      <c r="E146" s="94" t="s">
        <v>1678</v>
      </c>
      <c r="F146" s="1004" t="s">
        <v>1601</v>
      </c>
      <c r="G146" s="1004"/>
      <c r="H146" s="1004"/>
      <c r="I146" s="1004"/>
      <c r="J146" s="202" t="s">
        <v>198</v>
      </c>
      <c r="K146" s="203">
        <v>1</v>
      </c>
      <c r="L146" s="189"/>
      <c r="M146" s="128"/>
      <c r="N146" s="1149">
        <f t="shared" si="1"/>
        <v>0</v>
      </c>
      <c r="O146" s="1149"/>
      <c r="P146" s="1149"/>
      <c r="Q146" s="1149"/>
      <c r="R146" s="855"/>
      <c r="S146" s="855"/>
      <c r="T146" s="679"/>
      <c r="U146" s="621"/>
      <c r="V146" s="622"/>
      <c r="W146" s="622"/>
      <c r="X146" s="622"/>
      <c r="Y146" s="622"/>
      <c r="Z146" s="622"/>
      <c r="AA146" s="622"/>
      <c r="AC146" s="398"/>
      <c r="AR146" s="624"/>
      <c r="AT146" s="624"/>
      <c r="AU146" s="624"/>
      <c r="AY146" s="624"/>
      <c r="BE146" s="625"/>
      <c r="BF146" s="625"/>
      <c r="BG146" s="625"/>
      <c r="BH146" s="625"/>
      <c r="BI146" s="625"/>
      <c r="BJ146" s="624"/>
      <c r="BK146" s="625"/>
      <c r="BL146" s="624"/>
      <c r="BM146" s="624"/>
    </row>
    <row r="147" spans="1:29" s="191" customFormat="1" ht="31.5" customHeight="1">
      <c r="A147" s="617"/>
      <c r="B147" s="617"/>
      <c r="C147" s="183" t="s">
        <v>769</v>
      </c>
      <c r="D147" s="184"/>
      <c r="E147" s="94" t="s">
        <v>1679</v>
      </c>
      <c r="F147" s="1004" t="s">
        <v>1612</v>
      </c>
      <c r="G147" s="1004"/>
      <c r="H147" s="1004"/>
      <c r="I147" s="1004"/>
      <c r="J147" s="202" t="s">
        <v>198</v>
      </c>
      <c r="K147" s="203">
        <v>10</v>
      </c>
      <c r="L147" s="189"/>
      <c r="M147" s="128"/>
      <c r="N147" s="1149">
        <f t="shared" si="1"/>
        <v>0</v>
      </c>
      <c r="O147" s="1149"/>
      <c r="P147" s="1149"/>
      <c r="Q147" s="1149"/>
      <c r="R147" s="855"/>
      <c r="S147" s="855"/>
      <c r="AC147" s="398"/>
    </row>
    <row r="148" spans="1:29" s="191" customFormat="1" ht="31.5" customHeight="1">
      <c r="A148" s="617"/>
      <c r="B148" s="617"/>
      <c r="C148" s="183"/>
      <c r="D148" s="184"/>
      <c r="E148" s="94"/>
      <c r="F148" s="1161" t="s">
        <v>547</v>
      </c>
      <c r="G148" s="1162"/>
      <c r="H148" s="1162"/>
      <c r="I148" s="1162"/>
      <c r="J148" s="202"/>
      <c r="K148" s="203"/>
      <c r="L148" s="189"/>
      <c r="M148" s="128"/>
      <c r="N148" s="1149"/>
      <c r="O148" s="1149"/>
      <c r="P148" s="1149"/>
      <c r="Q148" s="1149"/>
      <c r="R148" s="855"/>
      <c r="S148" s="855"/>
      <c r="AC148" s="398"/>
    </row>
    <row r="149" spans="1:29" s="191" customFormat="1" ht="31.5" customHeight="1">
      <c r="A149" s="617"/>
      <c r="B149" s="617"/>
      <c r="C149" s="183" t="s">
        <v>771</v>
      </c>
      <c r="D149" s="184"/>
      <c r="E149" s="94" t="s">
        <v>1680</v>
      </c>
      <c r="F149" s="1153" t="s">
        <v>1639</v>
      </c>
      <c r="G149" s="1154"/>
      <c r="H149" s="1154"/>
      <c r="I149" s="1154"/>
      <c r="J149" s="202" t="s">
        <v>198</v>
      </c>
      <c r="K149" s="203">
        <v>1</v>
      </c>
      <c r="L149" s="189"/>
      <c r="M149" s="128"/>
      <c r="N149" s="1149">
        <f>ROUND(L149*K149,2)</f>
        <v>0</v>
      </c>
      <c r="O149" s="1149"/>
      <c r="P149" s="1149"/>
      <c r="Q149" s="1149"/>
      <c r="R149" s="855"/>
      <c r="S149" s="855"/>
      <c r="AC149" s="398"/>
    </row>
    <row r="150" spans="1:29" s="191" customFormat="1" ht="31.5" customHeight="1">
      <c r="A150" s="617"/>
      <c r="B150" s="617"/>
      <c r="C150" s="183" t="s">
        <v>772</v>
      </c>
      <c r="D150" s="184"/>
      <c r="E150" s="94" t="s">
        <v>1681</v>
      </c>
      <c r="F150" s="1153" t="s">
        <v>1598</v>
      </c>
      <c r="G150" s="1154"/>
      <c r="H150" s="1154"/>
      <c r="I150" s="1154"/>
      <c r="J150" s="202" t="s">
        <v>198</v>
      </c>
      <c r="K150" s="203">
        <v>1</v>
      </c>
      <c r="L150" s="189"/>
      <c r="M150" s="128"/>
      <c r="N150" s="1149">
        <f>ROUND(L150*K150,2)</f>
        <v>0</v>
      </c>
      <c r="O150" s="1149"/>
      <c r="P150" s="1149"/>
      <c r="Q150" s="1149"/>
      <c r="R150" s="855"/>
      <c r="S150" s="855"/>
      <c r="AC150" s="398"/>
    </row>
    <row r="151" spans="1:29" s="191" customFormat="1" ht="31.5" customHeight="1">
      <c r="A151" s="617"/>
      <c r="B151" s="617"/>
      <c r="C151" s="183" t="s">
        <v>773</v>
      </c>
      <c r="D151" s="184"/>
      <c r="E151" s="94" t="s">
        <v>1682</v>
      </c>
      <c r="F151" s="1153" t="s">
        <v>1638</v>
      </c>
      <c r="G151" s="1154"/>
      <c r="H151" s="1154"/>
      <c r="I151" s="1154"/>
      <c r="J151" s="202" t="s">
        <v>198</v>
      </c>
      <c r="K151" s="203">
        <v>1</v>
      </c>
      <c r="L151" s="189"/>
      <c r="M151" s="128"/>
      <c r="N151" s="1149">
        <f>ROUND(L151*K151,2)</f>
        <v>0</v>
      </c>
      <c r="O151" s="1149"/>
      <c r="P151" s="1149"/>
      <c r="Q151" s="1149"/>
      <c r="R151" s="855"/>
      <c r="S151" s="855"/>
      <c r="AC151" s="398"/>
    </row>
    <row r="152" spans="1:29" s="191" customFormat="1" ht="31.5" customHeight="1">
      <c r="A152" s="617"/>
      <c r="B152" s="617"/>
      <c r="C152" s="183"/>
      <c r="D152" s="184"/>
      <c r="E152" s="94"/>
      <c r="F152" s="1155" t="s">
        <v>1592</v>
      </c>
      <c r="G152" s="1156"/>
      <c r="H152" s="1156"/>
      <c r="I152" s="1156"/>
      <c r="J152" s="202"/>
      <c r="K152" s="203"/>
      <c r="L152" s="189"/>
      <c r="M152" s="128"/>
      <c r="N152" s="1149"/>
      <c r="O152" s="1149"/>
      <c r="P152" s="1149"/>
      <c r="Q152" s="1149"/>
      <c r="R152" s="855"/>
      <c r="S152" s="855"/>
      <c r="AC152" s="398"/>
    </row>
    <row r="153" spans="1:29" s="579" customFormat="1" ht="31.5" customHeight="1">
      <c r="A153" s="859"/>
      <c r="B153" s="859"/>
      <c r="C153" s="183" t="s">
        <v>775</v>
      </c>
      <c r="D153" s="184"/>
      <c r="E153" s="94" t="s">
        <v>1683</v>
      </c>
      <c r="F153" s="1155" t="s">
        <v>1591</v>
      </c>
      <c r="G153" s="1156"/>
      <c r="H153" s="1156"/>
      <c r="I153" s="1156"/>
      <c r="J153" s="147" t="s">
        <v>131</v>
      </c>
      <c r="K153" s="196">
        <v>1</v>
      </c>
      <c r="L153" s="185"/>
      <c r="M153" s="128"/>
      <c r="N153" s="948">
        <f>ROUND(L153*K153,2)</f>
        <v>0</v>
      </c>
      <c r="O153" s="948"/>
      <c r="P153" s="948"/>
      <c r="Q153" s="948"/>
      <c r="R153" s="213"/>
      <c r="S153" s="213"/>
      <c r="AC153" s="398"/>
    </row>
    <row r="154" spans="2:47" s="249" customFormat="1" ht="30" customHeight="1">
      <c r="B154" s="247"/>
      <c r="C154" s="183" t="s">
        <v>776</v>
      </c>
      <c r="D154" s="184"/>
      <c r="E154" s="94" t="s">
        <v>1684</v>
      </c>
      <c r="F154" s="954" t="s">
        <v>206</v>
      </c>
      <c r="G154" s="954"/>
      <c r="H154" s="954"/>
      <c r="I154" s="954"/>
      <c r="J154" s="103" t="s">
        <v>2227</v>
      </c>
      <c r="K154" s="45">
        <v>1</v>
      </c>
      <c r="L154" s="197"/>
      <c r="M154" s="128"/>
      <c r="N154" s="948">
        <f>ROUND(L154*K154,2)</f>
        <v>0</v>
      </c>
      <c r="O154" s="948"/>
      <c r="P154" s="948"/>
      <c r="Q154" s="948"/>
      <c r="R154" s="248"/>
      <c r="T154" s="639"/>
      <c r="U154" s="87"/>
      <c r="V154" s="87"/>
      <c r="W154" s="87"/>
      <c r="X154" s="87"/>
      <c r="Y154" s="87"/>
      <c r="Z154" s="87"/>
      <c r="AA154" s="275"/>
      <c r="AC154" s="398"/>
      <c r="AU154" s="240" t="s">
        <v>76</v>
      </c>
    </row>
    <row r="155" spans="2:65" s="249" customFormat="1" ht="30" customHeight="1">
      <c r="B155" s="247"/>
      <c r="C155" s="183" t="s">
        <v>777</v>
      </c>
      <c r="D155" s="184"/>
      <c r="E155" s="94" t="s">
        <v>1685</v>
      </c>
      <c r="F155" s="954" t="s">
        <v>2226</v>
      </c>
      <c r="G155" s="954"/>
      <c r="H155" s="954"/>
      <c r="I155" s="954"/>
      <c r="J155" s="103" t="s">
        <v>2227</v>
      </c>
      <c r="K155" s="142">
        <v>1</v>
      </c>
      <c r="L155" s="197"/>
      <c r="M155" s="128"/>
      <c r="N155" s="948">
        <f>ROUND(L155*K155,2)</f>
        <v>0</v>
      </c>
      <c r="O155" s="948"/>
      <c r="P155" s="948"/>
      <c r="Q155" s="948"/>
      <c r="R155" s="248"/>
      <c r="T155" s="640" t="s">
        <v>5</v>
      </c>
      <c r="U155" s="641" t="s">
        <v>36</v>
      </c>
      <c r="V155" s="642">
        <v>0</v>
      </c>
      <c r="W155" s="642" t="e">
        <f>V155*#REF!</f>
        <v>#REF!</v>
      </c>
      <c r="X155" s="642">
        <v>0</v>
      </c>
      <c r="Y155" s="642" t="e">
        <f>X155*#REF!</f>
        <v>#REF!</v>
      </c>
      <c r="Z155" s="642">
        <v>0</v>
      </c>
      <c r="AA155" s="643" t="e">
        <f>Z155*#REF!</f>
        <v>#REF!</v>
      </c>
      <c r="AC155" s="398"/>
      <c r="AU155" s="240" t="s">
        <v>76</v>
      </c>
      <c r="AY155" s="240" t="s">
        <v>125</v>
      </c>
      <c r="BE155" s="250">
        <f>IF(U155="základní",#REF!,0)</f>
        <v>0</v>
      </c>
      <c r="BF155" s="250" t="e">
        <f>IF(U155="snížená",#REF!,0)</f>
        <v>#REF!</v>
      </c>
      <c r="BG155" s="250">
        <f>IF(U155="zákl. přenesená",#REF!,0)</f>
        <v>0</v>
      </c>
      <c r="BH155" s="250">
        <f>IF(U155="sníž. přenesená",#REF!,0)</f>
        <v>0</v>
      </c>
      <c r="BI155" s="250">
        <f>IF(U155="nulová",#REF!,0)</f>
        <v>0</v>
      </c>
      <c r="BJ155" s="240" t="s">
        <v>80</v>
      </c>
      <c r="BK155" s="250" t="e">
        <f>ROUND(#REF!*#REF!,2)</f>
        <v>#REF!</v>
      </c>
      <c r="BL155" s="240" t="s">
        <v>128</v>
      </c>
      <c r="BM155" s="240" t="s">
        <v>139</v>
      </c>
    </row>
    <row r="156" spans="2:63" s="398" customFormat="1" ht="29.85" customHeight="1">
      <c r="B156" s="399"/>
      <c r="C156" s="199"/>
      <c r="D156" s="204" t="s">
        <v>1637</v>
      </c>
      <c r="E156" s="200"/>
      <c r="F156" s="200"/>
      <c r="G156" s="200"/>
      <c r="H156" s="200"/>
      <c r="I156" s="200"/>
      <c r="J156" s="200"/>
      <c r="K156" s="200"/>
      <c r="L156" s="200"/>
      <c r="M156" s="128"/>
      <c r="N156" s="1157"/>
      <c r="O156" s="1158"/>
      <c r="P156" s="1158"/>
      <c r="Q156" s="1158"/>
      <c r="R156" s="853"/>
      <c r="S156" s="854"/>
      <c r="T156" s="401"/>
      <c r="U156" s="181"/>
      <c r="V156" s="181"/>
      <c r="W156" s="402">
        <f>SUM(W157:W158)</f>
        <v>0</v>
      </c>
      <c r="X156" s="181"/>
      <c r="Y156" s="402">
        <f>SUM(Y157:Y158)</f>
        <v>0</v>
      </c>
      <c r="Z156" s="181"/>
      <c r="AA156" s="403">
        <f>SUM(AA157:AA158)</f>
        <v>0</v>
      </c>
      <c r="AR156" s="404" t="s">
        <v>76</v>
      </c>
      <c r="AT156" s="405" t="s">
        <v>68</v>
      </c>
      <c r="AU156" s="405" t="s">
        <v>76</v>
      </c>
      <c r="AY156" s="404" t="s">
        <v>125</v>
      </c>
      <c r="BK156" s="406">
        <f>SUM(BK157:BK158)</f>
        <v>0</v>
      </c>
    </row>
    <row r="157" spans="1:63" s="398" customFormat="1" ht="37.35" customHeight="1">
      <c r="A157" s="181"/>
      <c r="B157" s="399"/>
      <c r="C157" s="183" t="s">
        <v>778</v>
      </c>
      <c r="D157" s="184"/>
      <c r="E157" s="94" t="s">
        <v>1686</v>
      </c>
      <c r="F157" s="960" t="s">
        <v>1596</v>
      </c>
      <c r="G157" s="960"/>
      <c r="H157" s="960"/>
      <c r="I157" s="960"/>
      <c r="J157" s="94" t="s">
        <v>131</v>
      </c>
      <c r="K157" s="95">
        <v>1</v>
      </c>
      <c r="L157" s="185"/>
      <c r="M157" s="128"/>
      <c r="N157" s="948">
        <f aca="true" t="shared" si="2" ref="N157:N171">ROUND(L157*K157,2)</f>
        <v>0</v>
      </c>
      <c r="O157" s="948"/>
      <c r="P157" s="948"/>
      <c r="Q157" s="948"/>
      <c r="R157" s="199"/>
      <c r="S157" s="199"/>
      <c r="T157" s="181"/>
      <c r="U157" s="181"/>
      <c r="V157" s="181"/>
      <c r="W157" s="402"/>
      <c r="X157" s="181"/>
      <c r="Y157" s="402"/>
      <c r="Z157" s="181"/>
      <c r="AA157" s="402"/>
      <c r="AB157" s="181"/>
      <c r="AU157" s="405"/>
      <c r="AY157" s="404"/>
      <c r="BK157" s="406"/>
    </row>
    <row r="158" spans="1:29" s="205" customFormat="1" ht="31.5" customHeight="1">
      <c r="A158" s="860"/>
      <c r="B158" s="860"/>
      <c r="C158" s="183" t="s">
        <v>779</v>
      </c>
      <c r="D158" s="190"/>
      <c r="E158" s="94" t="s">
        <v>1687</v>
      </c>
      <c r="F158" s="1004" t="s">
        <v>1636</v>
      </c>
      <c r="G158" s="1004"/>
      <c r="H158" s="1004"/>
      <c r="I158" s="1004"/>
      <c r="J158" s="202" t="s">
        <v>198</v>
      </c>
      <c r="K158" s="203">
        <v>1</v>
      </c>
      <c r="L158" s="189"/>
      <c r="M158" s="128"/>
      <c r="N158" s="1149">
        <f t="shared" si="2"/>
        <v>0</v>
      </c>
      <c r="O158" s="1149"/>
      <c r="P158" s="1149"/>
      <c r="Q158" s="1149"/>
      <c r="R158" s="861"/>
      <c r="S158" s="861"/>
      <c r="AC158" s="398"/>
    </row>
    <row r="159" spans="1:29" s="205" customFormat="1" ht="31.5" customHeight="1">
      <c r="A159" s="860"/>
      <c r="B159" s="860"/>
      <c r="C159" s="183" t="s">
        <v>780</v>
      </c>
      <c r="D159" s="201"/>
      <c r="E159" s="94" t="s">
        <v>1688</v>
      </c>
      <c r="F159" s="1153" t="s">
        <v>1618</v>
      </c>
      <c r="G159" s="1154"/>
      <c r="H159" s="1154"/>
      <c r="I159" s="1154"/>
      <c r="J159" s="202" t="s">
        <v>198</v>
      </c>
      <c r="K159" s="203">
        <v>1</v>
      </c>
      <c r="L159" s="189"/>
      <c r="M159" s="128"/>
      <c r="N159" s="1149">
        <f t="shared" si="2"/>
        <v>0</v>
      </c>
      <c r="O159" s="1149"/>
      <c r="P159" s="1149"/>
      <c r="Q159" s="1149"/>
      <c r="R159" s="861"/>
      <c r="S159" s="861"/>
      <c r="AC159" s="398"/>
    </row>
    <row r="160" spans="1:29" s="205" customFormat="1" ht="31.5" customHeight="1">
      <c r="A160" s="860"/>
      <c r="B160" s="860"/>
      <c r="C160" s="183" t="s">
        <v>781</v>
      </c>
      <c r="D160" s="186"/>
      <c r="E160" s="94" t="s">
        <v>1689</v>
      </c>
      <c r="F160" s="1153" t="s">
        <v>1635</v>
      </c>
      <c r="G160" s="1154"/>
      <c r="H160" s="1154"/>
      <c r="I160" s="1154"/>
      <c r="J160" s="202" t="s">
        <v>198</v>
      </c>
      <c r="K160" s="203">
        <v>1</v>
      </c>
      <c r="L160" s="189"/>
      <c r="M160" s="128"/>
      <c r="N160" s="1149">
        <f t="shared" si="2"/>
        <v>0</v>
      </c>
      <c r="O160" s="1149"/>
      <c r="P160" s="1149"/>
      <c r="Q160" s="1149"/>
      <c r="R160" s="861"/>
      <c r="S160" s="861"/>
      <c r="AC160" s="398"/>
    </row>
    <row r="161" spans="1:29" s="205" customFormat="1" ht="31.5" customHeight="1">
      <c r="A161" s="860"/>
      <c r="B161" s="860"/>
      <c r="C161" s="183" t="s">
        <v>782</v>
      </c>
      <c r="D161" s="190"/>
      <c r="E161" s="94" t="s">
        <v>1690</v>
      </c>
      <c r="F161" s="1004" t="s">
        <v>1608</v>
      </c>
      <c r="G161" s="1004"/>
      <c r="H161" s="1004"/>
      <c r="I161" s="1004"/>
      <c r="J161" s="202" t="s">
        <v>198</v>
      </c>
      <c r="K161" s="203">
        <v>1</v>
      </c>
      <c r="L161" s="189"/>
      <c r="M161" s="128"/>
      <c r="N161" s="1149">
        <f t="shared" si="2"/>
        <v>0</v>
      </c>
      <c r="O161" s="1149"/>
      <c r="P161" s="1149"/>
      <c r="Q161" s="1149"/>
      <c r="R161" s="861"/>
      <c r="S161" s="861"/>
      <c r="AC161" s="398"/>
    </row>
    <row r="162" spans="1:29" s="205" customFormat="1" ht="31.5" customHeight="1">
      <c r="A162" s="860"/>
      <c r="B162" s="860"/>
      <c r="C162" s="183" t="s">
        <v>783</v>
      </c>
      <c r="D162" s="201"/>
      <c r="E162" s="94" t="s">
        <v>1691</v>
      </c>
      <c r="F162" s="1153" t="s">
        <v>1634</v>
      </c>
      <c r="G162" s="1154"/>
      <c r="H162" s="1154"/>
      <c r="I162" s="1154"/>
      <c r="J162" s="202" t="s">
        <v>198</v>
      </c>
      <c r="K162" s="203">
        <v>1</v>
      </c>
      <c r="L162" s="189"/>
      <c r="M162" s="128"/>
      <c r="N162" s="1149">
        <f t="shared" si="2"/>
        <v>0</v>
      </c>
      <c r="O162" s="1149"/>
      <c r="P162" s="1149"/>
      <c r="Q162" s="1149"/>
      <c r="R162" s="861"/>
      <c r="S162" s="861"/>
      <c r="AC162" s="398"/>
    </row>
    <row r="163" spans="1:29" s="205" customFormat="1" ht="31.5" customHeight="1">
      <c r="A163" s="860"/>
      <c r="B163" s="860"/>
      <c r="C163" s="183" t="s">
        <v>784</v>
      </c>
      <c r="D163" s="190"/>
      <c r="E163" s="94" t="s">
        <v>1692</v>
      </c>
      <c r="F163" s="1004" t="s">
        <v>1633</v>
      </c>
      <c r="G163" s="1004"/>
      <c r="H163" s="1004"/>
      <c r="I163" s="1004"/>
      <c r="J163" s="202" t="s">
        <v>198</v>
      </c>
      <c r="K163" s="203">
        <v>2</v>
      </c>
      <c r="L163" s="189"/>
      <c r="M163" s="128"/>
      <c r="N163" s="1149">
        <f t="shared" si="2"/>
        <v>0</v>
      </c>
      <c r="O163" s="1149"/>
      <c r="P163" s="1149"/>
      <c r="Q163" s="1149"/>
      <c r="R163" s="861"/>
      <c r="S163" s="861"/>
      <c r="AC163" s="398"/>
    </row>
    <row r="164" spans="1:29" s="205" customFormat="1" ht="31.5" customHeight="1">
      <c r="A164" s="860"/>
      <c r="B164" s="860"/>
      <c r="C164" s="183" t="s">
        <v>785</v>
      </c>
      <c r="D164" s="201"/>
      <c r="E164" s="94" t="s">
        <v>1693</v>
      </c>
      <c r="F164" s="1153" t="s">
        <v>1632</v>
      </c>
      <c r="G164" s="1154"/>
      <c r="H164" s="1154"/>
      <c r="I164" s="1154"/>
      <c r="J164" s="202" t="s">
        <v>198</v>
      </c>
      <c r="K164" s="203">
        <v>1</v>
      </c>
      <c r="L164" s="189"/>
      <c r="M164" s="128"/>
      <c r="N164" s="1149">
        <f t="shared" si="2"/>
        <v>0</v>
      </c>
      <c r="O164" s="1149"/>
      <c r="P164" s="1149"/>
      <c r="Q164" s="1149"/>
      <c r="R164" s="861"/>
      <c r="S164" s="861"/>
      <c r="AC164" s="398"/>
    </row>
    <row r="165" spans="1:29" s="205" customFormat="1" ht="31.5" customHeight="1">
      <c r="A165" s="860"/>
      <c r="B165" s="860"/>
      <c r="C165" s="183" t="s">
        <v>786</v>
      </c>
      <c r="D165" s="186"/>
      <c r="E165" s="94" t="s">
        <v>1694</v>
      </c>
      <c r="F165" s="1153" t="s">
        <v>1605</v>
      </c>
      <c r="G165" s="1154"/>
      <c r="H165" s="1154"/>
      <c r="I165" s="1154"/>
      <c r="J165" s="202" t="s">
        <v>198</v>
      </c>
      <c r="K165" s="203">
        <v>1</v>
      </c>
      <c r="L165" s="189"/>
      <c r="M165" s="128"/>
      <c r="N165" s="1149">
        <f t="shared" si="2"/>
        <v>0</v>
      </c>
      <c r="O165" s="1149"/>
      <c r="P165" s="1149"/>
      <c r="Q165" s="1149"/>
      <c r="R165" s="861"/>
      <c r="S165" s="861"/>
      <c r="AC165" s="398"/>
    </row>
    <row r="166" spans="1:29" s="205" customFormat="1" ht="31.5" customHeight="1">
      <c r="A166" s="860"/>
      <c r="B166" s="860"/>
      <c r="C166" s="183" t="s">
        <v>787</v>
      </c>
      <c r="D166" s="190"/>
      <c r="E166" s="94" t="s">
        <v>1695</v>
      </c>
      <c r="F166" s="1004" t="s">
        <v>1631</v>
      </c>
      <c r="G166" s="1004"/>
      <c r="H166" s="1004"/>
      <c r="I166" s="1004"/>
      <c r="J166" s="202" t="s">
        <v>198</v>
      </c>
      <c r="K166" s="203">
        <v>1</v>
      </c>
      <c r="L166" s="189"/>
      <c r="M166" s="128"/>
      <c r="N166" s="1149">
        <f t="shared" si="2"/>
        <v>0</v>
      </c>
      <c r="O166" s="1149"/>
      <c r="P166" s="1149"/>
      <c r="Q166" s="1149"/>
      <c r="R166" s="861"/>
      <c r="S166" s="861"/>
      <c r="AC166" s="398"/>
    </row>
    <row r="167" spans="1:29" s="205" customFormat="1" ht="31.5" customHeight="1">
      <c r="A167" s="860"/>
      <c r="B167" s="860"/>
      <c r="C167" s="183" t="s">
        <v>788</v>
      </c>
      <c r="D167" s="201"/>
      <c r="E167" s="94" t="s">
        <v>1696</v>
      </c>
      <c r="F167" s="1153" t="s">
        <v>1630</v>
      </c>
      <c r="G167" s="1154"/>
      <c r="H167" s="1154"/>
      <c r="I167" s="1154"/>
      <c r="J167" s="202" t="s">
        <v>198</v>
      </c>
      <c r="K167" s="203">
        <v>1</v>
      </c>
      <c r="L167" s="189"/>
      <c r="M167" s="128"/>
      <c r="N167" s="1149">
        <f t="shared" si="2"/>
        <v>0</v>
      </c>
      <c r="O167" s="1149"/>
      <c r="P167" s="1149"/>
      <c r="Q167" s="1149"/>
      <c r="R167" s="861"/>
      <c r="S167" s="861"/>
      <c r="AC167" s="398"/>
    </row>
    <row r="168" spans="1:29" s="205" customFormat="1" ht="31.5" customHeight="1">
      <c r="A168" s="860"/>
      <c r="B168" s="860"/>
      <c r="C168" s="183" t="s">
        <v>789</v>
      </c>
      <c r="D168" s="190"/>
      <c r="E168" s="94" t="s">
        <v>1697</v>
      </c>
      <c r="F168" s="1004" t="s">
        <v>1601</v>
      </c>
      <c r="G168" s="1004"/>
      <c r="H168" s="1004"/>
      <c r="I168" s="1004"/>
      <c r="J168" s="202" t="s">
        <v>198</v>
      </c>
      <c r="K168" s="203">
        <v>1</v>
      </c>
      <c r="L168" s="189"/>
      <c r="M168" s="128"/>
      <c r="N168" s="1149">
        <f t="shared" si="2"/>
        <v>0</v>
      </c>
      <c r="O168" s="1149"/>
      <c r="P168" s="1149"/>
      <c r="Q168" s="1149"/>
      <c r="R168" s="861"/>
      <c r="S168" s="861"/>
      <c r="AC168" s="398"/>
    </row>
    <row r="169" spans="1:29" s="205" customFormat="1" ht="31.5" customHeight="1">
      <c r="A169" s="860"/>
      <c r="B169" s="860"/>
      <c r="C169" s="183" t="s">
        <v>790</v>
      </c>
      <c r="D169" s="201"/>
      <c r="E169" s="94" t="s">
        <v>1698</v>
      </c>
      <c r="F169" s="1153" t="s">
        <v>1629</v>
      </c>
      <c r="G169" s="1154"/>
      <c r="H169" s="1154"/>
      <c r="I169" s="1154"/>
      <c r="J169" s="202" t="s">
        <v>198</v>
      </c>
      <c r="K169" s="203">
        <v>2</v>
      </c>
      <c r="L169" s="189"/>
      <c r="M169" s="128"/>
      <c r="N169" s="1149">
        <f t="shared" si="2"/>
        <v>0</v>
      </c>
      <c r="O169" s="1149"/>
      <c r="P169" s="1149"/>
      <c r="Q169" s="1149"/>
      <c r="R169" s="861"/>
      <c r="S169" s="861"/>
      <c r="AC169" s="398"/>
    </row>
    <row r="170" spans="1:29" s="205" customFormat="1" ht="31.5" customHeight="1">
      <c r="A170" s="860"/>
      <c r="B170" s="860"/>
      <c r="C170" s="183" t="s">
        <v>791</v>
      </c>
      <c r="D170" s="190"/>
      <c r="E170" s="94" t="s">
        <v>1699</v>
      </c>
      <c r="F170" s="1004" t="s">
        <v>1628</v>
      </c>
      <c r="G170" s="1004"/>
      <c r="H170" s="1004"/>
      <c r="I170" s="1004"/>
      <c r="J170" s="202" t="s">
        <v>198</v>
      </c>
      <c r="K170" s="203">
        <v>1</v>
      </c>
      <c r="L170" s="189"/>
      <c r="M170" s="128"/>
      <c r="N170" s="1149">
        <f t="shared" si="2"/>
        <v>0</v>
      </c>
      <c r="O170" s="1149"/>
      <c r="P170" s="1149"/>
      <c r="Q170" s="1149"/>
      <c r="R170" s="861"/>
      <c r="S170" s="861"/>
      <c r="AC170" s="398"/>
    </row>
    <row r="171" spans="1:29" s="205" customFormat="1" ht="31.5" customHeight="1">
      <c r="A171" s="860"/>
      <c r="B171" s="860"/>
      <c r="C171" s="183" t="s">
        <v>792</v>
      </c>
      <c r="D171" s="201"/>
      <c r="E171" s="94" t="s">
        <v>1700</v>
      </c>
      <c r="F171" s="1153" t="s">
        <v>1612</v>
      </c>
      <c r="G171" s="1154"/>
      <c r="H171" s="1154"/>
      <c r="I171" s="1154"/>
      <c r="J171" s="202" t="s">
        <v>198</v>
      </c>
      <c r="K171" s="203">
        <v>13</v>
      </c>
      <c r="L171" s="189"/>
      <c r="M171" s="128"/>
      <c r="N171" s="1149">
        <f t="shared" si="2"/>
        <v>0</v>
      </c>
      <c r="O171" s="1149"/>
      <c r="P171" s="1149"/>
      <c r="Q171" s="1149"/>
      <c r="R171" s="861"/>
      <c r="S171" s="861"/>
      <c r="AC171" s="398"/>
    </row>
    <row r="172" spans="1:29" s="205" customFormat="1" ht="31.5" customHeight="1">
      <c r="A172" s="860"/>
      <c r="B172" s="860"/>
      <c r="D172" s="190"/>
      <c r="F172" s="1160" t="s">
        <v>547</v>
      </c>
      <c r="G172" s="1160"/>
      <c r="H172" s="1160"/>
      <c r="I172" s="1160"/>
      <c r="J172" s="202"/>
      <c r="K172" s="203"/>
      <c r="L172" s="189"/>
      <c r="M172" s="128"/>
      <c r="N172" s="1149"/>
      <c r="O172" s="1149"/>
      <c r="P172" s="1149"/>
      <c r="Q172" s="1149"/>
      <c r="R172" s="861"/>
      <c r="S172" s="861"/>
      <c r="AC172" s="398"/>
    </row>
    <row r="173" spans="1:29" s="863" customFormat="1" ht="31.5" customHeight="1">
      <c r="A173" s="862"/>
      <c r="B173" s="862"/>
      <c r="C173" s="183" t="s">
        <v>793</v>
      </c>
      <c r="D173" s="206"/>
      <c r="E173" s="94" t="s">
        <v>1701</v>
      </c>
      <c r="F173" s="1153" t="s">
        <v>1599</v>
      </c>
      <c r="G173" s="1159"/>
      <c r="H173" s="1159"/>
      <c r="I173" s="1159"/>
      <c r="J173" s="202" t="s">
        <v>198</v>
      </c>
      <c r="K173" s="203">
        <v>1</v>
      </c>
      <c r="L173" s="189"/>
      <c r="M173" s="128"/>
      <c r="N173" s="1149">
        <f>ROUND(L173*K173,2)</f>
        <v>0</v>
      </c>
      <c r="O173" s="1149"/>
      <c r="P173" s="1149"/>
      <c r="Q173" s="1149"/>
      <c r="R173" s="862"/>
      <c r="S173" s="862"/>
      <c r="AC173" s="398"/>
    </row>
    <row r="174" spans="1:29" s="863" customFormat="1" ht="31.5" customHeight="1">
      <c r="A174" s="862"/>
      <c r="B174" s="862"/>
      <c r="C174" s="183" t="s">
        <v>794</v>
      </c>
      <c r="D174" s="207"/>
      <c r="E174" s="94" t="s">
        <v>1702</v>
      </c>
      <c r="F174" s="1153" t="s">
        <v>1598</v>
      </c>
      <c r="G174" s="1159"/>
      <c r="H174" s="1159"/>
      <c r="I174" s="1159"/>
      <c r="J174" s="202" t="s">
        <v>198</v>
      </c>
      <c r="K174" s="203">
        <v>1</v>
      </c>
      <c r="L174" s="189"/>
      <c r="M174" s="128"/>
      <c r="N174" s="1149">
        <f>ROUND(L174*K174,2)</f>
        <v>0</v>
      </c>
      <c r="O174" s="1149"/>
      <c r="P174" s="1149"/>
      <c r="Q174" s="1149"/>
      <c r="R174" s="862"/>
      <c r="S174" s="862"/>
      <c r="AC174" s="398"/>
    </row>
    <row r="175" spans="1:29" s="191" customFormat="1" ht="31.5" customHeight="1">
      <c r="A175" s="617"/>
      <c r="B175" s="617"/>
      <c r="D175" s="190"/>
      <c r="F175" s="1155" t="s">
        <v>1592</v>
      </c>
      <c r="G175" s="1156"/>
      <c r="H175" s="1156"/>
      <c r="I175" s="1156"/>
      <c r="J175" s="202"/>
      <c r="K175" s="203"/>
      <c r="L175" s="189"/>
      <c r="M175" s="128"/>
      <c r="N175" s="1149"/>
      <c r="O175" s="1149"/>
      <c r="P175" s="1149"/>
      <c r="Q175" s="1149"/>
      <c r="R175" s="855"/>
      <c r="S175" s="855"/>
      <c r="AC175" s="398"/>
    </row>
    <row r="176" spans="1:29" s="579" customFormat="1" ht="31.5" customHeight="1">
      <c r="A176" s="859"/>
      <c r="B176" s="859"/>
      <c r="C176" s="183" t="s">
        <v>795</v>
      </c>
      <c r="D176" s="147"/>
      <c r="E176" s="94" t="s">
        <v>1703</v>
      </c>
      <c r="F176" s="1155" t="s">
        <v>1591</v>
      </c>
      <c r="G176" s="1156"/>
      <c r="H176" s="1156"/>
      <c r="I176" s="1156"/>
      <c r="J176" s="147" t="s">
        <v>131</v>
      </c>
      <c r="K176" s="196">
        <v>1</v>
      </c>
      <c r="L176" s="185"/>
      <c r="M176" s="128"/>
      <c r="N176" s="948">
        <f>ROUND(L176*K176,2)</f>
        <v>0</v>
      </c>
      <c r="O176" s="948"/>
      <c r="P176" s="948"/>
      <c r="Q176" s="948"/>
      <c r="R176" s="213"/>
      <c r="S176" s="213"/>
      <c r="AC176" s="398"/>
    </row>
    <row r="177" spans="2:47" s="249" customFormat="1" ht="30" customHeight="1">
      <c r="B177" s="247"/>
      <c r="C177" s="183" t="s">
        <v>796</v>
      </c>
      <c r="D177" s="195"/>
      <c r="E177" s="94" t="s">
        <v>1704</v>
      </c>
      <c r="F177" s="954" t="s">
        <v>206</v>
      </c>
      <c r="G177" s="954"/>
      <c r="H177" s="954"/>
      <c r="I177" s="954"/>
      <c r="J177" s="103" t="s">
        <v>2227</v>
      </c>
      <c r="K177" s="45">
        <v>1</v>
      </c>
      <c r="L177" s="197"/>
      <c r="M177" s="128"/>
      <c r="N177" s="948">
        <f>ROUND(L177*K177,2)</f>
        <v>0</v>
      </c>
      <c r="O177" s="948"/>
      <c r="P177" s="948"/>
      <c r="Q177" s="948"/>
      <c r="R177" s="248"/>
      <c r="T177" s="639"/>
      <c r="U177" s="87"/>
      <c r="V177" s="87"/>
      <c r="W177" s="87"/>
      <c r="X177" s="87"/>
      <c r="Y177" s="87"/>
      <c r="Z177" s="87"/>
      <c r="AA177" s="275"/>
      <c r="AC177" s="398"/>
      <c r="AU177" s="240" t="s">
        <v>76</v>
      </c>
    </row>
    <row r="178" spans="2:65" s="249" customFormat="1" ht="30" customHeight="1">
      <c r="B178" s="247"/>
      <c r="C178" s="183" t="s">
        <v>797</v>
      </c>
      <c r="D178" s="195"/>
      <c r="E178" s="94" t="s">
        <v>1705</v>
      </c>
      <c r="F178" s="954" t="s">
        <v>2226</v>
      </c>
      <c r="G178" s="954"/>
      <c r="H178" s="954"/>
      <c r="I178" s="954"/>
      <c r="J178" s="103" t="s">
        <v>2227</v>
      </c>
      <c r="K178" s="142">
        <v>1</v>
      </c>
      <c r="L178" s="197"/>
      <c r="M178" s="128"/>
      <c r="N178" s="948">
        <f>ROUND(L178*K178,2)</f>
        <v>0</v>
      </c>
      <c r="O178" s="948"/>
      <c r="P178" s="948"/>
      <c r="Q178" s="948"/>
      <c r="R178" s="248"/>
      <c r="T178" s="640" t="s">
        <v>5</v>
      </c>
      <c r="U178" s="641" t="s">
        <v>36</v>
      </c>
      <c r="V178" s="642">
        <v>0</v>
      </c>
      <c r="W178" s="642" t="e">
        <f>V178*#REF!</f>
        <v>#REF!</v>
      </c>
      <c r="X178" s="642">
        <v>0</v>
      </c>
      <c r="Y178" s="642" t="e">
        <f>X178*#REF!</f>
        <v>#REF!</v>
      </c>
      <c r="Z178" s="642">
        <v>0</v>
      </c>
      <c r="AA178" s="643" t="e">
        <f>Z178*#REF!</f>
        <v>#REF!</v>
      </c>
      <c r="AC178" s="398"/>
      <c r="AU178" s="240" t="s">
        <v>76</v>
      </c>
      <c r="AY178" s="240" t="s">
        <v>125</v>
      </c>
      <c r="BE178" s="250">
        <f>IF(U178="základní",#REF!,0)</f>
        <v>0</v>
      </c>
      <c r="BF178" s="250" t="e">
        <f>IF(U178="snížená",#REF!,0)</f>
        <v>#REF!</v>
      </c>
      <c r="BG178" s="250">
        <f>IF(U178="zákl. přenesená",#REF!,0)</f>
        <v>0</v>
      </c>
      <c r="BH178" s="250">
        <f>IF(U178="sníž. přenesená",#REF!,0)</f>
        <v>0</v>
      </c>
      <c r="BI178" s="250">
        <f>IF(U178="nulová",#REF!,0)</f>
        <v>0</v>
      </c>
      <c r="BJ178" s="240" t="s">
        <v>80</v>
      </c>
      <c r="BK178" s="250" t="e">
        <f>ROUND(#REF!*#REF!,2)</f>
        <v>#REF!</v>
      </c>
      <c r="BL178" s="240" t="s">
        <v>128</v>
      </c>
      <c r="BM178" s="240" t="s">
        <v>139</v>
      </c>
    </row>
    <row r="179" spans="2:63" s="398" customFormat="1" ht="29.85" customHeight="1">
      <c r="B179" s="399"/>
      <c r="C179" s="199"/>
      <c r="D179" s="204" t="s">
        <v>1627</v>
      </c>
      <c r="E179" s="200"/>
      <c r="F179" s="200"/>
      <c r="G179" s="200"/>
      <c r="H179" s="200"/>
      <c r="I179" s="200"/>
      <c r="J179" s="200"/>
      <c r="K179" s="200"/>
      <c r="L179" s="200"/>
      <c r="M179" s="128"/>
      <c r="N179" s="1157"/>
      <c r="O179" s="1158"/>
      <c r="P179" s="1158"/>
      <c r="Q179" s="1158"/>
      <c r="R179" s="853"/>
      <c r="S179" s="854"/>
      <c r="T179" s="401"/>
      <c r="U179" s="181"/>
      <c r="V179" s="181"/>
      <c r="W179" s="402">
        <f>SUM(W180:W181)</f>
        <v>0</v>
      </c>
      <c r="X179" s="181"/>
      <c r="Y179" s="402">
        <f>SUM(Y180:Y181)</f>
        <v>0</v>
      </c>
      <c r="Z179" s="181"/>
      <c r="AA179" s="403">
        <f>SUM(AA180:AA181)</f>
        <v>0</v>
      </c>
      <c r="AR179" s="404" t="s">
        <v>76</v>
      </c>
      <c r="AT179" s="405" t="s">
        <v>68</v>
      </c>
      <c r="AU179" s="405" t="s">
        <v>76</v>
      </c>
      <c r="AY179" s="404" t="s">
        <v>125</v>
      </c>
      <c r="BK179" s="406">
        <f>SUM(BK180:BK181)</f>
        <v>0</v>
      </c>
    </row>
    <row r="180" spans="1:63" s="398" customFormat="1" ht="37.35" customHeight="1">
      <c r="A180" s="181"/>
      <c r="B180" s="399"/>
      <c r="C180" s="183" t="s">
        <v>798</v>
      </c>
      <c r="D180" s="184"/>
      <c r="E180" s="94" t="s">
        <v>1706</v>
      </c>
      <c r="F180" s="960" t="s">
        <v>1596</v>
      </c>
      <c r="G180" s="960"/>
      <c r="H180" s="960"/>
      <c r="I180" s="960"/>
      <c r="J180" s="94" t="s">
        <v>131</v>
      </c>
      <c r="K180" s="95">
        <v>1</v>
      </c>
      <c r="L180" s="185"/>
      <c r="M180" s="128"/>
      <c r="N180" s="948">
        <f aca="true" t="shared" si="3" ref="N180:N192">ROUND(L180*K180,2)</f>
        <v>0</v>
      </c>
      <c r="O180" s="948"/>
      <c r="P180" s="948"/>
      <c r="Q180" s="948"/>
      <c r="R180" s="199"/>
      <c r="S180" s="199"/>
      <c r="T180" s="181"/>
      <c r="U180" s="181"/>
      <c r="V180" s="181"/>
      <c r="W180" s="402"/>
      <c r="X180" s="181"/>
      <c r="Y180" s="402"/>
      <c r="Z180" s="181"/>
      <c r="AA180" s="402"/>
      <c r="AB180" s="181"/>
      <c r="AU180" s="405"/>
      <c r="AY180" s="404"/>
      <c r="BK180" s="406"/>
    </row>
    <row r="181" spans="1:29" s="205" customFormat="1" ht="31.5" customHeight="1">
      <c r="A181" s="860"/>
      <c r="B181" s="860"/>
      <c r="C181" s="183" t="s">
        <v>799</v>
      </c>
      <c r="D181" s="201"/>
      <c r="E181" s="94" t="s">
        <v>1707</v>
      </c>
      <c r="F181" s="1004" t="s">
        <v>1626</v>
      </c>
      <c r="G181" s="1004"/>
      <c r="H181" s="1004"/>
      <c r="I181" s="1004"/>
      <c r="J181" s="201" t="s">
        <v>198</v>
      </c>
      <c r="K181" s="95">
        <v>1</v>
      </c>
      <c r="L181" s="189"/>
      <c r="M181" s="128"/>
      <c r="N181" s="1149">
        <f t="shared" si="3"/>
        <v>0</v>
      </c>
      <c r="O181" s="1149"/>
      <c r="P181" s="1149"/>
      <c r="Q181" s="1149"/>
      <c r="R181" s="861"/>
      <c r="S181" s="861"/>
      <c r="AC181" s="398"/>
    </row>
    <row r="182" spans="1:29" s="205" customFormat="1" ht="31.5" customHeight="1">
      <c r="A182" s="860"/>
      <c r="B182" s="860"/>
      <c r="C182" s="183" t="s">
        <v>800</v>
      </c>
      <c r="D182" s="208"/>
      <c r="E182" s="94" t="s">
        <v>1708</v>
      </c>
      <c r="F182" s="1004" t="s">
        <v>1625</v>
      </c>
      <c r="G182" s="1004"/>
      <c r="H182" s="1004"/>
      <c r="I182" s="1004"/>
      <c r="J182" s="201" t="s">
        <v>198</v>
      </c>
      <c r="K182" s="95">
        <v>2</v>
      </c>
      <c r="L182" s="189"/>
      <c r="M182" s="128"/>
      <c r="N182" s="1149">
        <f t="shared" si="3"/>
        <v>0</v>
      </c>
      <c r="O182" s="1149"/>
      <c r="P182" s="1149"/>
      <c r="Q182" s="1149"/>
      <c r="R182" s="861"/>
      <c r="S182" s="861"/>
      <c r="AC182" s="398"/>
    </row>
    <row r="183" spans="3:29" s="205" customFormat="1" ht="31.5" customHeight="1">
      <c r="C183" s="183" t="s">
        <v>801</v>
      </c>
      <c r="D183" s="208"/>
      <c r="E183" s="94" t="s">
        <v>1709</v>
      </c>
      <c r="F183" s="1004" t="s">
        <v>1618</v>
      </c>
      <c r="G183" s="1004"/>
      <c r="H183" s="1004"/>
      <c r="I183" s="1004"/>
      <c r="J183" s="201" t="s">
        <v>198</v>
      </c>
      <c r="K183" s="95">
        <v>1</v>
      </c>
      <c r="L183" s="189"/>
      <c r="M183" s="128"/>
      <c r="N183" s="1149">
        <f t="shared" si="3"/>
        <v>0</v>
      </c>
      <c r="O183" s="1149"/>
      <c r="P183" s="1149"/>
      <c r="Q183" s="1149"/>
      <c r="R183" s="864"/>
      <c r="S183" s="864"/>
      <c r="AC183" s="398"/>
    </row>
    <row r="184" spans="3:29" s="205" customFormat="1" ht="31.5" customHeight="1">
      <c r="C184" s="183" t="s">
        <v>802</v>
      </c>
      <c r="D184" s="208"/>
      <c r="E184" s="94" t="s">
        <v>1710</v>
      </c>
      <c r="F184" s="1004" t="s">
        <v>1624</v>
      </c>
      <c r="G184" s="1004"/>
      <c r="H184" s="1004"/>
      <c r="I184" s="1004"/>
      <c r="J184" s="201" t="s">
        <v>198</v>
      </c>
      <c r="K184" s="95">
        <v>2</v>
      </c>
      <c r="L184" s="189"/>
      <c r="M184" s="128"/>
      <c r="N184" s="1149">
        <f t="shared" si="3"/>
        <v>0</v>
      </c>
      <c r="O184" s="1149"/>
      <c r="P184" s="1149"/>
      <c r="Q184" s="1149"/>
      <c r="R184" s="864"/>
      <c r="S184" s="864"/>
      <c r="AC184" s="398"/>
    </row>
    <row r="185" spans="3:29" s="205" customFormat="1" ht="31.5" customHeight="1">
      <c r="C185" s="183" t="s">
        <v>803</v>
      </c>
      <c r="D185" s="208"/>
      <c r="E185" s="94" t="s">
        <v>1711</v>
      </c>
      <c r="F185" s="1004" t="s">
        <v>1608</v>
      </c>
      <c r="G185" s="1004"/>
      <c r="H185" s="1004"/>
      <c r="I185" s="1004"/>
      <c r="J185" s="201" t="s">
        <v>198</v>
      </c>
      <c r="K185" s="95">
        <v>2</v>
      </c>
      <c r="L185" s="189"/>
      <c r="M185" s="128"/>
      <c r="N185" s="1149">
        <f t="shared" si="3"/>
        <v>0</v>
      </c>
      <c r="O185" s="1149"/>
      <c r="P185" s="1149"/>
      <c r="Q185" s="1149"/>
      <c r="R185" s="864"/>
      <c r="S185" s="864"/>
      <c r="AC185" s="398"/>
    </row>
    <row r="186" spans="3:29" s="205" customFormat="1" ht="31.5" customHeight="1">
      <c r="C186" s="183" t="s">
        <v>804</v>
      </c>
      <c r="D186" s="208"/>
      <c r="E186" s="94" t="s">
        <v>1712</v>
      </c>
      <c r="F186" s="1004" t="s">
        <v>1623</v>
      </c>
      <c r="G186" s="1004"/>
      <c r="H186" s="1004"/>
      <c r="I186" s="1004"/>
      <c r="J186" s="208" t="s">
        <v>198</v>
      </c>
      <c r="K186" s="95">
        <v>1</v>
      </c>
      <c r="L186" s="189"/>
      <c r="M186" s="128"/>
      <c r="N186" s="1149">
        <f t="shared" si="3"/>
        <v>0</v>
      </c>
      <c r="O186" s="1149"/>
      <c r="P186" s="1149"/>
      <c r="Q186" s="1149"/>
      <c r="R186" s="864"/>
      <c r="S186" s="864"/>
      <c r="AC186" s="398"/>
    </row>
    <row r="187" spans="3:29" s="205" customFormat="1" ht="31.5" customHeight="1">
      <c r="C187" s="183" t="s">
        <v>805</v>
      </c>
      <c r="D187" s="208"/>
      <c r="E187" s="94" t="s">
        <v>1713</v>
      </c>
      <c r="F187" s="1004" t="s">
        <v>1622</v>
      </c>
      <c r="G187" s="1004"/>
      <c r="H187" s="1004"/>
      <c r="I187" s="1004"/>
      <c r="J187" s="208" t="s">
        <v>198</v>
      </c>
      <c r="K187" s="95">
        <v>1</v>
      </c>
      <c r="L187" s="189"/>
      <c r="M187" s="128"/>
      <c r="N187" s="1149">
        <f t="shared" si="3"/>
        <v>0</v>
      </c>
      <c r="O187" s="1149"/>
      <c r="P187" s="1149"/>
      <c r="Q187" s="1149"/>
      <c r="R187" s="864"/>
      <c r="S187" s="864"/>
      <c r="AC187" s="398"/>
    </row>
    <row r="188" spans="3:29" s="205" customFormat="1" ht="31.5" customHeight="1">
      <c r="C188" s="183" t="s">
        <v>806</v>
      </c>
      <c r="D188" s="208"/>
      <c r="E188" s="94" t="s">
        <v>1714</v>
      </c>
      <c r="F188" s="1004" t="s">
        <v>1615</v>
      </c>
      <c r="G188" s="1004"/>
      <c r="H188" s="1004"/>
      <c r="I188" s="1004"/>
      <c r="J188" s="208" t="s">
        <v>198</v>
      </c>
      <c r="K188" s="95">
        <v>6</v>
      </c>
      <c r="L188" s="189"/>
      <c r="M188" s="128"/>
      <c r="N188" s="1149">
        <f t="shared" si="3"/>
        <v>0</v>
      </c>
      <c r="O188" s="1149"/>
      <c r="P188" s="1149"/>
      <c r="Q188" s="1149"/>
      <c r="R188" s="864"/>
      <c r="S188" s="864"/>
      <c r="AC188" s="398"/>
    </row>
    <row r="189" spans="3:29" s="205" customFormat="1" ht="31.5" customHeight="1">
      <c r="C189" s="183" t="s">
        <v>807</v>
      </c>
      <c r="D189" s="208"/>
      <c r="E189" s="94" t="s">
        <v>1715</v>
      </c>
      <c r="F189" s="1004" t="s">
        <v>1605</v>
      </c>
      <c r="G189" s="1004"/>
      <c r="H189" s="1004"/>
      <c r="I189" s="1004"/>
      <c r="J189" s="208" t="s">
        <v>198</v>
      </c>
      <c r="K189" s="95">
        <v>2</v>
      </c>
      <c r="L189" s="189"/>
      <c r="M189" s="128"/>
      <c r="N189" s="1149">
        <f t="shared" si="3"/>
        <v>0</v>
      </c>
      <c r="O189" s="1149"/>
      <c r="P189" s="1149"/>
      <c r="Q189" s="1149"/>
      <c r="R189" s="864"/>
      <c r="S189" s="864"/>
      <c r="AC189" s="398"/>
    </row>
    <row r="190" spans="3:29" s="205" customFormat="1" ht="31.5" customHeight="1">
      <c r="C190" s="183" t="s">
        <v>808</v>
      </c>
      <c r="D190" s="208"/>
      <c r="E190" s="94" t="s">
        <v>1716</v>
      </c>
      <c r="F190" s="1004" t="s">
        <v>1621</v>
      </c>
      <c r="G190" s="1004"/>
      <c r="H190" s="1004"/>
      <c r="I190" s="1004"/>
      <c r="J190" s="208" t="s">
        <v>198</v>
      </c>
      <c r="K190" s="95">
        <v>1</v>
      </c>
      <c r="L190" s="189"/>
      <c r="M190" s="128"/>
      <c r="N190" s="1149">
        <f t="shared" si="3"/>
        <v>0</v>
      </c>
      <c r="O190" s="1149"/>
      <c r="P190" s="1149"/>
      <c r="Q190" s="1149"/>
      <c r="R190" s="864"/>
      <c r="S190" s="864"/>
      <c r="AC190" s="398"/>
    </row>
    <row r="191" spans="3:29" s="205" customFormat="1" ht="31.5" customHeight="1">
      <c r="C191" s="183" t="s">
        <v>809</v>
      </c>
      <c r="D191" s="208"/>
      <c r="E191" s="94" t="s">
        <v>1717</v>
      </c>
      <c r="F191" s="1004" t="s">
        <v>1601</v>
      </c>
      <c r="G191" s="1004"/>
      <c r="H191" s="1004"/>
      <c r="I191" s="1004"/>
      <c r="J191" s="208" t="s">
        <v>198</v>
      </c>
      <c r="K191" s="95">
        <v>1</v>
      </c>
      <c r="L191" s="189"/>
      <c r="M191" s="128"/>
      <c r="N191" s="1149">
        <f t="shared" si="3"/>
        <v>0</v>
      </c>
      <c r="O191" s="1149"/>
      <c r="P191" s="1149"/>
      <c r="Q191" s="1149"/>
      <c r="R191" s="864"/>
      <c r="S191" s="864"/>
      <c r="AC191" s="398"/>
    </row>
    <row r="192" spans="3:29" s="205" customFormat="1" ht="31.5" customHeight="1">
      <c r="C192" s="183" t="s">
        <v>810</v>
      </c>
      <c r="D192" s="208"/>
      <c r="E192" s="94" t="s">
        <v>1718</v>
      </c>
      <c r="F192" s="1004" t="s">
        <v>1612</v>
      </c>
      <c r="G192" s="1004"/>
      <c r="H192" s="1004"/>
      <c r="I192" s="1004"/>
      <c r="J192" s="208" t="s">
        <v>198</v>
      </c>
      <c r="K192" s="95">
        <v>24</v>
      </c>
      <c r="L192" s="189"/>
      <c r="M192" s="128"/>
      <c r="N192" s="1149">
        <f t="shared" si="3"/>
        <v>0</v>
      </c>
      <c r="O192" s="1149"/>
      <c r="P192" s="1149"/>
      <c r="Q192" s="1149"/>
      <c r="R192" s="864"/>
      <c r="S192" s="864"/>
      <c r="AC192" s="398"/>
    </row>
    <row r="193" spans="1:29" s="205" customFormat="1" ht="31.5" customHeight="1">
      <c r="A193" s="860"/>
      <c r="B193" s="860"/>
      <c r="D193" s="190"/>
      <c r="F193" s="1160" t="s">
        <v>547</v>
      </c>
      <c r="G193" s="1160"/>
      <c r="H193" s="1160"/>
      <c r="I193" s="1160"/>
      <c r="J193" s="202"/>
      <c r="K193" s="203"/>
      <c r="L193" s="189"/>
      <c r="M193" s="128"/>
      <c r="N193" s="1149"/>
      <c r="O193" s="1149"/>
      <c r="P193" s="1149"/>
      <c r="Q193" s="1149"/>
      <c r="R193" s="861"/>
      <c r="S193" s="861"/>
      <c r="AC193" s="398"/>
    </row>
    <row r="194" spans="1:29" s="863" customFormat="1" ht="31.5" customHeight="1">
      <c r="A194" s="862"/>
      <c r="B194" s="862"/>
      <c r="C194" s="183" t="s">
        <v>811</v>
      </c>
      <c r="D194" s="206"/>
      <c r="E194" s="94" t="s">
        <v>1719</v>
      </c>
      <c r="F194" s="1153" t="s">
        <v>1599</v>
      </c>
      <c r="G194" s="1159"/>
      <c r="H194" s="1159"/>
      <c r="I194" s="1159"/>
      <c r="J194" s="202" t="s">
        <v>198</v>
      </c>
      <c r="K194" s="203">
        <v>2</v>
      </c>
      <c r="L194" s="189"/>
      <c r="M194" s="128"/>
      <c r="N194" s="1149">
        <f>ROUND(L194*K194,2)</f>
        <v>0</v>
      </c>
      <c r="O194" s="1149"/>
      <c r="P194" s="1149"/>
      <c r="Q194" s="1149"/>
      <c r="R194" s="862"/>
      <c r="S194" s="862"/>
      <c r="AC194" s="398"/>
    </row>
    <row r="195" spans="1:29" s="863" customFormat="1" ht="31.5" customHeight="1">
      <c r="A195" s="862"/>
      <c r="B195" s="862"/>
      <c r="C195" s="183" t="s">
        <v>812</v>
      </c>
      <c r="D195" s="207"/>
      <c r="E195" s="94" t="s">
        <v>1720</v>
      </c>
      <c r="F195" s="1153" t="s">
        <v>1598</v>
      </c>
      <c r="G195" s="1159"/>
      <c r="H195" s="1159"/>
      <c r="I195" s="1159"/>
      <c r="J195" s="202" t="s">
        <v>198</v>
      </c>
      <c r="K195" s="203">
        <v>2</v>
      </c>
      <c r="L195" s="189"/>
      <c r="M195" s="128"/>
      <c r="N195" s="1149">
        <f>ROUND(L195*K195,2)</f>
        <v>0</v>
      </c>
      <c r="O195" s="1149"/>
      <c r="P195" s="1149"/>
      <c r="Q195" s="1149"/>
      <c r="R195" s="862"/>
      <c r="S195" s="862"/>
      <c r="AC195" s="398"/>
    </row>
    <row r="196" spans="1:29" s="191" customFormat="1" ht="31.5" customHeight="1">
      <c r="A196" s="617"/>
      <c r="B196" s="617"/>
      <c r="C196" s="183" t="s">
        <v>813</v>
      </c>
      <c r="D196" s="190"/>
      <c r="E196" s="94" t="s">
        <v>1721</v>
      </c>
      <c r="F196" s="1153" t="s">
        <v>1611</v>
      </c>
      <c r="G196" s="1154"/>
      <c r="H196" s="1154"/>
      <c r="I196" s="1154"/>
      <c r="J196" s="202" t="s">
        <v>198</v>
      </c>
      <c r="K196" s="203">
        <v>2</v>
      </c>
      <c r="L196" s="189"/>
      <c r="M196" s="128"/>
      <c r="N196" s="1149">
        <f>ROUND(L196*K196,2)</f>
        <v>0</v>
      </c>
      <c r="O196" s="1149"/>
      <c r="P196" s="1149"/>
      <c r="Q196" s="1149"/>
      <c r="R196" s="855"/>
      <c r="S196" s="855"/>
      <c r="AC196" s="398"/>
    </row>
    <row r="197" spans="1:29" s="209" customFormat="1" ht="31.5" customHeight="1">
      <c r="A197" s="865"/>
      <c r="B197" s="865"/>
      <c r="D197" s="192"/>
      <c r="F197" s="1155" t="s">
        <v>1592</v>
      </c>
      <c r="G197" s="1156"/>
      <c r="H197" s="1156"/>
      <c r="I197" s="1156"/>
      <c r="J197" s="210"/>
      <c r="K197" s="211"/>
      <c r="L197" s="194"/>
      <c r="M197" s="128"/>
      <c r="N197" s="1138"/>
      <c r="O197" s="1138"/>
      <c r="P197" s="1138"/>
      <c r="Q197" s="1138"/>
      <c r="R197" s="865"/>
      <c r="S197" s="865"/>
      <c r="AC197" s="866"/>
    </row>
    <row r="198" spans="1:29" s="579" customFormat="1" ht="31.5" customHeight="1">
      <c r="A198" s="859"/>
      <c r="B198" s="859"/>
      <c r="C198" s="183" t="s">
        <v>814</v>
      </c>
      <c r="D198" s="147"/>
      <c r="E198" s="94" t="s">
        <v>1722</v>
      </c>
      <c r="F198" s="1155" t="s">
        <v>1591</v>
      </c>
      <c r="G198" s="1156"/>
      <c r="H198" s="1156"/>
      <c r="I198" s="1156"/>
      <c r="J198" s="147" t="s">
        <v>131</v>
      </c>
      <c r="K198" s="196">
        <v>1</v>
      </c>
      <c r="L198" s="185"/>
      <c r="M198" s="128"/>
      <c r="N198" s="948">
        <f>ROUND(L198*K198,2)</f>
        <v>0</v>
      </c>
      <c r="O198" s="948"/>
      <c r="P198" s="948"/>
      <c r="Q198" s="948"/>
      <c r="R198" s="213"/>
      <c r="S198" s="213"/>
      <c r="AC198" s="398"/>
    </row>
    <row r="199" spans="2:47" s="249" customFormat="1" ht="30" customHeight="1">
      <c r="B199" s="247"/>
      <c r="C199" s="183" t="s">
        <v>815</v>
      </c>
      <c r="D199" s="195"/>
      <c r="E199" s="94" t="s">
        <v>1723</v>
      </c>
      <c r="F199" s="954" t="s">
        <v>206</v>
      </c>
      <c r="G199" s="954"/>
      <c r="H199" s="954"/>
      <c r="I199" s="954"/>
      <c r="J199" s="103" t="s">
        <v>2227</v>
      </c>
      <c r="K199" s="45">
        <v>1</v>
      </c>
      <c r="L199" s="197"/>
      <c r="M199" s="128"/>
      <c r="N199" s="948">
        <f>ROUND(L199*K199,2)</f>
        <v>0</v>
      </c>
      <c r="O199" s="948"/>
      <c r="P199" s="948"/>
      <c r="Q199" s="948"/>
      <c r="R199" s="248"/>
      <c r="T199" s="639"/>
      <c r="U199" s="87"/>
      <c r="V199" s="87"/>
      <c r="W199" s="87"/>
      <c r="X199" s="87"/>
      <c r="Y199" s="87"/>
      <c r="Z199" s="87"/>
      <c r="AA199" s="275"/>
      <c r="AC199" s="398"/>
      <c r="AU199" s="240" t="s">
        <v>76</v>
      </c>
    </row>
    <row r="200" spans="2:65" s="249" customFormat="1" ht="30" customHeight="1">
      <c r="B200" s="247"/>
      <c r="C200" s="183" t="s">
        <v>237</v>
      </c>
      <c r="D200" s="195"/>
      <c r="E200" s="94" t="s">
        <v>1724</v>
      </c>
      <c r="F200" s="954" t="s">
        <v>2226</v>
      </c>
      <c r="G200" s="954"/>
      <c r="H200" s="954"/>
      <c r="I200" s="954"/>
      <c r="J200" s="103" t="s">
        <v>2227</v>
      </c>
      <c r="K200" s="142">
        <v>1</v>
      </c>
      <c r="L200" s="197"/>
      <c r="M200" s="128"/>
      <c r="N200" s="948">
        <f>ROUND(L200*K200,2)</f>
        <v>0</v>
      </c>
      <c r="O200" s="948"/>
      <c r="P200" s="948"/>
      <c r="Q200" s="948"/>
      <c r="R200" s="248"/>
      <c r="T200" s="640" t="s">
        <v>5</v>
      </c>
      <c r="U200" s="641" t="s">
        <v>36</v>
      </c>
      <c r="V200" s="642">
        <v>0</v>
      </c>
      <c r="W200" s="642" t="e">
        <f>V200*#REF!</f>
        <v>#REF!</v>
      </c>
      <c r="X200" s="642">
        <v>0</v>
      </c>
      <c r="Y200" s="642" t="e">
        <f>X200*#REF!</f>
        <v>#REF!</v>
      </c>
      <c r="Z200" s="642">
        <v>0</v>
      </c>
      <c r="AA200" s="643" t="e">
        <f>Z200*#REF!</f>
        <v>#REF!</v>
      </c>
      <c r="AC200" s="398"/>
      <c r="AU200" s="240" t="s">
        <v>76</v>
      </c>
      <c r="AY200" s="240" t="s">
        <v>125</v>
      </c>
      <c r="BE200" s="250">
        <f>IF(U200="základní",#REF!,0)</f>
        <v>0</v>
      </c>
      <c r="BF200" s="250" t="e">
        <f>IF(U200="snížená",#REF!,0)</f>
        <v>#REF!</v>
      </c>
      <c r="BG200" s="250">
        <f>IF(U200="zákl. přenesená",#REF!,0)</f>
        <v>0</v>
      </c>
      <c r="BH200" s="250">
        <f>IF(U200="sníž. přenesená",#REF!,0)</f>
        <v>0</v>
      </c>
      <c r="BI200" s="250">
        <f>IF(U200="nulová",#REF!,0)</f>
        <v>0</v>
      </c>
      <c r="BJ200" s="240" t="s">
        <v>80</v>
      </c>
      <c r="BK200" s="250" t="e">
        <f>ROUND(#REF!*#REF!,2)</f>
        <v>#REF!</v>
      </c>
      <c r="BL200" s="240" t="s">
        <v>128</v>
      </c>
      <c r="BM200" s="240" t="s">
        <v>139</v>
      </c>
    </row>
    <row r="201" spans="2:63" s="398" customFormat="1" ht="29.85" customHeight="1">
      <c r="B201" s="399"/>
      <c r="C201" s="199"/>
      <c r="D201" s="204" t="s">
        <v>1620</v>
      </c>
      <c r="E201" s="200"/>
      <c r="F201" s="200"/>
      <c r="G201" s="200"/>
      <c r="H201" s="200"/>
      <c r="I201" s="200"/>
      <c r="J201" s="200"/>
      <c r="K201" s="200"/>
      <c r="L201" s="200"/>
      <c r="M201" s="128"/>
      <c r="N201" s="1157"/>
      <c r="O201" s="1158"/>
      <c r="P201" s="1158"/>
      <c r="Q201" s="1158"/>
      <c r="R201" s="853"/>
      <c r="S201" s="854"/>
      <c r="T201" s="401"/>
      <c r="U201" s="181"/>
      <c r="V201" s="181"/>
      <c r="W201" s="402">
        <f>SUM(W202:W203)</f>
        <v>0</v>
      </c>
      <c r="X201" s="181"/>
      <c r="Y201" s="402">
        <f>SUM(Y202:Y203)</f>
        <v>0</v>
      </c>
      <c r="Z201" s="181"/>
      <c r="AA201" s="403">
        <f>SUM(AA202:AA203)</f>
        <v>0</v>
      </c>
      <c r="AR201" s="404" t="s">
        <v>76</v>
      </c>
      <c r="AT201" s="405" t="s">
        <v>68</v>
      </c>
      <c r="AU201" s="405" t="s">
        <v>76</v>
      </c>
      <c r="AY201" s="404" t="s">
        <v>125</v>
      </c>
      <c r="BK201" s="406">
        <f>SUM(BK202:BK203)</f>
        <v>0</v>
      </c>
    </row>
    <row r="202" spans="1:63" s="398" customFormat="1" ht="37.35" customHeight="1">
      <c r="A202" s="181"/>
      <c r="B202" s="399"/>
      <c r="C202" s="183" t="s">
        <v>238</v>
      </c>
      <c r="D202" s="184"/>
      <c r="E202" s="94" t="s">
        <v>1725</v>
      </c>
      <c r="F202" s="960" t="s">
        <v>1596</v>
      </c>
      <c r="G202" s="960"/>
      <c r="H202" s="960"/>
      <c r="I202" s="960"/>
      <c r="J202" s="94" t="s">
        <v>131</v>
      </c>
      <c r="K202" s="95">
        <v>1</v>
      </c>
      <c r="L202" s="185"/>
      <c r="M202" s="128"/>
      <c r="N202" s="948">
        <f aca="true" t="shared" si="4" ref="N202:N221">ROUND(L202*K202,2)</f>
        <v>0</v>
      </c>
      <c r="O202" s="948"/>
      <c r="P202" s="948"/>
      <c r="Q202" s="948"/>
      <c r="R202" s="199"/>
      <c r="S202" s="199"/>
      <c r="T202" s="181"/>
      <c r="U202" s="181"/>
      <c r="V202" s="181"/>
      <c r="W202" s="402"/>
      <c r="X202" s="181"/>
      <c r="Y202" s="402"/>
      <c r="Z202" s="181"/>
      <c r="AA202" s="402"/>
      <c r="AB202" s="181"/>
      <c r="AU202" s="405"/>
      <c r="AY202" s="404"/>
      <c r="BK202" s="406"/>
    </row>
    <row r="203" spans="3:29" s="205" customFormat="1" ht="31.5" customHeight="1">
      <c r="C203" s="183" t="s">
        <v>239</v>
      </c>
      <c r="D203" s="208"/>
      <c r="E203" s="94" t="s">
        <v>1726</v>
      </c>
      <c r="F203" s="1163" t="s">
        <v>1619</v>
      </c>
      <c r="G203" s="1164"/>
      <c r="H203" s="1164"/>
      <c r="I203" s="1165"/>
      <c r="J203" s="208" t="s">
        <v>198</v>
      </c>
      <c r="K203" s="95">
        <v>1</v>
      </c>
      <c r="L203" s="189"/>
      <c r="M203" s="128"/>
      <c r="N203" s="1149">
        <f t="shared" si="4"/>
        <v>0</v>
      </c>
      <c r="O203" s="1149"/>
      <c r="P203" s="1149"/>
      <c r="Q203" s="1149"/>
      <c r="R203" s="864"/>
      <c r="S203" s="864"/>
      <c r="AC203" s="398"/>
    </row>
    <row r="204" spans="3:29" s="205" customFormat="1" ht="31.5" customHeight="1">
      <c r="C204" s="183" t="s">
        <v>816</v>
      </c>
      <c r="D204" s="208"/>
      <c r="E204" s="94" t="s">
        <v>1727</v>
      </c>
      <c r="F204" s="1163" t="s">
        <v>1618</v>
      </c>
      <c r="G204" s="1164"/>
      <c r="H204" s="1164"/>
      <c r="I204" s="1165"/>
      <c r="J204" s="208" t="s">
        <v>198</v>
      </c>
      <c r="K204" s="95">
        <v>1</v>
      </c>
      <c r="L204" s="189"/>
      <c r="M204" s="128"/>
      <c r="N204" s="1149">
        <f t="shared" si="4"/>
        <v>0</v>
      </c>
      <c r="O204" s="1149"/>
      <c r="P204" s="1149"/>
      <c r="Q204" s="1149"/>
      <c r="R204" s="864"/>
      <c r="S204" s="864"/>
      <c r="AC204" s="398"/>
    </row>
    <row r="205" spans="3:29" s="205" customFormat="1" ht="31.5" customHeight="1">
      <c r="C205" s="183" t="s">
        <v>817</v>
      </c>
      <c r="D205" s="208"/>
      <c r="E205" s="94" t="s">
        <v>1728</v>
      </c>
      <c r="F205" s="1163" t="s">
        <v>1617</v>
      </c>
      <c r="G205" s="1164"/>
      <c r="H205" s="1164"/>
      <c r="I205" s="1165"/>
      <c r="J205" s="208" t="s">
        <v>198</v>
      </c>
      <c r="K205" s="95">
        <v>1</v>
      </c>
      <c r="L205" s="189"/>
      <c r="M205" s="128"/>
      <c r="N205" s="1149">
        <f t="shared" si="4"/>
        <v>0</v>
      </c>
      <c r="O205" s="1149"/>
      <c r="P205" s="1149"/>
      <c r="Q205" s="1149"/>
      <c r="R205" s="864"/>
      <c r="S205" s="864"/>
      <c r="AC205" s="398"/>
    </row>
    <row r="206" spans="3:29" s="205" customFormat="1" ht="31.5" customHeight="1">
      <c r="C206" s="183" t="s">
        <v>818</v>
      </c>
      <c r="D206" s="208"/>
      <c r="E206" s="94" t="s">
        <v>1729</v>
      </c>
      <c r="F206" s="1163" t="s">
        <v>1608</v>
      </c>
      <c r="G206" s="1164"/>
      <c r="H206" s="1164"/>
      <c r="I206" s="1165"/>
      <c r="J206" s="208" t="s">
        <v>198</v>
      </c>
      <c r="K206" s="95">
        <v>1</v>
      </c>
      <c r="L206" s="189"/>
      <c r="M206" s="128"/>
      <c r="N206" s="1149">
        <f t="shared" si="4"/>
        <v>0</v>
      </c>
      <c r="O206" s="1149"/>
      <c r="P206" s="1149"/>
      <c r="Q206" s="1149"/>
      <c r="R206" s="864"/>
      <c r="S206" s="864"/>
      <c r="AC206" s="398"/>
    </row>
    <row r="207" spans="3:29" s="205" customFormat="1" ht="31.5" customHeight="1">
      <c r="C207" s="183" t="s">
        <v>819</v>
      </c>
      <c r="D207" s="208"/>
      <c r="E207" s="94" t="s">
        <v>1730</v>
      </c>
      <c r="F207" s="1163" t="s">
        <v>1608</v>
      </c>
      <c r="G207" s="1164"/>
      <c r="H207" s="1164"/>
      <c r="I207" s="1165"/>
      <c r="J207" s="208" t="s">
        <v>198</v>
      </c>
      <c r="K207" s="95">
        <v>1</v>
      </c>
      <c r="L207" s="189"/>
      <c r="M207" s="128"/>
      <c r="N207" s="1149">
        <f t="shared" si="4"/>
        <v>0</v>
      </c>
      <c r="O207" s="1149"/>
      <c r="P207" s="1149"/>
      <c r="Q207" s="1149"/>
      <c r="R207" s="864"/>
      <c r="S207" s="864"/>
      <c r="AC207" s="398"/>
    </row>
    <row r="208" spans="3:29" s="205" customFormat="1" ht="31.5" customHeight="1">
      <c r="C208" s="183" t="s">
        <v>820</v>
      </c>
      <c r="D208" s="208"/>
      <c r="E208" s="94" t="s">
        <v>1731</v>
      </c>
      <c r="F208" s="1163" t="s">
        <v>1617</v>
      </c>
      <c r="G208" s="1164"/>
      <c r="H208" s="1164"/>
      <c r="I208" s="1165"/>
      <c r="J208" s="208" t="s">
        <v>198</v>
      </c>
      <c r="K208" s="95">
        <v>1</v>
      </c>
      <c r="L208" s="189"/>
      <c r="M208" s="128"/>
      <c r="N208" s="1149">
        <f t="shared" si="4"/>
        <v>0</v>
      </c>
      <c r="O208" s="1149"/>
      <c r="P208" s="1149"/>
      <c r="Q208" s="1149"/>
      <c r="R208" s="864"/>
      <c r="S208" s="864"/>
      <c r="AC208" s="398"/>
    </row>
    <row r="209" spans="3:29" s="205" customFormat="1" ht="31.5" customHeight="1">
      <c r="C209" s="183" t="s">
        <v>821</v>
      </c>
      <c r="D209" s="208"/>
      <c r="E209" s="94" t="s">
        <v>1732</v>
      </c>
      <c r="F209" s="1163" t="s">
        <v>1606</v>
      </c>
      <c r="G209" s="1164"/>
      <c r="H209" s="1164"/>
      <c r="I209" s="1165"/>
      <c r="J209" s="208" t="s">
        <v>198</v>
      </c>
      <c r="K209" s="95">
        <v>1</v>
      </c>
      <c r="L209" s="189"/>
      <c r="M209" s="128"/>
      <c r="N209" s="1149">
        <f t="shared" si="4"/>
        <v>0</v>
      </c>
      <c r="O209" s="1149"/>
      <c r="P209" s="1149"/>
      <c r="Q209" s="1149"/>
      <c r="R209" s="864"/>
      <c r="S209" s="864"/>
      <c r="AC209" s="398"/>
    </row>
    <row r="210" spans="3:29" s="205" customFormat="1" ht="31.5" customHeight="1">
      <c r="C210" s="183" t="s">
        <v>822</v>
      </c>
      <c r="D210" s="208"/>
      <c r="E210" s="94" t="s">
        <v>1733</v>
      </c>
      <c r="F210" s="1163" t="s">
        <v>1616</v>
      </c>
      <c r="G210" s="1164"/>
      <c r="H210" s="1164"/>
      <c r="I210" s="1165"/>
      <c r="J210" s="208" t="s">
        <v>198</v>
      </c>
      <c r="K210" s="95">
        <v>1</v>
      </c>
      <c r="L210" s="189"/>
      <c r="M210" s="128"/>
      <c r="N210" s="1149">
        <f t="shared" si="4"/>
        <v>0</v>
      </c>
      <c r="O210" s="1149"/>
      <c r="P210" s="1149"/>
      <c r="Q210" s="1149"/>
      <c r="R210" s="864"/>
      <c r="S210" s="864"/>
      <c r="AC210" s="398"/>
    </row>
    <row r="211" spans="3:29" s="205" customFormat="1" ht="31.5" customHeight="1">
      <c r="C211" s="183" t="s">
        <v>823</v>
      </c>
      <c r="D211" s="208"/>
      <c r="E211" s="94" t="s">
        <v>1734</v>
      </c>
      <c r="F211" s="1163" t="s">
        <v>1615</v>
      </c>
      <c r="G211" s="1164"/>
      <c r="H211" s="1164"/>
      <c r="I211" s="1165"/>
      <c r="J211" s="208" t="s">
        <v>198</v>
      </c>
      <c r="K211" s="95">
        <v>1</v>
      </c>
      <c r="L211" s="189"/>
      <c r="M211" s="128"/>
      <c r="N211" s="1149">
        <f t="shared" si="4"/>
        <v>0</v>
      </c>
      <c r="O211" s="1149"/>
      <c r="P211" s="1149"/>
      <c r="Q211" s="1149"/>
      <c r="R211" s="864"/>
      <c r="S211" s="864"/>
      <c r="AC211" s="398"/>
    </row>
    <row r="212" spans="3:29" s="205" customFormat="1" ht="31.5" customHeight="1">
      <c r="C212" s="183" t="s">
        <v>824</v>
      </c>
      <c r="D212" s="208"/>
      <c r="E212" s="94" t="s">
        <v>1735</v>
      </c>
      <c r="F212" s="1163" t="s">
        <v>1615</v>
      </c>
      <c r="G212" s="1164"/>
      <c r="H212" s="1164"/>
      <c r="I212" s="1165"/>
      <c r="J212" s="208" t="s">
        <v>198</v>
      </c>
      <c r="K212" s="95">
        <v>1</v>
      </c>
      <c r="L212" s="189"/>
      <c r="M212" s="128"/>
      <c r="N212" s="1149">
        <f t="shared" si="4"/>
        <v>0</v>
      </c>
      <c r="O212" s="1149"/>
      <c r="P212" s="1149"/>
      <c r="Q212" s="1149"/>
      <c r="R212" s="864"/>
      <c r="S212" s="864"/>
      <c r="AC212" s="398"/>
    </row>
    <row r="213" spans="3:29" s="205" customFormat="1" ht="31.5" customHeight="1">
      <c r="C213" s="183" t="s">
        <v>825</v>
      </c>
      <c r="D213" s="208"/>
      <c r="E213" s="94" t="s">
        <v>1736</v>
      </c>
      <c r="F213" s="1163" t="s">
        <v>1615</v>
      </c>
      <c r="G213" s="1164"/>
      <c r="H213" s="1164"/>
      <c r="I213" s="1165"/>
      <c r="J213" s="208" t="s">
        <v>198</v>
      </c>
      <c r="K213" s="95">
        <v>1</v>
      </c>
      <c r="L213" s="189"/>
      <c r="M213" s="128"/>
      <c r="N213" s="1149">
        <f t="shared" si="4"/>
        <v>0</v>
      </c>
      <c r="O213" s="1149"/>
      <c r="P213" s="1149"/>
      <c r="Q213" s="1149"/>
      <c r="R213" s="864"/>
      <c r="S213" s="864"/>
      <c r="AC213" s="398"/>
    </row>
    <row r="214" spans="3:29" s="205" customFormat="1" ht="31.5" customHeight="1">
      <c r="C214" s="183" t="s">
        <v>826</v>
      </c>
      <c r="D214" s="208"/>
      <c r="E214" s="94" t="s">
        <v>1737</v>
      </c>
      <c r="F214" s="1163" t="s">
        <v>1605</v>
      </c>
      <c r="G214" s="1164"/>
      <c r="H214" s="1164"/>
      <c r="I214" s="1165"/>
      <c r="J214" s="208" t="s">
        <v>198</v>
      </c>
      <c r="K214" s="95">
        <v>2</v>
      </c>
      <c r="L214" s="189"/>
      <c r="M214" s="128"/>
      <c r="N214" s="1149">
        <f t="shared" si="4"/>
        <v>0</v>
      </c>
      <c r="O214" s="1149"/>
      <c r="P214" s="1149"/>
      <c r="Q214" s="1149"/>
      <c r="R214" s="864"/>
      <c r="S214" s="864"/>
      <c r="AC214" s="398"/>
    </row>
    <row r="215" spans="3:29" s="205" customFormat="1" ht="31.5" customHeight="1">
      <c r="C215" s="183" t="s">
        <v>827</v>
      </c>
      <c r="D215" s="208"/>
      <c r="E215" s="94" t="s">
        <v>1738</v>
      </c>
      <c r="F215" s="1163" t="s">
        <v>1615</v>
      </c>
      <c r="G215" s="1164"/>
      <c r="H215" s="1164"/>
      <c r="I215" s="1165"/>
      <c r="J215" s="208" t="s">
        <v>198</v>
      </c>
      <c r="K215" s="95">
        <v>2</v>
      </c>
      <c r="L215" s="189"/>
      <c r="M215" s="128"/>
      <c r="N215" s="1149">
        <f t="shared" si="4"/>
        <v>0</v>
      </c>
      <c r="O215" s="1149"/>
      <c r="P215" s="1149"/>
      <c r="Q215" s="1149"/>
      <c r="R215" s="864"/>
      <c r="S215" s="864"/>
      <c r="AC215" s="398"/>
    </row>
    <row r="216" spans="3:29" s="205" customFormat="1" ht="31.5" customHeight="1">
      <c r="C216" s="183" t="s">
        <v>828</v>
      </c>
      <c r="D216" s="208"/>
      <c r="E216" s="94" t="s">
        <v>1739</v>
      </c>
      <c r="F216" s="1163" t="s">
        <v>1615</v>
      </c>
      <c r="G216" s="1164"/>
      <c r="H216" s="1164"/>
      <c r="I216" s="1165"/>
      <c r="J216" s="208" t="s">
        <v>198</v>
      </c>
      <c r="K216" s="95">
        <v>1</v>
      </c>
      <c r="L216" s="189"/>
      <c r="M216" s="128"/>
      <c r="N216" s="1149">
        <f t="shared" si="4"/>
        <v>0</v>
      </c>
      <c r="O216" s="1149"/>
      <c r="P216" s="1149"/>
      <c r="Q216" s="1149"/>
      <c r="R216" s="864"/>
      <c r="S216" s="864"/>
      <c r="AC216" s="398"/>
    </row>
    <row r="217" spans="3:29" s="205" customFormat="1" ht="31.5" customHeight="1">
      <c r="C217" s="183" t="s">
        <v>829</v>
      </c>
      <c r="D217" s="208"/>
      <c r="E217" s="94" t="s">
        <v>1740</v>
      </c>
      <c r="F217" s="1163" t="s">
        <v>1594</v>
      </c>
      <c r="G217" s="1164"/>
      <c r="H217" s="1164"/>
      <c r="I217" s="1165"/>
      <c r="J217" s="208" t="s">
        <v>198</v>
      </c>
      <c r="K217" s="95">
        <v>1</v>
      </c>
      <c r="L217" s="189"/>
      <c r="M217" s="128"/>
      <c r="N217" s="1149">
        <f t="shared" si="4"/>
        <v>0</v>
      </c>
      <c r="O217" s="1149"/>
      <c r="P217" s="1149"/>
      <c r="Q217" s="1149"/>
      <c r="R217" s="864"/>
      <c r="S217" s="864"/>
      <c r="AC217" s="398"/>
    </row>
    <row r="218" spans="3:29" s="205" customFormat="1" ht="31.5" customHeight="1">
      <c r="C218" s="183" t="s">
        <v>830</v>
      </c>
      <c r="D218" s="208"/>
      <c r="E218" s="94" t="s">
        <v>1741</v>
      </c>
      <c r="F218" s="1163" t="s">
        <v>1601</v>
      </c>
      <c r="G218" s="1164"/>
      <c r="H218" s="1164"/>
      <c r="I218" s="1165"/>
      <c r="J218" s="208" t="s">
        <v>198</v>
      </c>
      <c r="K218" s="95">
        <v>1</v>
      </c>
      <c r="L218" s="189"/>
      <c r="M218" s="128"/>
      <c r="N218" s="1149">
        <f t="shared" si="4"/>
        <v>0</v>
      </c>
      <c r="O218" s="1149"/>
      <c r="P218" s="1149"/>
      <c r="Q218" s="1149"/>
      <c r="R218" s="864"/>
      <c r="S218" s="864"/>
      <c r="AC218" s="398"/>
    </row>
    <row r="219" spans="3:29" s="205" customFormat="1" ht="31.5" customHeight="1">
      <c r="C219" s="183" t="s">
        <v>831</v>
      </c>
      <c r="D219" s="208"/>
      <c r="E219" s="94" t="s">
        <v>1742</v>
      </c>
      <c r="F219" s="1163" t="s">
        <v>1614</v>
      </c>
      <c r="G219" s="1164"/>
      <c r="H219" s="1164"/>
      <c r="I219" s="1165"/>
      <c r="J219" s="208" t="s">
        <v>198</v>
      </c>
      <c r="K219" s="95">
        <v>1</v>
      </c>
      <c r="L219" s="189"/>
      <c r="M219" s="128"/>
      <c r="N219" s="1149">
        <f t="shared" si="4"/>
        <v>0</v>
      </c>
      <c r="O219" s="1149"/>
      <c r="P219" s="1149"/>
      <c r="Q219" s="1149"/>
      <c r="R219" s="864"/>
      <c r="S219" s="864"/>
      <c r="AC219" s="398"/>
    </row>
    <row r="220" spans="3:29" s="205" customFormat="1" ht="31.5" customHeight="1">
      <c r="C220" s="183" t="s">
        <v>832</v>
      </c>
      <c r="D220" s="208"/>
      <c r="E220" s="94" t="s">
        <v>1743</v>
      </c>
      <c r="F220" s="1163" t="s">
        <v>1613</v>
      </c>
      <c r="G220" s="1164"/>
      <c r="H220" s="1164"/>
      <c r="I220" s="1165"/>
      <c r="J220" s="208" t="s">
        <v>198</v>
      </c>
      <c r="K220" s="95">
        <v>1</v>
      </c>
      <c r="L220" s="189"/>
      <c r="M220" s="128"/>
      <c r="N220" s="1149">
        <f t="shared" si="4"/>
        <v>0</v>
      </c>
      <c r="O220" s="1149"/>
      <c r="P220" s="1149"/>
      <c r="Q220" s="1149"/>
      <c r="R220" s="864"/>
      <c r="S220" s="864"/>
      <c r="AC220" s="398"/>
    </row>
    <row r="221" spans="3:29" s="205" customFormat="1" ht="31.5" customHeight="1">
      <c r="C221" s="183" t="s">
        <v>833</v>
      </c>
      <c r="D221" s="208"/>
      <c r="E221" s="94" t="s">
        <v>1744</v>
      </c>
      <c r="F221" s="1163" t="s">
        <v>1612</v>
      </c>
      <c r="G221" s="1164"/>
      <c r="H221" s="1164"/>
      <c r="I221" s="1165"/>
      <c r="J221" s="208" t="s">
        <v>198</v>
      </c>
      <c r="K221" s="95">
        <v>24</v>
      </c>
      <c r="L221" s="189"/>
      <c r="M221" s="128"/>
      <c r="N221" s="1149">
        <f t="shared" si="4"/>
        <v>0</v>
      </c>
      <c r="O221" s="1149"/>
      <c r="P221" s="1149"/>
      <c r="Q221" s="1149"/>
      <c r="R221" s="864"/>
      <c r="S221" s="864"/>
      <c r="AC221" s="398"/>
    </row>
    <row r="222" spans="1:29" s="205" customFormat="1" ht="31.5" customHeight="1">
      <c r="A222" s="860"/>
      <c r="B222" s="860"/>
      <c r="D222" s="190"/>
      <c r="F222" s="1160" t="s">
        <v>547</v>
      </c>
      <c r="G222" s="1160"/>
      <c r="H222" s="1160"/>
      <c r="I222" s="1160"/>
      <c r="J222" s="202"/>
      <c r="K222" s="203"/>
      <c r="L222" s="189"/>
      <c r="M222" s="128"/>
      <c r="N222" s="1149"/>
      <c r="O222" s="1149"/>
      <c r="P222" s="1149"/>
      <c r="Q222" s="1149"/>
      <c r="R222" s="861"/>
      <c r="S222" s="861"/>
      <c r="AC222" s="398"/>
    </row>
    <row r="223" spans="1:29" s="863" customFormat="1" ht="31.5" customHeight="1">
      <c r="A223" s="862"/>
      <c r="B223" s="862"/>
      <c r="C223" s="183" t="s">
        <v>834</v>
      </c>
      <c r="D223" s="206"/>
      <c r="E223" s="94" t="s">
        <v>1745</v>
      </c>
      <c r="F223" s="1153" t="s">
        <v>1599</v>
      </c>
      <c r="G223" s="1159"/>
      <c r="H223" s="1159"/>
      <c r="I223" s="1159"/>
      <c r="J223" s="202" t="s">
        <v>198</v>
      </c>
      <c r="K223" s="203">
        <v>2</v>
      </c>
      <c r="L223" s="189"/>
      <c r="M223" s="128"/>
      <c r="N223" s="1149">
        <f>ROUND(L223*K223,2)</f>
        <v>0</v>
      </c>
      <c r="O223" s="1149"/>
      <c r="P223" s="1149"/>
      <c r="Q223" s="1149"/>
      <c r="R223" s="862"/>
      <c r="S223" s="862"/>
      <c r="AC223" s="398"/>
    </row>
    <row r="224" spans="1:29" s="863" customFormat="1" ht="31.5" customHeight="1">
      <c r="A224" s="862"/>
      <c r="B224" s="862"/>
      <c r="C224" s="183" t="s">
        <v>835</v>
      </c>
      <c r="D224" s="207"/>
      <c r="E224" s="94" t="s">
        <v>1746</v>
      </c>
      <c r="F224" s="1153" t="s">
        <v>1598</v>
      </c>
      <c r="G224" s="1159"/>
      <c r="H224" s="1159"/>
      <c r="I224" s="1159"/>
      <c r="J224" s="202" t="s">
        <v>198</v>
      </c>
      <c r="K224" s="203">
        <v>2</v>
      </c>
      <c r="L224" s="189"/>
      <c r="M224" s="128"/>
      <c r="N224" s="1149">
        <f>ROUND(L224*K224,2)</f>
        <v>0</v>
      </c>
      <c r="O224" s="1149"/>
      <c r="P224" s="1149"/>
      <c r="Q224" s="1149"/>
      <c r="R224" s="862"/>
      <c r="S224" s="862"/>
      <c r="AC224" s="398"/>
    </row>
    <row r="225" spans="1:29" s="191" customFormat="1" ht="31.5" customHeight="1">
      <c r="A225" s="617"/>
      <c r="B225" s="617"/>
      <c r="C225" s="183" t="s">
        <v>836</v>
      </c>
      <c r="D225" s="190"/>
      <c r="E225" s="94" t="s">
        <v>1747</v>
      </c>
      <c r="F225" s="1153" t="s">
        <v>1611</v>
      </c>
      <c r="G225" s="1154"/>
      <c r="H225" s="1154"/>
      <c r="I225" s="1154"/>
      <c r="J225" s="202" t="s">
        <v>198</v>
      </c>
      <c r="K225" s="203">
        <v>2</v>
      </c>
      <c r="L225" s="189"/>
      <c r="M225" s="128"/>
      <c r="N225" s="1149">
        <f>ROUND(L225*K225,2)</f>
        <v>0</v>
      </c>
      <c r="O225" s="1149"/>
      <c r="P225" s="1149"/>
      <c r="Q225" s="1149"/>
      <c r="R225" s="855"/>
      <c r="S225" s="855"/>
      <c r="AC225" s="398"/>
    </row>
    <row r="226" spans="1:29" s="191" customFormat="1" ht="31.5" customHeight="1">
      <c r="A226" s="617"/>
      <c r="B226" s="617"/>
      <c r="D226" s="190"/>
      <c r="F226" s="1155" t="s">
        <v>1592</v>
      </c>
      <c r="G226" s="1156"/>
      <c r="H226" s="1156"/>
      <c r="I226" s="1156"/>
      <c r="J226" s="202"/>
      <c r="K226" s="203"/>
      <c r="L226" s="189"/>
      <c r="M226" s="128"/>
      <c r="N226" s="1149"/>
      <c r="O226" s="1149"/>
      <c r="P226" s="1149"/>
      <c r="Q226" s="1149"/>
      <c r="R226" s="855"/>
      <c r="S226" s="855"/>
      <c r="AC226" s="398"/>
    </row>
    <row r="227" spans="1:29" s="579" customFormat="1" ht="31.5" customHeight="1">
      <c r="A227" s="859"/>
      <c r="B227" s="859"/>
      <c r="C227" s="183" t="s">
        <v>837</v>
      </c>
      <c r="D227" s="147"/>
      <c r="E227" s="94" t="s">
        <v>1748</v>
      </c>
      <c r="F227" s="1155" t="s">
        <v>1591</v>
      </c>
      <c r="G227" s="1156"/>
      <c r="H227" s="1156"/>
      <c r="I227" s="1156"/>
      <c r="J227" s="147" t="s">
        <v>131</v>
      </c>
      <c r="K227" s="196">
        <v>1</v>
      </c>
      <c r="L227" s="185"/>
      <c r="M227" s="128"/>
      <c r="N227" s="948">
        <f>ROUND(L227*K227,2)</f>
        <v>0</v>
      </c>
      <c r="O227" s="948"/>
      <c r="P227" s="948"/>
      <c r="Q227" s="948"/>
      <c r="R227" s="213"/>
      <c r="S227" s="213"/>
      <c r="AC227" s="398"/>
    </row>
    <row r="228" spans="2:47" s="249" customFormat="1" ht="30" customHeight="1">
      <c r="B228" s="247"/>
      <c r="C228" s="183" t="s">
        <v>838</v>
      </c>
      <c r="D228" s="195"/>
      <c r="E228" s="94" t="s">
        <v>1749</v>
      </c>
      <c r="F228" s="954" t="s">
        <v>206</v>
      </c>
      <c r="G228" s="954"/>
      <c r="H228" s="954"/>
      <c r="I228" s="954"/>
      <c r="J228" s="103" t="s">
        <v>2227</v>
      </c>
      <c r="K228" s="45">
        <v>1</v>
      </c>
      <c r="L228" s="197"/>
      <c r="M228" s="128"/>
      <c r="N228" s="948">
        <f>ROUND(L228*K228,2)</f>
        <v>0</v>
      </c>
      <c r="O228" s="948"/>
      <c r="P228" s="948"/>
      <c r="Q228" s="948"/>
      <c r="R228" s="248"/>
      <c r="T228" s="639"/>
      <c r="U228" s="87"/>
      <c r="V228" s="87"/>
      <c r="W228" s="87"/>
      <c r="X228" s="87"/>
      <c r="Y228" s="87"/>
      <c r="Z228" s="87"/>
      <c r="AA228" s="275"/>
      <c r="AC228" s="398"/>
      <c r="AU228" s="240" t="s">
        <v>76</v>
      </c>
    </row>
    <row r="229" spans="2:65" s="249" customFormat="1" ht="30" customHeight="1">
      <c r="B229" s="247"/>
      <c r="C229" s="183" t="s">
        <v>839</v>
      </c>
      <c r="D229" s="195"/>
      <c r="E229" s="94" t="s">
        <v>1750</v>
      </c>
      <c r="F229" s="954" t="s">
        <v>2226</v>
      </c>
      <c r="G229" s="954"/>
      <c r="H229" s="954"/>
      <c r="I229" s="954"/>
      <c r="J229" s="103" t="s">
        <v>2227</v>
      </c>
      <c r="K229" s="142">
        <v>1</v>
      </c>
      <c r="L229" s="197"/>
      <c r="M229" s="128"/>
      <c r="N229" s="948">
        <f>ROUND(L229*K229,2)</f>
        <v>0</v>
      </c>
      <c r="O229" s="948"/>
      <c r="P229" s="948"/>
      <c r="Q229" s="948"/>
      <c r="R229" s="248"/>
      <c r="T229" s="640" t="s">
        <v>5</v>
      </c>
      <c r="U229" s="641" t="s">
        <v>36</v>
      </c>
      <c r="V229" s="642">
        <v>0</v>
      </c>
      <c r="W229" s="642" t="e">
        <f>V229*#REF!</f>
        <v>#REF!</v>
      </c>
      <c r="X229" s="642">
        <v>0</v>
      </c>
      <c r="Y229" s="642" t="e">
        <f>X229*#REF!</f>
        <v>#REF!</v>
      </c>
      <c r="Z229" s="642">
        <v>0</v>
      </c>
      <c r="AA229" s="643" t="e">
        <f>Z229*#REF!</f>
        <v>#REF!</v>
      </c>
      <c r="AC229" s="398"/>
      <c r="AU229" s="240" t="s">
        <v>76</v>
      </c>
      <c r="AY229" s="240" t="s">
        <v>125</v>
      </c>
      <c r="BE229" s="250">
        <f>IF(U229="základní",#REF!,0)</f>
        <v>0</v>
      </c>
      <c r="BF229" s="250" t="e">
        <f>IF(U229="snížená",#REF!,0)</f>
        <v>#REF!</v>
      </c>
      <c r="BG229" s="250">
        <f>IF(U229="zákl. přenesená",#REF!,0)</f>
        <v>0</v>
      </c>
      <c r="BH229" s="250">
        <f>IF(U229="sníž. přenesená",#REF!,0)</f>
        <v>0</v>
      </c>
      <c r="BI229" s="250">
        <f>IF(U229="nulová",#REF!,0)</f>
        <v>0</v>
      </c>
      <c r="BJ229" s="240" t="s">
        <v>80</v>
      </c>
      <c r="BK229" s="250" t="e">
        <f>ROUND(#REF!*#REF!,2)</f>
        <v>#REF!</v>
      </c>
      <c r="BL229" s="240" t="s">
        <v>128</v>
      </c>
      <c r="BM229" s="240" t="s">
        <v>139</v>
      </c>
    </row>
    <row r="230" spans="2:63" s="398" customFormat="1" ht="29.85" customHeight="1">
      <c r="B230" s="399"/>
      <c r="C230" s="199"/>
      <c r="D230" s="204" t="s">
        <v>1610</v>
      </c>
      <c r="E230" s="200"/>
      <c r="F230" s="200"/>
      <c r="G230" s="200"/>
      <c r="H230" s="200"/>
      <c r="I230" s="200"/>
      <c r="J230" s="200"/>
      <c r="K230" s="200"/>
      <c r="L230" s="200"/>
      <c r="M230" s="128"/>
      <c r="N230" s="1157"/>
      <c r="O230" s="1158"/>
      <c r="P230" s="1158"/>
      <c r="Q230" s="1158"/>
      <c r="R230" s="853"/>
      <c r="S230" s="854"/>
      <c r="T230" s="401"/>
      <c r="U230" s="181"/>
      <c r="V230" s="181"/>
      <c r="W230" s="402">
        <f>SUM(W232:W233)</f>
        <v>0</v>
      </c>
      <c r="X230" s="181"/>
      <c r="Y230" s="402">
        <f>SUM(Y232:Y233)</f>
        <v>0</v>
      </c>
      <c r="Z230" s="181"/>
      <c r="AA230" s="403">
        <f>SUM(AA232:AA233)</f>
        <v>0</v>
      </c>
      <c r="AR230" s="404" t="s">
        <v>76</v>
      </c>
      <c r="AT230" s="405" t="s">
        <v>68</v>
      </c>
      <c r="AU230" s="405" t="s">
        <v>76</v>
      </c>
      <c r="AY230" s="404" t="s">
        <v>125</v>
      </c>
      <c r="BK230" s="406">
        <f>SUM(BK232:BK233)</f>
        <v>0</v>
      </c>
    </row>
    <row r="231" spans="1:63" s="398" customFormat="1" ht="37.35" customHeight="1">
      <c r="A231" s="181"/>
      <c r="B231" s="399"/>
      <c r="C231" s="183" t="s">
        <v>840</v>
      </c>
      <c r="D231" s="184"/>
      <c r="E231" s="94" t="s">
        <v>1751</v>
      </c>
      <c r="F231" s="960" t="s">
        <v>1596</v>
      </c>
      <c r="G231" s="960"/>
      <c r="H231" s="960"/>
      <c r="I231" s="960"/>
      <c r="J231" s="94" t="s">
        <v>131</v>
      </c>
      <c r="K231" s="95">
        <v>1</v>
      </c>
      <c r="L231" s="185"/>
      <c r="M231" s="128"/>
      <c r="N231" s="948">
        <f aca="true" t="shared" si="5" ref="N231:N242">ROUND(L231*K231,2)</f>
        <v>0</v>
      </c>
      <c r="O231" s="948"/>
      <c r="P231" s="948"/>
      <c r="Q231" s="948"/>
      <c r="R231" s="199"/>
      <c r="S231" s="199"/>
      <c r="T231" s="181"/>
      <c r="U231" s="181"/>
      <c r="V231" s="181"/>
      <c r="W231" s="402"/>
      <c r="X231" s="181"/>
      <c r="Y231" s="402"/>
      <c r="Z231" s="181"/>
      <c r="AA231" s="402"/>
      <c r="AB231" s="181"/>
      <c r="AU231" s="405"/>
      <c r="AY231" s="404"/>
      <c r="BK231" s="406"/>
    </row>
    <row r="232" spans="3:29" s="205" customFormat="1" ht="31.5" customHeight="1">
      <c r="C232" s="183" t="s">
        <v>841</v>
      </c>
      <c r="D232" s="208"/>
      <c r="E232" s="94" t="s">
        <v>1752</v>
      </c>
      <c r="F232" s="1163" t="s">
        <v>1609</v>
      </c>
      <c r="G232" s="1164"/>
      <c r="H232" s="1164"/>
      <c r="I232" s="1165"/>
      <c r="J232" s="208" t="s">
        <v>198</v>
      </c>
      <c r="K232" s="95">
        <v>1</v>
      </c>
      <c r="L232" s="189"/>
      <c r="M232" s="128"/>
      <c r="N232" s="1149">
        <f t="shared" si="5"/>
        <v>0</v>
      </c>
      <c r="O232" s="1149"/>
      <c r="P232" s="1149"/>
      <c r="Q232" s="1149"/>
      <c r="R232" s="864"/>
      <c r="S232" s="864"/>
      <c r="AC232" s="398"/>
    </row>
    <row r="233" spans="3:29" s="205" customFormat="1" ht="31.5" customHeight="1">
      <c r="C233" s="183" t="s">
        <v>842</v>
      </c>
      <c r="D233" s="208"/>
      <c r="E233" s="94" t="s">
        <v>1753</v>
      </c>
      <c r="F233" s="1163" t="s">
        <v>1608</v>
      </c>
      <c r="G233" s="1164"/>
      <c r="H233" s="1164"/>
      <c r="I233" s="1165"/>
      <c r="J233" s="208" t="s">
        <v>198</v>
      </c>
      <c r="K233" s="95">
        <v>1</v>
      </c>
      <c r="L233" s="189"/>
      <c r="M233" s="128"/>
      <c r="N233" s="1149">
        <f t="shared" si="5"/>
        <v>0</v>
      </c>
      <c r="O233" s="1149"/>
      <c r="P233" s="1149"/>
      <c r="Q233" s="1149"/>
      <c r="R233" s="864"/>
      <c r="S233" s="864"/>
      <c r="AC233" s="398"/>
    </row>
    <row r="234" spans="3:29" s="205" customFormat="1" ht="31.5" customHeight="1">
      <c r="C234" s="183" t="s">
        <v>843</v>
      </c>
      <c r="D234" s="208"/>
      <c r="E234" s="94" t="s">
        <v>1754</v>
      </c>
      <c r="F234" s="1163" t="s">
        <v>1607</v>
      </c>
      <c r="G234" s="1164"/>
      <c r="H234" s="1164"/>
      <c r="I234" s="1165"/>
      <c r="J234" s="208" t="s">
        <v>198</v>
      </c>
      <c r="K234" s="95">
        <v>1</v>
      </c>
      <c r="L234" s="189"/>
      <c r="M234" s="128"/>
      <c r="N234" s="1149">
        <f t="shared" si="5"/>
        <v>0</v>
      </c>
      <c r="O234" s="1149"/>
      <c r="P234" s="1149"/>
      <c r="Q234" s="1149"/>
      <c r="R234" s="864"/>
      <c r="S234" s="864"/>
      <c r="AC234" s="398"/>
    </row>
    <row r="235" spans="3:29" s="205" customFormat="1" ht="31.5" customHeight="1">
      <c r="C235" s="183" t="s">
        <v>844</v>
      </c>
      <c r="D235" s="208"/>
      <c r="E235" s="94" t="s">
        <v>1755</v>
      </c>
      <c r="F235" s="1163" t="s">
        <v>1606</v>
      </c>
      <c r="G235" s="1164"/>
      <c r="H235" s="1164"/>
      <c r="I235" s="1165"/>
      <c r="J235" s="208" t="s">
        <v>198</v>
      </c>
      <c r="K235" s="95">
        <v>1</v>
      </c>
      <c r="L235" s="189"/>
      <c r="M235" s="128"/>
      <c r="N235" s="1149">
        <f t="shared" si="5"/>
        <v>0</v>
      </c>
      <c r="O235" s="1149"/>
      <c r="P235" s="1149"/>
      <c r="Q235" s="1149"/>
      <c r="R235" s="864"/>
      <c r="S235" s="864"/>
      <c r="AC235" s="398"/>
    </row>
    <row r="236" spans="3:29" s="205" customFormat="1" ht="31.5" customHeight="1">
      <c r="C236" s="183" t="s">
        <v>845</v>
      </c>
      <c r="D236" s="208"/>
      <c r="E236" s="94" t="s">
        <v>1756</v>
      </c>
      <c r="F236" s="1163" t="s">
        <v>1605</v>
      </c>
      <c r="G236" s="1164"/>
      <c r="H236" s="1164"/>
      <c r="I236" s="1165"/>
      <c r="J236" s="208" t="s">
        <v>198</v>
      </c>
      <c r="K236" s="95">
        <v>1</v>
      </c>
      <c r="L236" s="189"/>
      <c r="M236" s="128"/>
      <c r="N236" s="1149">
        <f t="shared" si="5"/>
        <v>0</v>
      </c>
      <c r="O236" s="1149"/>
      <c r="P236" s="1149"/>
      <c r="Q236" s="1149"/>
      <c r="R236" s="864"/>
      <c r="S236" s="864"/>
      <c r="AC236" s="398"/>
    </row>
    <row r="237" spans="3:29" s="205" customFormat="1" ht="31.5" customHeight="1">
      <c r="C237" s="183" t="s">
        <v>846</v>
      </c>
      <c r="D237" s="208"/>
      <c r="E237" s="94" t="s">
        <v>1757</v>
      </c>
      <c r="F237" s="1163" t="s">
        <v>1604</v>
      </c>
      <c r="G237" s="1164"/>
      <c r="H237" s="1164"/>
      <c r="I237" s="1165"/>
      <c r="J237" s="208" t="s">
        <v>198</v>
      </c>
      <c r="K237" s="95">
        <v>1</v>
      </c>
      <c r="L237" s="189"/>
      <c r="M237" s="128"/>
      <c r="N237" s="1149">
        <f t="shared" si="5"/>
        <v>0</v>
      </c>
      <c r="O237" s="1149"/>
      <c r="P237" s="1149"/>
      <c r="Q237" s="1149"/>
      <c r="R237" s="864"/>
      <c r="S237" s="864"/>
      <c r="AC237" s="398"/>
    </row>
    <row r="238" spans="3:29" s="205" customFormat="1" ht="31.5" customHeight="1">
      <c r="C238" s="183" t="s">
        <v>847</v>
      </c>
      <c r="D238" s="208"/>
      <c r="E238" s="94" t="s">
        <v>1758</v>
      </c>
      <c r="F238" s="1163" t="s">
        <v>1603</v>
      </c>
      <c r="G238" s="1164"/>
      <c r="H238" s="1164"/>
      <c r="I238" s="1165"/>
      <c r="J238" s="208" t="s">
        <v>198</v>
      </c>
      <c r="K238" s="95">
        <v>1</v>
      </c>
      <c r="L238" s="189"/>
      <c r="M238" s="128"/>
      <c r="N238" s="1149">
        <f t="shared" si="5"/>
        <v>0</v>
      </c>
      <c r="O238" s="1149"/>
      <c r="P238" s="1149"/>
      <c r="Q238" s="1149"/>
      <c r="R238" s="864"/>
      <c r="S238" s="864"/>
      <c r="AC238" s="398"/>
    </row>
    <row r="239" spans="3:29" s="205" customFormat="1" ht="31.5" customHeight="1">
      <c r="C239" s="183" t="s">
        <v>848</v>
      </c>
      <c r="D239" s="208"/>
      <c r="E239" s="94" t="s">
        <v>1759</v>
      </c>
      <c r="F239" s="1163" t="s">
        <v>1602</v>
      </c>
      <c r="G239" s="1164"/>
      <c r="H239" s="1164"/>
      <c r="I239" s="1165"/>
      <c r="J239" s="208" t="s">
        <v>198</v>
      </c>
      <c r="K239" s="95">
        <v>1</v>
      </c>
      <c r="L239" s="189"/>
      <c r="M239" s="128"/>
      <c r="N239" s="1149">
        <f t="shared" si="5"/>
        <v>0</v>
      </c>
      <c r="O239" s="1149"/>
      <c r="P239" s="1149"/>
      <c r="Q239" s="1149"/>
      <c r="R239" s="864"/>
      <c r="S239" s="864"/>
      <c r="AC239" s="398"/>
    </row>
    <row r="240" spans="3:29" s="205" customFormat="1" ht="31.5" customHeight="1">
      <c r="C240" s="183" t="s">
        <v>849</v>
      </c>
      <c r="D240" s="208"/>
      <c r="E240" s="94" t="s">
        <v>1760</v>
      </c>
      <c r="F240" s="1163" t="s">
        <v>1594</v>
      </c>
      <c r="G240" s="1164"/>
      <c r="H240" s="1164"/>
      <c r="I240" s="1165"/>
      <c r="J240" s="208" t="s">
        <v>198</v>
      </c>
      <c r="K240" s="95">
        <v>1</v>
      </c>
      <c r="L240" s="189"/>
      <c r="M240" s="128"/>
      <c r="N240" s="1149">
        <f t="shared" si="5"/>
        <v>0</v>
      </c>
      <c r="O240" s="1149"/>
      <c r="P240" s="1149"/>
      <c r="Q240" s="1149"/>
      <c r="R240" s="864"/>
      <c r="S240" s="864"/>
      <c r="AC240" s="398"/>
    </row>
    <row r="241" spans="3:29" s="205" customFormat="1" ht="31.5" customHeight="1">
      <c r="C241" s="183" t="s">
        <v>850</v>
      </c>
      <c r="D241" s="208"/>
      <c r="E241" s="94" t="s">
        <v>1761</v>
      </c>
      <c r="F241" s="1163" t="s">
        <v>1601</v>
      </c>
      <c r="G241" s="1164"/>
      <c r="H241" s="1164"/>
      <c r="I241" s="1165"/>
      <c r="J241" s="208" t="s">
        <v>198</v>
      </c>
      <c r="K241" s="95">
        <v>1</v>
      </c>
      <c r="L241" s="189"/>
      <c r="M241" s="128"/>
      <c r="N241" s="1149">
        <f t="shared" si="5"/>
        <v>0</v>
      </c>
      <c r="O241" s="1149"/>
      <c r="P241" s="1149"/>
      <c r="Q241" s="1149"/>
      <c r="R241" s="864"/>
      <c r="S241" s="864"/>
      <c r="AC241" s="398"/>
    </row>
    <row r="242" spans="3:29" s="205" customFormat="1" ht="31.5" customHeight="1">
      <c r="C242" s="183" t="s">
        <v>851</v>
      </c>
      <c r="D242" s="208"/>
      <c r="E242" s="94" t="s">
        <v>1762</v>
      </c>
      <c r="F242" s="1163" t="s">
        <v>1600</v>
      </c>
      <c r="G242" s="1164"/>
      <c r="H242" s="1164"/>
      <c r="I242" s="1165"/>
      <c r="J242" s="208" t="s">
        <v>198</v>
      </c>
      <c r="K242" s="95">
        <v>9</v>
      </c>
      <c r="L242" s="189"/>
      <c r="M242" s="128"/>
      <c r="N242" s="1149">
        <f t="shared" si="5"/>
        <v>0</v>
      </c>
      <c r="O242" s="1149"/>
      <c r="P242" s="1149"/>
      <c r="Q242" s="1149"/>
      <c r="R242" s="864"/>
      <c r="S242" s="864"/>
      <c r="AC242" s="398"/>
    </row>
    <row r="243" spans="1:29" s="205" customFormat="1" ht="31.5" customHeight="1">
      <c r="A243" s="860"/>
      <c r="B243" s="860"/>
      <c r="D243" s="190"/>
      <c r="F243" s="1160" t="s">
        <v>547</v>
      </c>
      <c r="G243" s="1160"/>
      <c r="H243" s="1160"/>
      <c r="I243" s="1160"/>
      <c r="J243" s="202"/>
      <c r="K243" s="203"/>
      <c r="L243" s="189"/>
      <c r="M243" s="128"/>
      <c r="N243" s="1149"/>
      <c r="O243" s="1149"/>
      <c r="P243" s="1149"/>
      <c r="Q243" s="1149"/>
      <c r="R243" s="861"/>
      <c r="S243" s="861"/>
      <c r="AC243" s="398"/>
    </row>
    <row r="244" spans="1:29" s="863" customFormat="1" ht="31.5" customHeight="1">
      <c r="A244" s="862"/>
      <c r="B244" s="862"/>
      <c r="C244" s="183" t="s">
        <v>852</v>
      </c>
      <c r="D244" s="206"/>
      <c r="E244" s="94" t="s">
        <v>1763</v>
      </c>
      <c r="F244" s="1153" t="s">
        <v>1599</v>
      </c>
      <c r="G244" s="1159"/>
      <c r="H244" s="1159"/>
      <c r="I244" s="1159"/>
      <c r="J244" s="202" t="s">
        <v>198</v>
      </c>
      <c r="K244" s="203">
        <v>1</v>
      </c>
      <c r="L244" s="189"/>
      <c r="M244" s="128"/>
      <c r="N244" s="1149">
        <f>ROUND(L244*K244,2)</f>
        <v>0</v>
      </c>
      <c r="O244" s="1149"/>
      <c r="P244" s="1149"/>
      <c r="Q244" s="1149"/>
      <c r="R244" s="862"/>
      <c r="S244" s="862"/>
      <c r="AC244" s="398"/>
    </row>
    <row r="245" spans="1:29" s="863" customFormat="1" ht="31.5" customHeight="1">
      <c r="A245" s="862"/>
      <c r="B245" s="862"/>
      <c r="C245" s="183" t="s">
        <v>853</v>
      </c>
      <c r="D245" s="207"/>
      <c r="E245" s="94" t="s">
        <v>1764</v>
      </c>
      <c r="F245" s="1153" t="s">
        <v>1598</v>
      </c>
      <c r="G245" s="1159"/>
      <c r="H245" s="1159"/>
      <c r="I245" s="1159"/>
      <c r="J245" s="202" t="s">
        <v>198</v>
      </c>
      <c r="K245" s="203">
        <v>1</v>
      </c>
      <c r="L245" s="189"/>
      <c r="M245" s="128"/>
      <c r="N245" s="1149">
        <f>ROUND(L245*K245,2)</f>
        <v>0</v>
      </c>
      <c r="O245" s="1149"/>
      <c r="P245" s="1149"/>
      <c r="Q245" s="1149"/>
      <c r="R245" s="862"/>
      <c r="S245" s="862"/>
      <c r="AC245" s="398"/>
    </row>
    <row r="246" spans="1:29" s="191" customFormat="1" ht="31.5" customHeight="1">
      <c r="A246" s="617"/>
      <c r="B246" s="617"/>
      <c r="D246" s="190"/>
      <c r="F246" s="1155" t="s">
        <v>1592</v>
      </c>
      <c r="G246" s="1156"/>
      <c r="H246" s="1156"/>
      <c r="I246" s="1156"/>
      <c r="J246" s="202"/>
      <c r="K246" s="203"/>
      <c r="L246" s="189"/>
      <c r="M246" s="128"/>
      <c r="N246" s="1149"/>
      <c r="O246" s="1149"/>
      <c r="P246" s="1149"/>
      <c r="Q246" s="1149"/>
      <c r="R246" s="855"/>
      <c r="S246" s="855"/>
      <c r="AC246" s="398"/>
    </row>
    <row r="247" spans="1:29" s="579" customFormat="1" ht="31.5" customHeight="1">
      <c r="A247" s="859"/>
      <c r="B247" s="859"/>
      <c r="C247" s="183" t="s">
        <v>854</v>
      </c>
      <c r="D247" s="147"/>
      <c r="E247" s="94" t="s">
        <v>1765</v>
      </c>
      <c r="F247" s="1155" t="s">
        <v>1591</v>
      </c>
      <c r="G247" s="1156"/>
      <c r="H247" s="1156"/>
      <c r="I247" s="1156"/>
      <c r="J247" s="147" t="s">
        <v>131</v>
      </c>
      <c r="K247" s="196">
        <v>1</v>
      </c>
      <c r="L247" s="185"/>
      <c r="M247" s="128"/>
      <c r="N247" s="948">
        <f>ROUND(L247*K247,2)</f>
        <v>0</v>
      </c>
      <c r="O247" s="948"/>
      <c r="P247" s="948"/>
      <c r="Q247" s="948"/>
      <c r="R247" s="213"/>
      <c r="S247" s="213"/>
      <c r="AC247" s="398"/>
    </row>
    <row r="248" spans="2:47" s="249" customFormat="1" ht="30" customHeight="1">
      <c r="B248" s="247"/>
      <c r="C248" s="183" t="s">
        <v>855</v>
      </c>
      <c r="D248" s="195"/>
      <c r="E248" s="94" t="s">
        <v>1766</v>
      </c>
      <c r="F248" s="954" t="s">
        <v>206</v>
      </c>
      <c r="G248" s="954"/>
      <c r="H248" s="954"/>
      <c r="I248" s="954"/>
      <c r="J248" s="103" t="s">
        <v>2227</v>
      </c>
      <c r="K248" s="45">
        <v>1</v>
      </c>
      <c r="L248" s="197"/>
      <c r="M248" s="128"/>
      <c r="N248" s="948">
        <f>ROUND(L248*K248,2)</f>
        <v>0</v>
      </c>
      <c r="O248" s="948"/>
      <c r="P248" s="948"/>
      <c r="Q248" s="948"/>
      <c r="R248" s="248"/>
      <c r="T248" s="639"/>
      <c r="U248" s="87"/>
      <c r="V248" s="87"/>
      <c r="W248" s="87"/>
      <c r="X248" s="87"/>
      <c r="Y248" s="87"/>
      <c r="Z248" s="87"/>
      <c r="AA248" s="275"/>
      <c r="AC248" s="398"/>
      <c r="AU248" s="240" t="s">
        <v>76</v>
      </c>
    </row>
    <row r="249" spans="2:65" s="249" customFormat="1" ht="30" customHeight="1">
      <c r="B249" s="247"/>
      <c r="C249" s="183" t="s">
        <v>856</v>
      </c>
      <c r="D249" s="195"/>
      <c r="E249" s="94" t="s">
        <v>1767</v>
      </c>
      <c r="F249" s="954" t="s">
        <v>2226</v>
      </c>
      <c r="G249" s="954"/>
      <c r="H249" s="954"/>
      <c r="I249" s="954"/>
      <c r="J249" s="103" t="s">
        <v>2227</v>
      </c>
      <c r="K249" s="142">
        <v>1</v>
      </c>
      <c r="L249" s="197"/>
      <c r="M249" s="128"/>
      <c r="N249" s="948">
        <f>ROUND(L249*K249,2)</f>
        <v>0</v>
      </c>
      <c r="O249" s="948"/>
      <c r="P249" s="948"/>
      <c r="Q249" s="948"/>
      <c r="R249" s="248"/>
      <c r="T249" s="640" t="s">
        <v>5</v>
      </c>
      <c r="U249" s="641" t="s">
        <v>36</v>
      </c>
      <c r="V249" s="642">
        <v>0</v>
      </c>
      <c r="W249" s="642" t="e">
        <f>V249*#REF!</f>
        <v>#REF!</v>
      </c>
      <c r="X249" s="642">
        <v>0</v>
      </c>
      <c r="Y249" s="642" t="e">
        <f>X249*#REF!</f>
        <v>#REF!</v>
      </c>
      <c r="Z249" s="642">
        <v>0</v>
      </c>
      <c r="AA249" s="643" t="e">
        <f>Z249*#REF!</f>
        <v>#REF!</v>
      </c>
      <c r="AC249" s="398"/>
      <c r="AU249" s="240" t="s">
        <v>76</v>
      </c>
      <c r="AY249" s="240" t="s">
        <v>125</v>
      </c>
      <c r="BE249" s="250">
        <f>IF(U249="základní",#REF!,0)</f>
        <v>0</v>
      </c>
      <c r="BF249" s="250" t="e">
        <f>IF(U249="snížená",#REF!,0)</f>
        <v>#REF!</v>
      </c>
      <c r="BG249" s="250">
        <f>IF(U249="zákl. přenesená",#REF!,0)</f>
        <v>0</v>
      </c>
      <c r="BH249" s="250">
        <f>IF(U249="sníž. přenesená",#REF!,0)</f>
        <v>0</v>
      </c>
      <c r="BI249" s="250">
        <f>IF(U249="nulová",#REF!,0)</f>
        <v>0</v>
      </c>
      <c r="BJ249" s="240" t="s">
        <v>80</v>
      </c>
      <c r="BK249" s="250" t="e">
        <f>ROUND(#REF!*#REF!,2)</f>
        <v>#REF!</v>
      </c>
      <c r="BL249" s="240" t="s">
        <v>128</v>
      </c>
      <c r="BM249" s="240" t="s">
        <v>139</v>
      </c>
    </row>
    <row r="250" spans="2:63" s="398" customFormat="1" ht="29.85" customHeight="1">
      <c r="B250" s="399"/>
      <c r="C250" s="199"/>
      <c r="D250" s="204" t="s">
        <v>1597</v>
      </c>
      <c r="E250" s="200"/>
      <c r="F250" s="200"/>
      <c r="G250" s="200"/>
      <c r="H250" s="200"/>
      <c r="I250" s="200"/>
      <c r="J250" s="200"/>
      <c r="K250" s="200"/>
      <c r="L250" s="200"/>
      <c r="M250" s="128"/>
      <c r="N250" s="1157"/>
      <c r="O250" s="1158"/>
      <c r="P250" s="1158"/>
      <c r="Q250" s="1158"/>
      <c r="R250" s="853"/>
      <c r="S250" s="854"/>
      <c r="T250" s="401"/>
      <c r="U250" s="181"/>
      <c r="V250" s="181"/>
      <c r="W250" s="402">
        <f>SUM(W253:W254)</f>
        <v>0</v>
      </c>
      <c r="X250" s="181"/>
      <c r="Y250" s="402">
        <f>SUM(Y253:Y254)</f>
        <v>0</v>
      </c>
      <c r="Z250" s="181"/>
      <c r="AA250" s="403">
        <f>SUM(AA253:AA254)</f>
        <v>0</v>
      </c>
      <c r="AR250" s="404" t="s">
        <v>76</v>
      </c>
      <c r="AT250" s="405" t="s">
        <v>68</v>
      </c>
      <c r="AU250" s="405" t="s">
        <v>76</v>
      </c>
      <c r="AY250" s="404" t="s">
        <v>125</v>
      </c>
      <c r="BK250" s="406">
        <f>SUM(BK253:BK254)</f>
        <v>0</v>
      </c>
    </row>
    <row r="251" spans="1:63" s="398" customFormat="1" ht="37.35" customHeight="1">
      <c r="A251" s="181"/>
      <c r="B251" s="399"/>
      <c r="C251" s="183" t="s">
        <v>857</v>
      </c>
      <c r="D251" s="184"/>
      <c r="E251" s="94" t="s">
        <v>1767</v>
      </c>
      <c r="F251" s="960" t="s">
        <v>1596</v>
      </c>
      <c r="G251" s="960"/>
      <c r="H251" s="960"/>
      <c r="I251" s="960"/>
      <c r="J251" s="94" t="s">
        <v>131</v>
      </c>
      <c r="K251" s="95">
        <v>1</v>
      </c>
      <c r="L251" s="185"/>
      <c r="M251" s="128"/>
      <c r="N251" s="948">
        <f>ROUND(L251*K251,2)</f>
        <v>0</v>
      </c>
      <c r="O251" s="948"/>
      <c r="P251" s="948"/>
      <c r="Q251" s="948"/>
      <c r="R251" s="199"/>
      <c r="S251" s="199"/>
      <c r="T251" s="181"/>
      <c r="U251" s="181"/>
      <c r="V251" s="181"/>
      <c r="W251" s="402"/>
      <c r="X251" s="181"/>
      <c r="Y251" s="402"/>
      <c r="Z251" s="181"/>
      <c r="AA251" s="402"/>
      <c r="AB251" s="181"/>
      <c r="AU251" s="405"/>
      <c r="AY251" s="404"/>
      <c r="BK251" s="406"/>
    </row>
    <row r="252" spans="3:29" ht="31.5" customHeight="1">
      <c r="C252" s="183" t="s">
        <v>858</v>
      </c>
      <c r="D252" s="212"/>
      <c r="E252" s="94" t="s">
        <v>1768</v>
      </c>
      <c r="F252" s="1163" t="s">
        <v>1595</v>
      </c>
      <c r="G252" s="1164"/>
      <c r="H252" s="1164"/>
      <c r="I252" s="1165"/>
      <c r="J252" s="212" t="s">
        <v>198</v>
      </c>
      <c r="K252" s="95">
        <v>1</v>
      </c>
      <c r="L252" s="189"/>
      <c r="M252" s="128"/>
      <c r="N252" s="1149">
        <f>ROUND(L252*K252,2)</f>
        <v>0</v>
      </c>
      <c r="O252" s="1149"/>
      <c r="P252" s="1149"/>
      <c r="Q252" s="1149"/>
      <c r="R252" s="867"/>
      <c r="S252" s="867"/>
      <c r="AC252" s="398"/>
    </row>
    <row r="253" spans="3:29" ht="31.5" customHeight="1">
      <c r="C253" s="183" t="s">
        <v>859</v>
      </c>
      <c r="D253" s="212"/>
      <c r="E253" s="94" t="s">
        <v>1769</v>
      </c>
      <c r="F253" s="1163" t="s">
        <v>1594</v>
      </c>
      <c r="G253" s="1164"/>
      <c r="H253" s="1164"/>
      <c r="I253" s="1165"/>
      <c r="J253" s="212" t="s">
        <v>198</v>
      </c>
      <c r="K253" s="95">
        <v>1</v>
      </c>
      <c r="L253" s="189"/>
      <c r="M253" s="128"/>
      <c r="N253" s="1149">
        <f>ROUND(L253*K253,2)</f>
        <v>0</v>
      </c>
      <c r="O253" s="1149"/>
      <c r="P253" s="1149"/>
      <c r="Q253" s="1149"/>
      <c r="R253" s="867"/>
      <c r="S253" s="867"/>
      <c r="AC253" s="398"/>
    </row>
    <row r="254" spans="3:29" ht="31.5" customHeight="1">
      <c r="C254" s="183" t="s">
        <v>860</v>
      </c>
      <c r="D254" s="212"/>
      <c r="E254" s="94" t="s">
        <v>1770</v>
      </c>
      <c r="F254" s="1163" t="s">
        <v>1593</v>
      </c>
      <c r="G254" s="1164"/>
      <c r="H254" s="1164"/>
      <c r="I254" s="1165"/>
      <c r="J254" s="212" t="s">
        <v>198</v>
      </c>
      <c r="K254" s="95">
        <v>2</v>
      </c>
      <c r="L254" s="189"/>
      <c r="M254" s="128"/>
      <c r="N254" s="1149">
        <f>ROUND(L254*K254,2)</f>
        <v>0</v>
      </c>
      <c r="O254" s="1149"/>
      <c r="P254" s="1149"/>
      <c r="Q254" s="1149"/>
      <c r="R254" s="867"/>
      <c r="S254" s="867"/>
      <c r="AC254" s="398"/>
    </row>
    <row r="255" spans="1:29" s="191" customFormat="1" ht="31.5" customHeight="1">
      <c r="A255" s="617"/>
      <c r="B255" s="617"/>
      <c r="C255" s="190"/>
      <c r="D255" s="190"/>
      <c r="F255" s="1155" t="s">
        <v>1592</v>
      </c>
      <c r="G255" s="1156"/>
      <c r="H255" s="1156"/>
      <c r="I255" s="1156"/>
      <c r="J255" s="202"/>
      <c r="K255" s="203"/>
      <c r="L255" s="189"/>
      <c r="M255" s="128"/>
      <c r="N255" s="1149"/>
      <c r="O255" s="1149"/>
      <c r="P255" s="1149"/>
      <c r="Q255" s="1149"/>
      <c r="R255" s="855"/>
      <c r="S255" s="855"/>
      <c r="AC255" s="398"/>
    </row>
    <row r="256" spans="1:29" s="579" customFormat="1" ht="31.5" customHeight="1">
      <c r="A256" s="859"/>
      <c r="B256" s="859"/>
      <c r="C256" s="147" t="s">
        <v>861</v>
      </c>
      <c r="D256" s="147"/>
      <c r="E256" s="94" t="s">
        <v>1771</v>
      </c>
      <c r="F256" s="1155" t="s">
        <v>1591</v>
      </c>
      <c r="G256" s="1156"/>
      <c r="H256" s="1156"/>
      <c r="I256" s="1156"/>
      <c r="J256" s="147" t="s">
        <v>131</v>
      </c>
      <c r="K256" s="196">
        <v>1</v>
      </c>
      <c r="L256" s="185"/>
      <c r="M256" s="128"/>
      <c r="N256" s="948">
        <f>ROUND(L256*K256,2)</f>
        <v>0</v>
      </c>
      <c r="O256" s="948"/>
      <c r="P256" s="948"/>
      <c r="Q256" s="948"/>
      <c r="R256" s="213"/>
      <c r="S256" s="213"/>
      <c r="AC256" s="398"/>
    </row>
    <row r="257" spans="2:47" s="249" customFormat="1" ht="30" customHeight="1">
      <c r="B257" s="247"/>
      <c r="C257" s="147" t="s">
        <v>862</v>
      </c>
      <c r="D257" s="195"/>
      <c r="E257" s="94" t="s">
        <v>1772</v>
      </c>
      <c r="F257" s="954" t="s">
        <v>206</v>
      </c>
      <c r="G257" s="954"/>
      <c r="H257" s="954"/>
      <c r="I257" s="954"/>
      <c r="J257" s="103" t="s">
        <v>2227</v>
      </c>
      <c r="K257" s="45">
        <v>1</v>
      </c>
      <c r="L257" s="197"/>
      <c r="M257" s="128"/>
      <c r="N257" s="948">
        <f>ROUND(L257*K257,2)</f>
        <v>0</v>
      </c>
      <c r="O257" s="948"/>
      <c r="P257" s="948"/>
      <c r="Q257" s="948"/>
      <c r="R257" s="248"/>
      <c r="T257" s="639"/>
      <c r="U257" s="87"/>
      <c r="V257" s="87"/>
      <c r="W257" s="87"/>
      <c r="X257" s="87"/>
      <c r="Y257" s="87"/>
      <c r="Z257" s="87"/>
      <c r="AA257" s="275"/>
      <c r="AC257" s="398"/>
      <c r="AU257" s="240" t="s">
        <v>76</v>
      </c>
    </row>
    <row r="258" spans="2:65" s="249" customFormat="1" ht="30" customHeight="1">
      <c r="B258" s="247"/>
      <c r="C258" s="147" t="s">
        <v>863</v>
      </c>
      <c r="D258" s="111"/>
      <c r="E258" s="94" t="s">
        <v>1773</v>
      </c>
      <c r="F258" s="954" t="s">
        <v>2226</v>
      </c>
      <c r="G258" s="954"/>
      <c r="H258" s="954"/>
      <c r="I258" s="954"/>
      <c r="J258" s="103" t="s">
        <v>2227</v>
      </c>
      <c r="K258" s="142">
        <v>1</v>
      </c>
      <c r="L258" s="197"/>
      <c r="M258" s="128"/>
      <c r="N258" s="1109">
        <f>ROUND(L258*K258,2)</f>
        <v>0</v>
      </c>
      <c r="O258" s="1109"/>
      <c r="P258" s="1109"/>
      <c r="Q258" s="1109"/>
      <c r="R258" s="248"/>
      <c r="T258" s="640" t="s">
        <v>5</v>
      </c>
      <c r="U258" s="641" t="s">
        <v>36</v>
      </c>
      <c r="V258" s="642">
        <v>0</v>
      </c>
      <c r="W258" s="642" t="e">
        <f>V258*#REF!</f>
        <v>#REF!</v>
      </c>
      <c r="X258" s="642">
        <v>0</v>
      </c>
      <c r="Y258" s="642" t="e">
        <f>X258*#REF!</f>
        <v>#REF!</v>
      </c>
      <c r="Z258" s="642">
        <v>0</v>
      </c>
      <c r="AA258" s="643" t="e">
        <f>Z258*#REF!</f>
        <v>#REF!</v>
      </c>
      <c r="AC258" s="398"/>
      <c r="AU258" s="240" t="s">
        <v>76</v>
      </c>
      <c r="AY258" s="240" t="s">
        <v>125</v>
      </c>
      <c r="BE258" s="250">
        <f>IF(U258="základní",#REF!,0)</f>
        <v>0</v>
      </c>
      <c r="BF258" s="250" t="e">
        <f>IF(U258="snížená",#REF!,0)</f>
        <v>#REF!</v>
      </c>
      <c r="BG258" s="250">
        <f>IF(U258="zákl. přenesená",#REF!,0)</f>
        <v>0</v>
      </c>
      <c r="BH258" s="250">
        <f>IF(U258="sníž. přenesená",#REF!,0)</f>
        <v>0</v>
      </c>
      <c r="BI258" s="250">
        <f>IF(U258="nulová",#REF!,0)</f>
        <v>0</v>
      </c>
      <c r="BJ258" s="240" t="s">
        <v>80</v>
      </c>
      <c r="BK258" s="250" t="e">
        <f>ROUND(#REF!*#REF!,2)</f>
        <v>#REF!</v>
      </c>
      <c r="BL258" s="240" t="s">
        <v>128</v>
      </c>
      <c r="BM258" s="240" t="s">
        <v>139</v>
      </c>
    </row>
    <row r="259" spans="3:29" ht="31.5" customHeight="1">
      <c r="C259" s="213"/>
      <c r="D259" s="213"/>
      <c r="E259" s="213"/>
      <c r="F259" s="1166"/>
      <c r="G259" s="1166"/>
      <c r="H259" s="1166"/>
      <c r="I259" s="1166"/>
      <c r="J259" s="213"/>
      <c r="K259" s="213"/>
      <c r="L259" s="214"/>
      <c r="M259" s="214"/>
      <c r="N259" s="1168"/>
      <c r="O259" s="1168"/>
      <c r="P259" s="1168"/>
      <c r="Q259" s="1168"/>
      <c r="R259" s="867"/>
      <c r="S259" s="867"/>
      <c r="AC259" s="398"/>
    </row>
    <row r="260" spans="3:29" ht="31.5" customHeight="1">
      <c r="C260" s="213"/>
      <c r="D260" s="213"/>
      <c r="E260" s="213"/>
      <c r="F260" s="1166"/>
      <c r="G260" s="1166"/>
      <c r="H260" s="1166"/>
      <c r="I260" s="1166"/>
      <c r="J260" s="213"/>
      <c r="K260" s="213"/>
      <c r="L260" s="214"/>
      <c r="M260" s="214"/>
      <c r="N260" s="1168"/>
      <c r="O260" s="1168"/>
      <c r="P260" s="1168"/>
      <c r="Q260" s="1168"/>
      <c r="R260" s="867"/>
      <c r="S260" s="867"/>
      <c r="AC260" s="398"/>
    </row>
    <row r="261" spans="3:29" ht="31.5" customHeight="1">
      <c r="C261" s="213"/>
      <c r="D261" s="213"/>
      <c r="E261" s="213"/>
      <c r="F261" s="1166"/>
      <c r="G261" s="1166"/>
      <c r="H261" s="1166"/>
      <c r="I261" s="1166"/>
      <c r="J261" s="213"/>
      <c r="K261" s="213"/>
      <c r="L261" s="214"/>
      <c r="M261" s="214"/>
      <c r="N261" s="1168"/>
      <c r="O261" s="1168"/>
      <c r="P261" s="1168"/>
      <c r="Q261" s="1168"/>
      <c r="R261" s="867"/>
      <c r="S261" s="867"/>
      <c r="AC261" s="398"/>
    </row>
    <row r="262" spans="3:29" ht="31.5" customHeight="1">
      <c r="C262" s="213"/>
      <c r="D262" s="213"/>
      <c r="E262" s="213"/>
      <c r="F262" s="1166"/>
      <c r="G262" s="1166"/>
      <c r="H262" s="1166"/>
      <c r="I262" s="1166"/>
      <c r="J262" s="213"/>
      <c r="K262" s="213"/>
      <c r="L262" s="214"/>
      <c r="M262" s="214"/>
      <c r="N262" s="1168"/>
      <c r="O262" s="1168"/>
      <c r="P262" s="1168"/>
      <c r="Q262" s="1168"/>
      <c r="R262" s="867"/>
      <c r="S262" s="867"/>
      <c r="AC262" s="398"/>
    </row>
    <row r="263" spans="3:29" ht="31.5" customHeight="1">
      <c r="C263" s="213"/>
      <c r="D263" s="213"/>
      <c r="E263" s="213"/>
      <c r="F263" s="1166"/>
      <c r="G263" s="1166"/>
      <c r="H263" s="1166"/>
      <c r="I263" s="1166"/>
      <c r="J263" s="213"/>
      <c r="K263" s="213"/>
      <c r="L263" s="214"/>
      <c r="M263" s="214"/>
      <c r="N263" s="1168"/>
      <c r="O263" s="1168"/>
      <c r="P263" s="1168"/>
      <c r="Q263" s="1168"/>
      <c r="R263" s="867"/>
      <c r="S263" s="867"/>
      <c r="AC263" s="398"/>
    </row>
    <row r="264" spans="3:29" ht="31.5" customHeight="1">
      <c r="C264" s="213"/>
      <c r="D264" s="213"/>
      <c r="E264" s="213"/>
      <c r="F264" s="1166"/>
      <c r="G264" s="1166"/>
      <c r="H264" s="1166"/>
      <c r="I264" s="1166"/>
      <c r="J264" s="213"/>
      <c r="K264" s="213"/>
      <c r="L264" s="214"/>
      <c r="M264" s="214"/>
      <c r="N264" s="1168"/>
      <c r="O264" s="1168"/>
      <c r="P264" s="1168"/>
      <c r="Q264" s="1168"/>
      <c r="R264" s="867"/>
      <c r="S264" s="867"/>
      <c r="AC264" s="398"/>
    </row>
    <row r="265" spans="3:29" ht="31.5" customHeight="1">
      <c r="C265" s="213"/>
      <c r="D265" s="213"/>
      <c r="E265" s="213"/>
      <c r="F265" s="1166"/>
      <c r="G265" s="1166"/>
      <c r="H265" s="1166"/>
      <c r="I265" s="1166"/>
      <c r="J265" s="213"/>
      <c r="K265" s="213"/>
      <c r="L265" s="214"/>
      <c r="M265" s="214"/>
      <c r="N265" s="1168"/>
      <c r="O265" s="1168"/>
      <c r="P265" s="1168"/>
      <c r="Q265" s="1168"/>
      <c r="R265" s="867"/>
      <c r="S265" s="867"/>
      <c r="AC265" s="398"/>
    </row>
    <row r="266" spans="3:29" ht="31.5" customHeight="1">
      <c r="C266" s="213"/>
      <c r="D266" s="213"/>
      <c r="E266" s="213"/>
      <c r="F266" s="1166"/>
      <c r="G266" s="1166"/>
      <c r="H266" s="1166"/>
      <c r="I266" s="1166"/>
      <c r="J266" s="213"/>
      <c r="K266" s="213"/>
      <c r="L266" s="214"/>
      <c r="M266" s="214"/>
      <c r="N266" s="1168"/>
      <c r="O266" s="1168"/>
      <c r="P266" s="1168"/>
      <c r="Q266" s="1168"/>
      <c r="R266" s="867"/>
      <c r="S266" s="867"/>
      <c r="AC266" s="398"/>
    </row>
    <row r="267" spans="3:29" s="157" customFormat="1" ht="31.5" customHeight="1">
      <c r="C267" s="213"/>
      <c r="D267" s="213"/>
      <c r="E267" s="213"/>
      <c r="F267" s="1166"/>
      <c r="G267" s="1166"/>
      <c r="H267" s="1166"/>
      <c r="I267" s="1166"/>
      <c r="J267" s="213"/>
      <c r="K267" s="213"/>
      <c r="L267" s="214"/>
      <c r="M267" s="214"/>
      <c r="N267" s="1168"/>
      <c r="O267" s="1168"/>
      <c r="P267" s="1168"/>
      <c r="Q267" s="1168"/>
      <c r="R267" s="213"/>
      <c r="S267" s="213"/>
      <c r="AC267" s="398"/>
    </row>
    <row r="268" spans="3:29" s="157" customFormat="1" ht="31.5" customHeight="1">
      <c r="C268" s="213"/>
      <c r="D268" s="213"/>
      <c r="E268" s="213"/>
      <c r="F268" s="1166"/>
      <c r="G268" s="1166"/>
      <c r="H268" s="1166"/>
      <c r="I268" s="1166"/>
      <c r="J268" s="213"/>
      <c r="K268" s="213"/>
      <c r="L268" s="214"/>
      <c r="M268" s="214"/>
      <c r="N268" s="1168"/>
      <c r="O268" s="1168"/>
      <c r="P268" s="1168"/>
      <c r="Q268" s="1168"/>
      <c r="R268" s="213"/>
      <c r="S268" s="213"/>
      <c r="AC268" s="398"/>
    </row>
    <row r="269" spans="3:29" s="157" customFormat="1" ht="31.5" customHeight="1">
      <c r="C269" s="213"/>
      <c r="D269" s="213"/>
      <c r="E269" s="213"/>
      <c r="F269" s="1166"/>
      <c r="G269" s="1166"/>
      <c r="H269" s="1166"/>
      <c r="I269" s="1166"/>
      <c r="J269" s="213"/>
      <c r="K269" s="213"/>
      <c r="L269" s="214"/>
      <c r="M269" s="214"/>
      <c r="N269" s="1168"/>
      <c r="O269" s="1168"/>
      <c r="P269" s="1168"/>
      <c r="Q269" s="1168"/>
      <c r="R269" s="213"/>
      <c r="S269" s="213"/>
      <c r="AC269" s="398"/>
    </row>
    <row r="270" spans="3:29" s="157" customFormat="1" ht="31.5" customHeight="1">
      <c r="C270" s="213"/>
      <c r="D270" s="213"/>
      <c r="E270" s="213"/>
      <c r="F270" s="1166"/>
      <c r="G270" s="1166"/>
      <c r="H270" s="1166"/>
      <c r="I270" s="1166"/>
      <c r="J270" s="213"/>
      <c r="K270" s="213"/>
      <c r="L270" s="214"/>
      <c r="M270" s="214"/>
      <c r="N270" s="1168"/>
      <c r="O270" s="1168"/>
      <c r="P270" s="1168"/>
      <c r="Q270" s="1168"/>
      <c r="R270" s="213"/>
      <c r="S270" s="213"/>
      <c r="AC270" s="398"/>
    </row>
    <row r="271" spans="3:29" s="157" customFormat="1" ht="31.5" customHeight="1">
      <c r="C271" s="213"/>
      <c r="D271" s="213"/>
      <c r="E271" s="213"/>
      <c r="F271" s="1166"/>
      <c r="G271" s="1166"/>
      <c r="H271" s="1166"/>
      <c r="I271" s="1166"/>
      <c r="J271" s="213"/>
      <c r="K271" s="213"/>
      <c r="L271" s="214"/>
      <c r="M271" s="214"/>
      <c r="N271" s="1168"/>
      <c r="O271" s="1168"/>
      <c r="P271" s="1168"/>
      <c r="Q271" s="1168"/>
      <c r="R271" s="213"/>
      <c r="S271" s="213"/>
      <c r="AC271" s="398"/>
    </row>
    <row r="272" spans="3:29" s="157" customFormat="1" ht="31.5" customHeight="1">
      <c r="C272" s="213"/>
      <c r="D272" s="213"/>
      <c r="E272" s="213"/>
      <c r="F272" s="1166"/>
      <c r="G272" s="1166"/>
      <c r="H272" s="1166"/>
      <c r="I272" s="1166"/>
      <c r="J272" s="213"/>
      <c r="K272" s="213"/>
      <c r="L272" s="214"/>
      <c r="M272" s="214"/>
      <c r="N272" s="1168"/>
      <c r="O272" s="1168"/>
      <c r="P272" s="1168"/>
      <c r="Q272" s="1168"/>
      <c r="R272" s="213"/>
      <c r="S272" s="213"/>
      <c r="AC272" s="398"/>
    </row>
    <row r="273" spans="3:29" s="157" customFormat="1" ht="31.5" customHeight="1">
      <c r="C273" s="213"/>
      <c r="D273" s="213"/>
      <c r="E273" s="213"/>
      <c r="F273" s="1166"/>
      <c r="G273" s="1166"/>
      <c r="H273" s="1166"/>
      <c r="I273" s="1166"/>
      <c r="J273" s="213"/>
      <c r="K273" s="213"/>
      <c r="L273" s="214"/>
      <c r="M273" s="214"/>
      <c r="N273" s="1168"/>
      <c r="O273" s="1168"/>
      <c r="P273" s="1168"/>
      <c r="Q273" s="1168"/>
      <c r="R273" s="213"/>
      <c r="S273" s="213"/>
      <c r="AC273" s="398"/>
    </row>
    <row r="274" spans="3:29" s="157" customFormat="1" ht="31.5" customHeight="1">
      <c r="C274" s="213"/>
      <c r="D274" s="213"/>
      <c r="E274" s="213"/>
      <c r="F274" s="1166"/>
      <c r="G274" s="1166"/>
      <c r="H274" s="1166"/>
      <c r="I274" s="1166"/>
      <c r="J274" s="213"/>
      <c r="K274" s="213"/>
      <c r="L274" s="214">
        <v>0</v>
      </c>
      <c r="M274" s="214"/>
      <c r="N274" s="1168"/>
      <c r="O274" s="1168"/>
      <c r="P274" s="1168"/>
      <c r="Q274" s="1168"/>
      <c r="R274" s="213"/>
      <c r="S274" s="213"/>
      <c r="AC274" s="398"/>
    </row>
    <row r="275" spans="3:29" s="157" customFormat="1" ht="31.5" customHeight="1">
      <c r="C275" s="213"/>
      <c r="D275" s="213"/>
      <c r="E275" s="213"/>
      <c r="F275" s="1166"/>
      <c r="G275" s="1166"/>
      <c r="H275" s="1166"/>
      <c r="I275" s="1166"/>
      <c r="J275" s="213"/>
      <c r="K275" s="213"/>
      <c r="L275" s="214">
        <v>0</v>
      </c>
      <c r="M275" s="214"/>
      <c r="N275" s="1168"/>
      <c r="O275" s="1168"/>
      <c r="P275" s="1168"/>
      <c r="Q275" s="1168"/>
      <c r="R275" s="213"/>
      <c r="S275" s="213"/>
      <c r="AC275" s="398"/>
    </row>
    <row r="276" spans="3:29" s="157" customFormat="1" ht="31.5" customHeight="1">
      <c r="C276" s="213"/>
      <c r="D276" s="213"/>
      <c r="E276" s="213"/>
      <c r="F276" s="1166"/>
      <c r="G276" s="1166"/>
      <c r="H276" s="1166"/>
      <c r="I276" s="1166"/>
      <c r="J276" s="213"/>
      <c r="K276" s="213"/>
      <c r="L276" s="214">
        <v>0</v>
      </c>
      <c r="M276" s="214"/>
      <c r="N276" s="1168"/>
      <c r="O276" s="1168"/>
      <c r="P276" s="1168"/>
      <c r="Q276" s="1168"/>
      <c r="R276" s="213"/>
      <c r="S276" s="213"/>
      <c r="AC276" s="398"/>
    </row>
    <row r="277" spans="3:29" s="157" customFormat="1" ht="31.5" customHeight="1">
      <c r="C277" s="213"/>
      <c r="D277" s="213"/>
      <c r="E277" s="213"/>
      <c r="F277" s="1166"/>
      <c r="G277" s="1166"/>
      <c r="H277" s="1166"/>
      <c r="I277" s="1166"/>
      <c r="J277" s="213"/>
      <c r="K277" s="213"/>
      <c r="L277" s="214">
        <v>0</v>
      </c>
      <c r="M277" s="214"/>
      <c r="N277" s="1168"/>
      <c r="O277" s="1168"/>
      <c r="P277" s="1168"/>
      <c r="Q277" s="1168"/>
      <c r="R277" s="213"/>
      <c r="S277" s="213"/>
      <c r="AC277" s="398"/>
    </row>
    <row r="278" spans="3:29" s="157" customFormat="1" ht="31.5" customHeight="1">
      <c r="C278" s="213"/>
      <c r="D278" s="213"/>
      <c r="E278" s="213"/>
      <c r="F278" s="1166"/>
      <c r="G278" s="1166"/>
      <c r="H278" s="1166"/>
      <c r="I278" s="1166"/>
      <c r="J278" s="213"/>
      <c r="K278" s="213"/>
      <c r="L278" s="214">
        <v>0</v>
      </c>
      <c r="M278" s="214"/>
      <c r="N278" s="1168"/>
      <c r="O278" s="1168"/>
      <c r="P278" s="1168"/>
      <c r="Q278" s="1168"/>
      <c r="R278" s="213"/>
      <c r="S278" s="213"/>
      <c r="AC278" s="398"/>
    </row>
    <row r="279" spans="3:29" s="157" customFormat="1" ht="31.5" customHeight="1">
      <c r="C279" s="213"/>
      <c r="D279" s="213"/>
      <c r="E279" s="213"/>
      <c r="F279" s="1166"/>
      <c r="G279" s="1166"/>
      <c r="H279" s="1166"/>
      <c r="I279" s="1166"/>
      <c r="J279" s="213"/>
      <c r="K279" s="213"/>
      <c r="L279" s="214">
        <v>0</v>
      </c>
      <c r="M279" s="214"/>
      <c r="N279" s="1168"/>
      <c r="O279" s="1168"/>
      <c r="P279" s="1168"/>
      <c r="Q279" s="1168"/>
      <c r="R279" s="213"/>
      <c r="S279" s="213"/>
      <c r="AC279" s="398"/>
    </row>
    <row r="280" spans="3:29" s="157" customFormat="1" ht="31.5" customHeight="1">
      <c r="C280" s="213"/>
      <c r="D280" s="213"/>
      <c r="E280" s="213"/>
      <c r="F280" s="1166"/>
      <c r="G280" s="1166"/>
      <c r="H280" s="1166"/>
      <c r="I280" s="1166"/>
      <c r="J280" s="213"/>
      <c r="K280" s="213"/>
      <c r="L280" s="214">
        <v>0</v>
      </c>
      <c r="M280" s="214"/>
      <c r="N280" s="1168"/>
      <c r="O280" s="1168"/>
      <c r="P280" s="1168"/>
      <c r="Q280" s="1168"/>
      <c r="R280" s="213"/>
      <c r="S280" s="213"/>
      <c r="AC280" s="398"/>
    </row>
    <row r="281" spans="3:29" s="157" customFormat="1" ht="31.5" customHeight="1">
      <c r="C281" s="213"/>
      <c r="D281" s="213"/>
      <c r="E281" s="213"/>
      <c r="F281" s="1166"/>
      <c r="G281" s="1166"/>
      <c r="H281" s="1166"/>
      <c r="I281" s="1166"/>
      <c r="J281" s="213"/>
      <c r="K281" s="213"/>
      <c r="L281" s="214">
        <v>0</v>
      </c>
      <c r="M281" s="214"/>
      <c r="N281" s="1168"/>
      <c r="O281" s="1168"/>
      <c r="P281" s="1168"/>
      <c r="Q281" s="1168"/>
      <c r="R281" s="213"/>
      <c r="S281" s="213"/>
      <c r="AC281" s="398"/>
    </row>
    <row r="282" spans="3:29" s="157" customFormat="1" ht="31.5" customHeight="1">
      <c r="C282" s="213"/>
      <c r="D282" s="213"/>
      <c r="E282" s="213"/>
      <c r="F282" s="1166"/>
      <c r="G282" s="1166"/>
      <c r="H282" s="1166"/>
      <c r="I282" s="1166"/>
      <c r="J282" s="213"/>
      <c r="K282" s="213"/>
      <c r="L282" s="214">
        <v>0</v>
      </c>
      <c r="M282" s="214"/>
      <c r="N282" s="1168"/>
      <c r="O282" s="1168"/>
      <c r="P282" s="1168"/>
      <c r="Q282" s="1168"/>
      <c r="R282" s="213"/>
      <c r="S282" s="213"/>
      <c r="AC282" s="398"/>
    </row>
    <row r="283" spans="3:29" s="157" customFormat="1" ht="31.5" customHeight="1">
      <c r="C283" s="213"/>
      <c r="D283" s="213"/>
      <c r="E283" s="213"/>
      <c r="F283" s="1166"/>
      <c r="G283" s="1166"/>
      <c r="H283" s="1166"/>
      <c r="I283" s="1166"/>
      <c r="J283" s="213"/>
      <c r="K283" s="213"/>
      <c r="L283" s="214">
        <v>0</v>
      </c>
      <c r="M283" s="214"/>
      <c r="N283" s="1168"/>
      <c r="O283" s="1168"/>
      <c r="P283" s="1168"/>
      <c r="Q283" s="1168"/>
      <c r="R283" s="213"/>
      <c r="S283" s="213"/>
      <c r="AC283" s="398"/>
    </row>
    <row r="284" spans="3:29" s="157" customFormat="1" ht="31.5" customHeight="1">
      <c r="C284" s="213"/>
      <c r="D284" s="213"/>
      <c r="E284" s="213"/>
      <c r="F284" s="1166"/>
      <c r="G284" s="1166"/>
      <c r="H284" s="1166"/>
      <c r="I284" s="1166"/>
      <c r="J284" s="213"/>
      <c r="K284" s="213"/>
      <c r="L284" s="214">
        <v>0</v>
      </c>
      <c r="M284" s="214"/>
      <c r="N284" s="1168"/>
      <c r="O284" s="1168"/>
      <c r="P284" s="1168"/>
      <c r="Q284" s="1168"/>
      <c r="R284" s="213"/>
      <c r="S284" s="213"/>
      <c r="AC284" s="398"/>
    </row>
    <row r="285" spans="3:29" s="157" customFormat="1" ht="31.5" customHeight="1">
      <c r="C285" s="213"/>
      <c r="D285" s="213"/>
      <c r="E285" s="213"/>
      <c r="F285" s="1166"/>
      <c r="G285" s="1166"/>
      <c r="H285" s="1166"/>
      <c r="I285" s="1166"/>
      <c r="J285" s="213"/>
      <c r="K285" s="213"/>
      <c r="L285" s="214">
        <v>0</v>
      </c>
      <c r="M285" s="214"/>
      <c r="N285" s="1168"/>
      <c r="O285" s="1168"/>
      <c r="P285" s="1168"/>
      <c r="Q285" s="1168"/>
      <c r="R285" s="213"/>
      <c r="S285" s="213"/>
      <c r="AC285" s="398"/>
    </row>
    <row r="286" spans="3:29" s="157" customFormat="1" ht="31.5" customHeight="1">
      <c r="C286" s="213"/>
      <c r="D286" s="213"/>
      <c r="E286" s="213"/>
      <c r="F286" s="1166"/>
      <c r="G286" s="1166"/>
      <c r="H286" s="1166"/>
      <c r="I286" s="1166"/>
      <c r="J286" s="213"/>
      <c r="K286" s="213"/>
      <c r="L286" s="214">
        <v>0</v>
      </c>
      <c r="M286" s="214"/>
      <c r="N286" s="1168"/>
      <c r="O286" s="1168"/>
      <c r="P286" s="1168"/>
      <c r="Q286" s="1168"/>
      <c r="R286" s="213"/>
      <c r="S286" s="213"/>
      <c r="AC286" s="398"/>
    </row>
    <row r="287" spans="3:29" s="157" customFormat="1" ht="31.5" customHeight="1">
      <c r="C287" s="213"/>
      <c r="D287" s="213"/>
      <c r="E287" s="213"/>
      <c r="F287" s="1166"/>
      <c r="G287" s="1166"/>
      <c r="H287" s="1166"/>
      <c r="I287" s="1166"/>
      <c r="J287" s="213"/>
      <c r="K287" s="213"/>
      <c r="L287" s="214">
        <v>0</v>
      </c>
      <c r="M287" s="214"/>
      <c r="N287" s="1168"/>
      <c r="O287" s="1168"/>
      <c r="P287" s="1168"/>
      <c r="Q287" s="1168"/>
      <c r="R287" s="213"/>
      <c r="S287" s="213"/>
      <c r="AC287" s="398"/>
    </row>
    <row r="288" spans="3:29" s="157" customFormat="1" ht="31.5" customHeight="1">
      <c r="C288" s="213"/>
      <c r="D288" s="213"/>
      <c r="E288" s="213"/>
      <c r="F288" s="1166"/>
      <c r="G288" s="1166"/>
      <c r="H288" s="1166"/>
      <c r="I288" s="1166"/>
      <c r="J288" s="213"/>
      <c r="K288" s="213"/>
      <c r="L288" s="214">
        <v>0</v>
      </c>
      <c r="M288" s="214"/>
      <c r="N288" s="1168"/>
      <c r="O288" s="1168"/>
      <c r="P288" s="1168"/>
      <c r="Q288" s="1168"/>
      <c r="R288" s="213"/>
      <c r="S288" s="213"/>
      <c r="AC288" s="398"/>
    </row>
    <row r="289" spans="3:29" s="157" customFormat="1" ht="31.5" customHeight="1">
      <c r="C289" s="213"/>
      <c r="D289" s="213"/>
      <c r="E289" s="213"/>
      <c r="F289" s="1166"/>
      <c r="G289" s="1166"/>
      <c r="H289" s="1166"/>
      <c r="I289" s="1166"/>
      <c r="J289" s="213"/>
      <c r="K289" s="213"/>
      <c r="L289" s="214">
        <v>0</v>
      </c>
      <c r="M289" s="214"/>
      <c r="N289" s="1168"/>
      <c r="O289" s="1168"/>
      <c r="P289" s="1168"/>
      <c r="Q289" s="1168"/>
      <c r="R289" s="213"/>
      <c r="S289" s="213"/>
      <c r="AC289" s="398"/>
    </row>
    <row r="290" spans="6:29" s="157" customFormat="1" ht="31.5" customHeight="1">
      <c r="F290" s="1167"/>
      <c r="G290" s="1167"/>
      <c r="H290" s="1167"/>
      <c r="I290" s="1167"/>
      <c r="L290" s="214">
        <v>0</v>
      </c>
      <c r="M290" s="214"/>
      <c r="N290" s="1169"/>
      <c r="O290" s="1169"/>
      <c r="P290" s="1169"/>
      <c r="Q290" s="1169"/>
      <c r="AC290" s="398"/>
    </row>
    <row r="291" spans="6:29" s="157" customFormat="1" ht="31.5" customHeight="1">
      <c r="F291" s="1167"/>
      <c r="G291" s="1167"/>
      <c r="H291" s="1167"/>
      <c r="I291" s="1167"/>
      <c r="L291" s="214">
        <v>0</v>
      </c>
      <c r="M291" s="214"/>
      <c r="N291" s="1169"/>
      <c r="O291" s="1169"/>
      <c r="P291" s="1169"/>
      <c r="Q291" s="1169"/>
      <c r="AC291" s="398"/>
    </row>
    <row r="292" spans="6:29" s="157" customFormat="1" ht="31.5" customHeight="1">
      <c r="F292" s="1167"/>
      <c r="G292" s="1167"/>
      <c r="H292" s="1167"/>
      <c r="I292" s="1167"/>
      <c r="L292" s="214">
        <v>0</v>
      </c>
      <c r="M292" s="214"/>
      <c r="N292" s="1169"/>
      <c r="O292" s="1169"/>
      <c r="P292" s="1169"/>
      <c r="Q292" s="1169"/>
      <c r="AC292" s="398"/>
    </row>
    <row r="293" spans="6:29" s="157" customFormat="1" ht="31.5" customHeight="1">
      <c r="F293" s="1167"/>
      <c r="G293" s="1167"/>
      <c r="H293" s="1167"/>
      <c r="I293" s="1167"/>
      <c r="L293" s="214">
        <v>0</v>
      </c>
      <c r="M293" s="214"/>
      <c r="N293" s="1169"/>
      <c r="O293" s="1169"/>
      <c r="P293" s="1169"/>
      <c r="Q293" s="1169"/>
      <c r="AC293" s="398"/>
    </row>
    <row r="294" spans="6:29" s="157" customFormat="1" ht="31.5" customHeight="1">
      <c r="F294" s="1167"/>
      <c r="G294" s="1167"/>
      <c r="H294" s="1167"/>
      <c r="I294" s="1167"/>
      <c r="L294" s="214">
        <v>0</v>
      </c>
      <c r="M294" s="214"/>
      <c r="N294" s="1169"/>
      <c r="O294" s="1169"/>
      <c r="P294" s="1169"/>
      <c r="Q294" s="1169"/>
      <c r="AC294" s="398"/>
    </row>
    <row r="295" spans="6:29" s="157" customFormat="1" ht="31.5" customHeight="1">
      <c r="F295" s="1167"/>
      <c r="G295" s="1167"/>
      <c r="H295" s="1167"/>
      <c r="I295" s="1167"/>
      <c r="L295" s="214">
        <v>0</v>
      </c>
      <c r="M295" s="214"/>
      <c r="N295" s="1169"/>
      <c r="O295" s="1169"/>
      <c r="P295" s="1169"/>
      <c r="Q295" s="1169"/>
      <c r="AC295" s="398"/>
    </row>
    <row r="296" spans="6:29" s="157" customFormat="1" ht="31.5" customHeight="1">
      <c r="F296" s="1167"/>
      <c r="G296" s="1167"/>
      <c r="H296" s="1167"/>
      <c r="I296" s="1167"/>
      <c r="L296" s="214">
        <v>0</v>
      </c>
      <c r="M296" s="214"/>
      <c r="N296" s="1169"/>
      <c r="O296" s="1169"/>
      <c r="P296" s="1169"/>
      <c r="Q296" s="1169"/>
      <c r="AC296" s="398"/>
    </row>
    <row r="297" spans="6:29" s="157" customFormat="1" ht="31.5" customHeight="1">
      <c r="F297" s="1167"/>
      <c r="G297" s="1167"/>
      <c r="H297" s="1167"/>
      <c r="I297" s="1167"/>
      <c r="L297" s="214">
        <v>0</v>
      </c>
      <c r="M297" s="214"/>
      <c r="N297" s="1169"/>
      <c r="O297" s="1169"/>
      <c r="P297" s="1169"/>
      <c r="Q297" s="1169"/>
      <c r="AC297" s="398"/>
    </row>
    <row r="298" spans="6:29" s="157" customFormat="1" ht="31.5" customHeight="1">
      <c r="F298" s="1167"/>
      <c r="G298" s="1167"/>
      <c r="H298" s="1167"/>
      <c r="I298" s="1167"/>
      <c r="L298" s="157">
        <v>0</v>
      </c>
      <c r="AC298" s="398"/>
    </row>
    <row r="299" spans="6:29" s="157" customFormat="1" ht="31.5" customHeight="1">
      <c r="F299" s="1167"/>
      <c r="G299" s="1167"/>
      <c r="H299" s="1167"/>
      <c r="I299" s="1167"/>
      <c r="L299" s="157">
        <v>0</v>
      </c>
      <c r="AC299" s="398"/>
    </row>
    <row r="300" spans="12:29" s="157" customFormat="1" ht="31.5" customHeight="1">
      <c r="L300" s="157">
        <v>0</v>
      </c>
      <c r="AC300" s="398"/>
    </row>
    <row r="301" spans="12:29" s="157" customFormat="1" ht="31.5" customHeight="1">
      <c r="L301" s="157">
        <v>0</v>
      </c>
      <c r="AC301" s="181">
        <f aca="true" t="shared" si="6" ref="AC301:AC306">L301*1.3</f>
        <v>0</v>
      </c>
    </row>
    <row r="302" spans="12:29" s="157" customFormat="1" ht="31.5" customHeight="1">
      <c r="L302" s="157">
        <v>0</v>
      </c>
      <c r="AC302" s="181">
        <f t="shared" si="6"/>
        <v>0</v>
      </c>
    </row>
    <row r="303" spans="12:29" s="157" customFormat="1" ht="31.5" customHeight="1">
      <c r="L303" s="157">
        <v>0</v>
      </c>
      <c r="AC303" s="181">
        <f t="shared" si="6"/>
        <v>0</v>
      </c>
    </row>
    <row r="304" spans="12:29" s="157" customFormat="1" ht="31.5" customHeight="1">
      <c r="L304" s="157">
        <v>0</v>
      </c>
      <c r="AC304" s="181">
        <f t="shared" si="6"/>
        <v>0</v>
      </c>
    </row>
    <row r="305" spans="12:29" s="157" customFormat="1" ht="31.5" customHeight="1">
      <c r="L305" s="157">
        <v>0</v>
      </c>
      <c r="AC305" s="181">
        <f t="shared" si="6"/>
        <v>0</v>
      </c>
    </row>
    <row r="306" spans="12:29" s="157" customFormat="1" ht="31.5" customHeight="1">
      <c r="L306" s="157">
        <v>0</v>
      </c>
      <c r="AC306" s="181">
        <f t="shared" si="6"/>
        <v>0</v>
      </c>
    </row>
    <row r="307" s="157" customFormat="1" ht="31.5" customHeight="1"/>
    <row r="308" s="157" customFormat="1" ht="31.5" customHeight="1"/>
    <row r="309" s="157" customFormat="1" ht="31.5" customHeight="1"/>
    <row r="310" s="157" customFormat="1" ht="31.5" customHeight="1"/>
    <row r="311" s="157" customFormat="1" ht="31.5" customHeight="1"/>
    <row r="312" s="157" customFormat="1" ht="31.5" customHeight="1"/>
    <row r="313" s="157" customFormat="1" ht="31.5" customHeight="1"/>
    <row r="314" s="157" customFormat="1" ht="31.5" customHeight="1"/>
    <row r="315" s="157" customFormat="1" ht="31.5" customHeight="1"/>
    <row r="316" s="157" customFormat="1" ht="31.5" customHeight="1"/>
    <row r="317" s="157" customFormat="1" ht="31.5" customHeight="1"/>
    <row r="318" s="157" customFormat="1" ht="31.5" customHeight="1"/>
    <row r="319" s="157" customFormat="1" ht="31.5" customHeight="1"/>
    <row r="320" s="157" customFormat="1" ht="31.5" customHeight="1"/>
    <row r="321" s="157" customFormat="1" ht="31.5" customHeight="1"/>
    <row r="322" s="157" customFormat="1" ht="31.5" customHeight="1"/>
    <row r="323" s="157" customFormat="1" ht="31.5" customHeight="1"/>
    <row r="324" s="157" customFormat="1" ht="31.5" customHeight="1"/>
    <row r="325" s="157" customFormat="1" ht="31.5" customHeight="1"/>
    <row r="326" s="157" customFormat="1" ht="31.5" customHeight="1"/>
    <row r="327" s="157" customFormat="1" ht="31.5" customHeight="1"/>
    <row r="328" s="157" customFormat="1" ht="31.5" customHeight="1"/>
    <row r="329" s="157" customFormat="1" ht="31.5" customHeight="1"/>
    <row r="330" s="157" customFormat="1" ht="31.5" customHeight="1"/>
    <row r="331" s="157" customFormat="1" ht="31.5" customHeight="1"/>
    <row r="332" s="157" customFormat="1" ht="31.5" customHeight="1"/>
    <row r="333" s="157" customFormat="1" ht="13.5"/>
    <row r="334" s="157" customFormat="1" ht="13.5"/>
    <row r="335" s="157" customFormat="1" ht="13.5"/>
    <row r="336" s="157" customFormat="1" ht="13.5"/>
    <row r="337" s="157" customFormat="1" ht="13.5"/>
    <row r="338" s="157" customFormat="1" ht="13.5"/>
    <row r="339" s="157" customFormat="1" ht="13.5"/>
    <row r="340" s="157" customFormat="1" ht="13.5"/>
    <row r="341" s="157" customFormat="1" ht="13.5"/>
    <row r="342" s="157" customFormat="1" ht="13.5"/>
    <row r="343" s="157" customFormat="1" ht="13.5"/>
    <row r="344" s="157" customFormat="1" ht="13.5"/>
    <row r="345" s="157" customFormat="1" ht="13.5"/>
    <row r="346" s="157" customFormat="1" ht="13.5"/>
    <row r="347" s="157" customFormat="1" ht="13.5"/>
    <row r="348" s="157" customFormat="1" ht="13.5"/>
    <row r="349" s="157" customFormat="1" ht="13.5"/>
    <row r="350" s="157" customFormat="1" ht="13.5"/>
    <row r="351" s="157" customFormat="1" ht="13.5"/>
    <row r="352" s="157" customFormat="1" ht="13.5"/>
    <row r="353" s="157" customFormat="1" ht="13.5"/>
    <row r="354" s="157" customFormat="1" ht="13.5"/>
    <row r="355" s="157" customFormat="1" ht="13.5"/>
    <row r="356" s="157" customFormat="1" ht="13.5"/>
    <row r="357" s="157" customFormat="1" ht="13.5"/>
    <row r="358" s="157" customFormat="1" ht="13.5"/>
    <row r="359" s="157" customFormat="1" ht="13.5"/>
    <row r="360" s="157" customFormat="1" ht="13.5"/>
    <row r="361" s="157" customFormat="1" ht="13.5"/>
    <row r="362" s="157" customFormat="1" ht="13.5"/>
    <row r="363" s="157" customFormat="1" ht="13.5"/>
    <row r="364" s="157" customFormat="1" ht="13.5"/>
    <row r="365" s="157" customFormat="1" ht="13.5"/>
    <row r="366" s="157" customFormat="1" ht="13.5"/>
    <row r="367" s="157" customFormat="1" ht="13.5"/>
    <row r="368" s="157" customFormat="1" ht="13.5"/>
    <row r="369" s="157" customFormat="1" ht="13.5"/>
    <row r="370" s="157" customFormat="1" ht="13.5"/>
    <row r="371" s="157" customFormat="1" ht="13.5"/>
    <row r="372" s="157" customFormat="1" ht="13.5"/>
    <row r="373" s="157" customFormat="1" ht="13.5"/>
    <row r="374" s="157" customFormat="1" ht="13.5"/>
    <row r="375" s="157" customFormat="1" ht="13.5"/>
    <row r="376" s="157" customFormat="1" ht="13.5"/>
    <row r="377" s="157" customFormat="1" ht="13.5"/>
    <row r="378" s="157" customFormat="1" ht="13.5"/>
    <row r="379" s="157" customFormat="1" ht="13.5"/>
    <row r="380" s="157" customFormat="1" ht="13.5"/>
    <row r="381" s="157" customFormat="1" ht="13.5"/>
    <row r="382" s="157" customFormat="1" ht="13.5"/>
    <row r="383" s="157" customFormat="1" ht="13.5"/>
    <row r="384" s="157" customFormat="1" ht="13.5"/>
    <row r="385" s="157" customFormat="1" ht="13.5"/>
    <row r="386" s="157" customFormat="1" ht="13.5"/>
    <row r="387" s="157" customFormat="1" ht="13.5"/>
    <row r="388" s="157" customFormat="1" ht="13.5"/>
    <row r="389" s="157" customFormat="1" ht="13.5"/>
    <row r="390" s="157" customFormat="1" ht="13.5"/>
    <row r="391" s="157" customFormat="1" ht="13.5"/>
    <row r="392" s="157" customFormat="1" ht="13.5"/>
    <row r="393" s="157" customFormat="1" ht="13.5"/>
    <row r="394" s="157" customFormat="1" ht="13.5"/>
    <row r="395" s="157" customFormat="1" ht="13.5"/>
    <row r="396" s="157" customFormat="1" ht="13.5"/>
    <row r="397" s="157" customFormat="1" ht="13.5"/>
    <row r="398" s="157" customFormat="1" ht="13.5"/>
    <row r="399" s="157" customFormat="1" ht="13.5"/>
  </sheetData>
  <sheetProtection sheet="1" objects="1" scenarios="1"/>
  <mergeCells count="421">
    <mergeCell ref="N295:Q295"/>
    <mergeCell ref="N296:Q296"/>
    <mergeCell ref="N297:Q297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N286:Q286"/>
    <mergeCell ref="N287:Q287"/>
    <mergeCell ref="N288:Q288"/>
    <mergeCell ref="N289:Q289"/>
    <mergeCell ref="N290:Q290"/>
    <mergeCell ref="N291:Q291"/>
    <mergeCell ref="N292:Q292"/>
    <mergeCell ref="N293:Q293"/>
    <mergeCell ref="N294:Q294"/>
    <mergeCell ref="N271:Q271"/>
    <mergeCell ref="N272:Q272"/>
    <mergeCell ref="N273:Q273"/>
    <mergeCell ref="N259:Q259"/>
    <mergeCell ref="N260:Q260"/>
    <mergeCell ref="N261:Q261"/>
    <mergeCell ref="N249:Q249"/>
    <mergeCell ref="N250:Q250"/>
    <mergeCell ref="N252:Q252"/>
    <mergeCell ref="N253:Q253"/>
    <mergeCell ref="N254:Q254"/>
    <mergeCell ref="N255:Q255"/>
    <mergeCell ref="N251:Q251"/>
    <mergeCell ref="N262:Q262"/>
    <mergeCell ref="N263:Q263"/>
    <mergeCell ref="N264:Q264"/>
    <mergeCell ref="N265:Q265"/>
    <mergeCell ref="N266:Q266"/>
    <mergeCell ref="N267:Q267"/>
    <mergeCell ref="N268:Q268"/>
    <mergeCell ref="N269:Q269"/>
    <mergeCell ref="N270:Q270"/>
    <mergeCell ref="N238:Q238"/>
    <mergeCell ref="N239:Q239"/>
    <mergeCell ref="N240:Q240"/>
    <mergeCell ref="N241:Q241"/>
    <mergeCell ref="N242:Q242"/>
    <mergeCell ref="N243:Q243"/>
    <mergeCell ref="F278:I278"/>
    <mergeCell ref="F279:I279"/>
    <mergeCell ref="N244:Q244"/>
    <mergeCell ref="N245:Q245"/>
    <mergeCell ref="N246:Q246"/>
    <mergeCell ref="N247:Q247"/>
    <mergeCell ref="N248:Q248"/>
    <mergeCell ref="N256:Q256"/>
    <mergeCell ref="N257:Q257"/>
    <mergeCell ref="N258:Q258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N232:Q232"/>
    <mergeCell ref="N233:Q233"/>
    <mergeCell ref="N234:Q234"/>
    <mergeCell ref="N235:Q235"/>
    <mergeCell ref="N236:Q236"/>
    <mergeCell ref="N237:Q237"/>
    <mergeCell ref="F280:I280"/>
    <mergeCell ref="F281:I281"/>
    <mergeCell ref="F282:I282"/>
    <mergeCell ref="F283:I283"/>
    <mergeCell ref="F272:I272"/>
    <mergeCell ref="F273:I273"/>
    <mergeCell ref="F274:I274"/>
    <mergeCell ref="F275:I275"/>
    <mergeCell ref="F276:I276"/>
    <mergeCell ref="F277:I277"/>
    <mergeCell ref="F260:I260"/>
    <mergeCell ref="F269:I269"/>
    <mergeCell ref="F270:I270"/>
    <mergeCell ref="F271:I271"/>
    <mergeCell ref="F247:I247"/>
    <mergeCell ref="F248:I248"/>
    <mergeCell ref="F249:I249"/>
    <mergeCell ref="F252:I252"/>
    <mergeCell ref="F253:I253"/>
    <mergeCell ref="F251:I251"/>
    <mergeCell ref="F254:I254"/>
    <mergeCell ref="F255:I255"/>
    <mergeCell ref="F256:I256"/>
    <mergeCell ref="F257:I257"/>
    <mergeCell ref="F258:I258"/>
    <mergeCell ref="F259:I259"/>
    <mergeCell ref="F246:I246"/>
    <mergeCell ref="F236:I236"/>
    <mergeCell ref="F237:I237"/>
    <mergeCell ref="F238:I238"/>
    <mergeCell ref="F239:I239"/>
    <mergeCell ref="F240:I240"/>
    <mergeCell ref="F241:I241"/>
    <mergeCell ref="F228:I228"/>
    <mergeCell ref="F229:I229"/>
    <mergeCell ref="F242:I242"/>
    <mergeCell ref="F243:I243"/>
    <mergeCell ref="F244:I244"/>
    <mergeCell ref="F245:I245"/>
    <mergeCell ref="F234:I234"/>
    <mergeCell ref="F235:I235"/>
    <mergeCell ref="N225:Q225"/>
    <mergeCell ref="N226:Q226"/>
    <mergeCell ref="N227:Q227"/>
    <mergeCell ref="N228:Q228"/>
    <mergeCell ref="N229:Q229"/>
    <mergeCell ref="N230:Q230"/>
    <mergeCell ref="F232:I232"/>
    <mergeCell ref="F233:I233"/>
    <mergeCell ref="F231:I231"/>
    <mergeCell ref="N231:Q231"/>
    <mergeCell ref="F225:I225"/>
    <mergeCell ref="F226:I226"/>
    <mergeCell ref="F227:I227"/>
    <mergeCell ref="N219:Q219"/>
    <mergeCell ref="N220:Q220"/>
    <mergeCell ref="F223:I223"/>
    <mergeCell ref="F224:I224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N221:Q221"/>
    <mergeCell ref="N222:Q222"/>
    <mergeCell ref="N223:Q223"/>
    <mergeCell ref="N213:Q213"/>
    <mergeCell ref="N214:Q214"/>
    <mergeCell ref="N215:Q215"/>
    <mergeCell ref="N216:Q216"/>
    <mergeCell ref="N217:Q217"/>
    <mergeCell ref="N224:Q224"/>
    <mergeCell ref="N207:Q207"/>
    <mergeCell ref="N208:Q208"/>
    <mergeCell ref="F210:I210"/>
    <mergeCell ref="F211:I211"/>
    <mergeCell ref="F212:I212"/>
    <mergeCell ref="F207:I207"/>
    <mergeCell ref="F208:I208"/>
    <mergeCell ref="F209:I209"/>
    <mergeCell ref="N218:Q218"/>
    <mergeCell ref="N209:Q209"/>
    <mergeCell ref="N210:Q210"/>
    <mergeCell ref="N211:Q211"/>
    <mergeCell ref="N212:Q212"/>
    <mergeCell ref="N201:Q201"/>
    <mergeCell ref="F202:I202"/>
    <mergeCell ref="F203:I203"/>
    <mergeCell ref="F204:I204"/>
    <mergeCell ref="F205:I205"/>
    <mergeCell ref="F206:I206"/>
    <mergeCell ref="N202:Q202"/>
    <mergeCell ref="F193:I193"/>
    <mergeCell ref="F194:I194"/>
    <mergeCell ref="F195:I195"/>
    <mergeCell ref="F196:I196"/>
    <mergeCell ref="F197:I197"/>
    <mergeCell ref="F198:I198"/>
    <mergeCell ref="N199:Q199"/>
    <mergeCell ref="N200:Q200"/>
    <mergeCell ref="F200:I200"/>
    <mergeCell ref="N203:Q203"/>
    <mergeCell ref="N204:Q204"/>
    <mergeCell ref="N205:Q205"/>
    <mergeCell ref="N206:Q206"/>
    <mergeCell ref="N193:Q193"/>
    <mergeCell ref="N194:Q194"/>
    <mergeCell ref="N195:Q195"/>
    <mergeCell ref="F199:I199"/>
    <mergeCell ref="N187:Q187"/>
    <mergeCell ref="N188:Q188"/>
    <mergeCell ref="N189:Q189"/>
    <mergeCell ref="N196:Q196"/>
    <mergeCell ref="N197:Q197"/>
    <mergeCell ref="N198:Q198"/>
    <mergeCell ref="F192:I192"/>
    <mergeCell ref="F181:I181"/>
    <mergeCell ref="F182:I182"/>
    <mergeCell ref="F183:I183"/>
    <mergeCell ref="F184:I184"/>
    <mergeCell ref="F185:I185"/>
    <mergeCell ref="F186:I186"/>
    <mergeCell ref="N190:Q190"/>
    <mergeCell ref="N191:Q191"/>
    <mergeCell ref="N192:Q192"/>
    <mergeCell ref="F191:I191"/>
    <mergeCell ref="N181:Q181"/>
    <mergeCell ref="N182:Q182"/>
    <mergeCell ref="N183:Q183"/>
    <mergeCell ref="N184:Q184"/>
    <mergeCell ref="N185:Q185"/>
    <mergeCell ref="N158:Q158"/>
    <mergeCell ref="F159:I159"/>
    <mergeCell ref="N160:Q160"/>
    <mergeCell ref="N167:Q167"/>
    <mergeCell ref="F164:I164"/>
    <mergeCell ref="N165:Q165"/>
    <mergeCell ref="F166:I166"/>
    <mergeCell ref="N166:Q166"/>
    <mergeCell ref="F167:I167"/>
    <mergeCell ref="F161:I161"/>
    <mergeCell ref="N161:Q161"/>
    <mergeCell ref="F165:I165"/>
    <mergeCell ref="N162:Q162"/>
    <mergeCell ref="N150:Q150"/>
    <mergeCell ref="N127:Q127"/>
    <mergeCell ref="F139:I139"/>
    <mergeCell ref="N139:Q139"/>
    <mergeCell ref="F153:I153"/>
    <mergeCell ref="F187:I187"/>
    <mergeCell ref="F188:I188"/>
    <mergeCell ref="F189:I189"/>
    <mergeCell ref="F190:I190"/>
    <mergeCell ref="N186:Q186"/>
    <mergeCell ref="N171:Q171"/>
    <mergeCell ref="N173:Q173"/>
    <mergeCell ref="N164:Q164"/>
    <mergeCell ref="F168:I168"/>
    <mergeCell ref="N168:Q168"/>
    <mergeCell ref="F169:I169"/>
    <mergeCell ref="F170:I170"/>
    <mergeCell ref="N170:Q170"/>
    <mergeCell ref="N169:Q169"/>
    <mergeCell ref="F178:I178"/>
    <mergeCell ref="N178:Q178"/>
    <mergeCell ref="N179:Q179"/>
    <mergeCell ref="F176:I176"/>
    <mergeCell ref="N176:Q176"/>
    <mergeCell ref="N124:Q124"/>
    <mergeCell ref="N125:Q125"/>
    <mergeCell ref="N126:Q126"/>
    <mergeCell ref="N128:Q128"/>
    <mergeCell ref="N129:Q129"/>
    <mergeCell ref="N152:Q152"/>
    <mergeCell ref="N135:Q135"/>
    <mergeCell ref="F136:I136"/>
    <mergeCell ref="N136:Q136"/>
    <mergeCell ref="F140:I140"/>
    <mergeCell ref="F141:I141"/>
    <mergeCell ref="N141:Q141"/>
    <mergeCell ref="N140:Q140"/>
    <mergeCell ref="F137:I137"/>
    <mergeCell ref="N137:Q137"/>
    <mergeCell ref="F138:I138"/>
    <mergeCell ref="N138:Q138"/>
    <mergeCell ref="F127:I127"/>
    <mergeCell ref="F131:I131"/>
    <mergeCell ref="F148:I148"/>
    <mergeCell ref="F149:I149"/>
    <mergeCell ref="F150:I150"/>
    <mergeCell ref="N148:Q148"/>
    <mergeCell ref="N149:Q149"/>
    <mergeCell ref="F177:I177"/>
    <mergeCell ref="N177:Q177"/>
    <mergeCell ref="N153:Q153"/>
    <mergeCell ref="F180:I180"/>
    <mergeCell ref="N180:Q180"/>
    <mergeCell ref="F155:I155"/>
    <mergeCell ref="N156:Q156"/>
    <mergeCell ref="F174:I174"/>
    <mergeCell ref="F160:I160"/>
    <mergeCell ref="N155:Q155"/>
    <mergeCell ref="N157:Q157"/>
    <mergeCell ref="N159:Q159"/>
    <mergeCell ref="F175:I175"/>
    <mergeCell ref="N175:Q175"/>
    <mergeCell ref="F171:I171"/>
    <mergeCell ref="F172:I172"/>
    <mergeCell ref="N172:Q172"/>
    <mergeCell ref="F173:I173"/>
    <mergeCell ref="N174:Q174"/>
    <mergeCell ref="F162:I162"/>
    <mergeCell ref="F163:I163"/>
    <mergeCell ref="N163:Q163"/>
    <mergeCell ref="F157:I157"/>
    <mergeCell ref="F158:I158"/>
    <mergeCell ref="F123:I123"/>
    <mergeCell ref="F124:I124"/>
    <mergeCell ref="F125:I125"/>
    <mergeCell ref="F126:I126"/>
    <mergeCell ref="F128:I128"/>
    <mergeCell ref="F129:I129"/>
    <mergeCell ref="N123:Q123"/>
    <mergeCell ref="N142:Q142"/>
    <mergeCell ref="F154:I154"/>
    <mergeCell ref="N154:Q154"/>
    <mergeCell ref="F142:I142"/>
    <mergeCell ref="F143:I143"/>
    <mergeCell ref="N143:Q143"/>
    <mergeCell ref="F144:I144"/>
    <mergeCell ref="F147:I147"/>
    <mergeCell ref="F151:I151"/>
    <mergeCell ref="F152:I152"/>
    <mergeCell ref="N151:Q151"/>
    <mergeCell ref="N144:Q144"/>
    <mergeCell ref="F145:I145"/>
    <mergeCell ref="N145:Q145"/>
    <mergeCell ref="N147:Q147"/>
    <mergeCell ref="N146:Q146"/>
    <mergeCell ref="F146:I146"/>
    <mergeCell ref="F134:I134"/>
    <mergeCell ref="N134:Q134"/>
    <mergeCell ref="F130:I130"/>
    <mergeCell ref="N130:Q130"/>
    <mergeCell ref="F132:I132"/>
    <mergeCell ref="N132:Q132"/>
    <mergeCell ref="F133:I133"/>
    <mergeCell ref="N133:Q133"/>
    <mergeCell ref="N131:Q131"/>
    <mergeCell ref="N116:Q116"/>
    <mergeCell ref="F117:I117"/>
    <mergeCell ref="N117:Q117"/>
    <mergeCell ref="F120:I120"/>
    <mergeCell ref="N120:Q120"/>
    <mergeCell ref="F121:I121"/>
    <mergeCell ref="N121:Q121"/>
    <mergeCell ref="F122:I122"/>
    <mergeCell ref="N122:Q122"/>
    <mergeCell ref="M84:Q84"/>
    <mergeCell ref="F118:I118"/>
    <mergeCell ref="N118:Q118"/>
    <mergeCell ref="F119:I119"/>
    <mergeCell ref="N119:Q119"/>
    <mergeCell ref="N90:Q90"/>
    <mergeCell ref="N92:Q92"/>
    <mergeCell ref="L94:Q94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N115:Q115"/>
    <mergeCell ref="F116:I116"/>
    <mergeCell ref="M85:Q85"/>
    <mergeCell ref="C87:G87"/>
    <mergeCell ref="N87:Q87"/>
    <mergeCell ref="N89:Q89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F82:J82"/>
    <mergeCell ref="M82:P82"/>
    <mergeCell ref="F84:J84"/>
    <mergeCell ref="O22:P22"/>
    <mergeCell ref="E25:P25"/>
    <mergeCell ref="M28:P28"/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258"/>
  <sheetViews>
    <sheetView showGridLines="0" view="pageBreakPreview" zoomScaleSheetLayoutView="100" workbookViewId="0" topLeftCell="B1">
      <pane ySplit="1" topLeftCell="A114" activePane="bottomLeft" state="frozen"/>
      <selection pane="topLeft" activeCell="AE69" sqref="AE69"/>
      <selection pane="bottomLeft" activeCell="J119" sqref="J119"/>
    </sheetView>
  </sheetViews>
  <sheetFormatPr defaultColWidth="9.33203125" defaultRowHeight="13.5"/>
  <cols>
    <col min="1" max="1" width="8.33203125" style="321" customWidth="1"/>
    <col min="2" max="2" width="1.66796875" style="321" customWidth="1"/>
    <col min="3" max="3" width="4.16015625" style="321" customWidth="1"/>
    <col min="4" max="4" width="4.33203125" style="321" customWidth="1"/>
    <col min="5" max="5" width="17.16015625" style="321" customWidth="1"/>
    <col min="6" max="7" width="11.16015625" style="321" customWidth="1"/>
    <col min="8" max="8" width="12.5" style="321" customWidth="1"/>
    <col min="9" max="9" width="7" style="321" customWidth="1"/>
    <col min="10" max="10" width="5.33203125" style="321" customWidth="1"/>
    <col min="11" max="11" width="11.5" style="321" customWidth="1"/>
    <col min="12" max="12" width="12" style="321" customWidth="1"/>
    <col min="13" max="14" width="6" style="321" customWidth="1"/>
    <col min="15" max="15" width="2" style="321" customWidth="1"/>
    <col min="16" max="16" width="12.5" style="321" customWidth="1"/>
    <col min="17" max="17" width="4.16015625" style="321" customWidth="1"/>
    <col min="18" max="18" width="1.66796875" style="321" customWidth="1"/>
    <col min="19" max="19" width="8.16015625" style="321" customWidth="1"/>
    <col min="20" max="20" width="29.66015625" style="321" hidden="1" customWidth="1"/>
    <col min="21" max="21" width="16.33203125" style="321" hidden="1" customWidth="1"/>
    <col min="22" max="22" width="12.33203125" style="321" hidden="1" customWidth="1"/>
    <col min="23" max="23" width="16.33203125" style="321" hidden="1" customWidth="1"/>
    <col min="24" max="24" width="12.16015625" style="321" hidden="1" customWidth="1"/>
    <col min="25" max="25" width="15" style="321" hidden="1" customWidth="1"/>
    <col min="26" max="26" width="11" style="321" hidden="1" customWidth="1"/>
    <col min="27" max="27" width="15" style="321" hidden="1" customWidth="1"/>
    <col min="28" max="28" width="16.33203125" style="321" hidden="1" customWidth="1"/>
    <col min="29" max="29" width="11" style="321" hidden="1" customWidth="1"/>
    <col min="30" max="30" width="15" style="321" customWidth="1"/>
    <col min="31" max="31" width="16.33203125" style="321" customWidth="1"/>
    <col min="32" max="16384" width="9.33203125" style="321" customWidth="1"/>
  </cols>
  <sheetData>
    <row r="1" spans="1:66" ht="21.75" customHeight="1">
      <c r="A1" s="3"/>
      <c r="B1" s="4"/>
      <c r="C1" s="4"/>
      <c r="D1" s="5" t="s">
        <v>1</v>
      </c>
      <c r="E1" s="4"/>
      <c r="F1" s="6" t="s">
        <v>95</v>
      </c>
      <c r="G1" s="6"/>
      <c r="H1" s="914" t="s">
        <v>96</v>
      </c>
      <c r="I1" s="914"/>
      <c r="J1" s="914"/>
      <c r="K1" s="914"/>
      <c r="L1" s="6" t="s">
        <v>97</v>
      </c>
      <c r="M1" s="4"/>
      <c r="N1" s="4"/>
      <c r="O1" s="5" t="s">
        <v>98</v>
      </c>
      <c r="P1" s="4"/>
      <c r="Q1" s="4"/>
      <c r="R1" s="4"/>
      <c r="S1" s="6" t="s">
        <v>99</v>
      </c>
      <c r="T1" s="6"/>
      <c r="U1" s="3"/>
      <c r="V1" s="3"/>
      <c r="W1" s="3"/>
      <c r="X1" s="3"/>
      <c r="Y1" s="3"/>
      <c r="Z1" s="3"/>
      <c r="AA1" s="3"/>
      <c r="AB1" s="3"/>
      <c r="AC1" s="22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3:46" ht="36.95" customHeight="1">
      <c r="C2" s="915" t="s">
        <v>7</v>
      </c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S2" s="322" t="s">
        <v>8</v>
      </c>
      <c r="AC2" s="3"/>
      <c r="AT2" s="323" t="s">
        <v>87</v>
      </c>
    </row>
    <row r="3" spans="2:46" ht="6.95" customHeight="1">
      <c r="B3" s="324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6"/>
      <c r="AT3" s="323" t="s">
        <v>76</v>
      </c>
    </row>
    <row r="4" spans="2:46" ht="36.95" customHeight="1">
      <c r="B4" s="327"/>
      <c r="C4" s="917" t="s">
        <v>100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328"/>
      <c r="T4" s="329" t="s">
        <v>13</v>
      </c>
      <c r="AT4" s="323" t="s">
        <v>6</v>
      </c>
    </row>
    <row r="5" spans="2:18" ht="6.95" customHeight="1">
      <c r="B5" s="327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8"/>
    </row>
    <row r="6" spans="2:18" ht="25.35" customHeight="1">
      <c r="B6" s="327"/>
      <c r="C6" s="330"/>
      <c r="D6" s="331" t="s">
        <v>15</v>
      </c>
      <c r="E6" s="330"/>
      <c r="F6" s="919" t="s">
        <v>281</v>
      </c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330"/>
      <c r="R6" s="328"/>
    </row>
    <row r="7" spans="2:18" ht="25.35" customHeight="1">
      <c r="B7" s="327"/>
      <c r="C7" s="330"/>
      <c r="D7" s="331" t="s">
        <v>101</v>
      </c>
      <c r="E7" s="330"/>
      <c r="F7" s="919" t="s">
        <v>246</v>
      </c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330"/>
      <c r="R7" s="328"/>
    </row>
    <row r="8" spans="2:18" s="332" customFormat="1" ht="32.85" customHeight="1">
      <c r="B8" s="333"/>
      <c r="C8" s="216"/>
      <c r="D8" s="334" t="s">
        <v>102</v>
      </c>
      <c r="E8" s="216"/>
      <c r="F8" s="923" t="str">
        <f>F80</f>
        <v>VRN - VEDLEJŠÍ ROZPOČTOVÉ NÁKLADY</v>
      </c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216"/>
      <c r="R8" s="335"/>
    </row>
    <row r="9" spans="2:18" s="332" customFormat="1" ht="14.45" customHeight="1">
      <c r="B9" s="333"/>
      <c r="C9" s="216"/>
      <c r="D9" s="331" t="s">
        <v>16</v>
      </c>
      <c r="E9" s="216"/>
      <c r="F9" s="336"/>
      <c r="G9" s="216"/>
      <c r="H9" s="216"/>
      <c r="I9" s="216"/>
      <c r="J9" s="216"/>
      <c r="K9" s="216"/>
      <c r="L9" s="216"/>
      <c r="M9" s="331" t="s">
        <v>17</v>
      </c>
      <c r="N9" s="216"/>
      <c r="O9" s="336" t="s">
        <v>5</v>
      </c>
      <c r="P9" s="216"/>
      <c r="Q9" s="216"/>
      <c r="R9" s="335"/>
    </row>
    <row r="10" spans="2:18" s="332" customFormat="1" ht="14.45" customHeight="1">
      <c r="B10" s="333"/>
      <c r="C10" s="216"/>
      <c r="D10" s="331" t="s">
        <v>18</v>
      </c>
      <c r="E10" s="216"/>
      <c r="F10" s="87" t="s">
        <v>282</v>
      </c>
      <c r="G10" s="216"/>
      <c r="H10" s="216"/>
      <c r="I10" s="216"/>
      <c r="J10" s="216"/>
      <c r="K10" s="216"/>
      <c r="L10" s="216"/>
      <c r="M10" s="331" t="s">
        <v>19</v>
      </c>
      <c r="N10" s="216"/>
      <c r="O10" s="887">
        <v>43332</v>
      </c>
      <c r="P10" s="887"/>
      <c r="Q10" s="216"/>
      <c r="R10" s="335"/>
    </row>
    <row r="11" spans="2:18" s="332" customFormat="1" ht="10.9" customHeight="1">
      <c r="B11" s="333"/>
      <c r="C11" s="216"/>
      <c r="D11" s="161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335"/>
    </row>
    <row r="12" spans="2:18" s="332" customFormat="1" ht="14.45" customHeight="1">
      <c r="B12" s="333"/>
      <c r="C12" s="216"/>
      <c r="D12" s="331" t="s">
        <v>20</v>
      </c>
      <c r="E12" s="216"/>
      <c r="F12" s="87" t="s">
        <v>283</v>
      </c>
      <c r="G12" s="216"/>
      <c r="H12" s="216"/>
      <c r="I12" s="216"/>
      <c r="J12" s="216"/>
      <c r="K12" s="216"/>
      <c r="L12" s="216"/>
      <c r="M12" s="331" t="s">
        <v>21</v>
      </c>
      <c r="N12" s="216"/>
      <c r="O12" s="888" t="s">
        <v>5</v>
      </c>
      <c r="P12" s="888"/>
      <c r="Q12" s="216"/>
      <c r="R12" s="335"/>
    </row>
    <row r="13" spans="2:18" s="332" customFormat="1" ht="18" customHeight="1">
      <c r="B13" s="333"/>
      <c r="C13" s="216"/>
      <c r="D13" s="216"/>
      <c r="F13" s="216"/>
      <c r="G13" s="216"/>
      <c r="H13" s="216"/>
      <c r="I13" s="216"/>
      <c r="J13" s="216"/>
      <c r="K13" s="216"/>
      <c r="L13" s="216"/>
      <c r="M13" s="331" t="s">
        <v>23</v>
      </c>
      <c r="N13" s="216"/>
      <c r="O13" s="888" t="s">
        <v>5</v>
      </c>
      <c r="P13" s="888"/>
      <c r="Q13" s="216"/>
      <c r="R13" s="335"/>
    </row>
    <row r="14" spans="2:18" s="332" customFormat="1" ht="6.95" customHeight="1">
      <c r="B14" s="333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335"/>
    </row>
    <row r="15" spans="2:18" s="332" customFormat="1" ht="14.45" customHeight="1">
      <c r="B15" s="333"/>
      <c r="C15" s="216"/>
      <c r="D15" s="331" t="s">
        <v>24</v>
      </c>
      <c r="E15" s="216"/>
      <c r="F15" s="7"/>
      <c r="G15" s="216"/>
      <c r="H15" s="216"/>
      <c r="I15" s="216"/>
      <c r="J15" s="216"/>
      <c r="K15" s="216"/>
      <c r="L15" s="216"/>
      <c r="M15" s="331" t="s">
        <v>21</v>
      </c>
      <c r="N15" s="216"/>
      <c r="O15" s="912" t="str">
        <f>IF('Rekapitulace stavby'!AN13="","",'Rekapitulace stavby'!AN13)</f>
        <v/>
      </c>
      <c r="P15" s="912"/>
      <c r="Q15" s="216"/>
      <c r="R15" s="335"/>
    </row>
    <row r="16" spans="2:18" s="332" customFormat="1" ht="18" customHeight="1">
      <c r="B16" s="333"/>
      <c r="C16" s="216"/>
      <c r="D16" s="216"/>
      <c r="E16" s="336" t="str">
        <f>IF('Rekapitulace stavby'!E14="","",'Rekapitulace stavby'!E14)</f>
        <v xml:space="preserve"> </v>
      </c>
      <c r="F16" s="216"/>
      <c r="G16" s="216"/>
      <c r="H16" s="216"/>
      <c r="I16" s="216"/>
      <c r="J16" s="216"/>
      <c r="K16" s="216"/>
      <c r="L16" s="216"/>
      <c r="M16" s="331" t="s">
        <v>23</v>
      </c>
      <c r="N16" s="216"/>
      <c r="O16" s="912" t="str">
        <f>IF('Rekapitulace stavby'!AN14="","",'Rekapitulace stavby'!AN14)</f>
        <v/>
      </c>
      <c r="P16" s="912"/>
      <c r="Q16" s="216"/>
      <c r="R16" s="335"/>
    </row>
    <row r="17" spans="2:18" s="332" customFormat="1" ht="6.95" customHeight="1">
      <c r="B17" s="33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335"/>
    </row>
    <row r="18" spans="2:18" s="332" customFormat="1" ht="14.45" customHeight="1">
      <c r="B18" s="333"/>
      <c r="C18" s="216"/>
      <c r="D18" s="331" t="s">
        <v>26</v>
      </c>
      <c r="E18" s="216"/>
      <c r="F18" s="216" t="s">
        <v>204</v>
      </c>
      <c r="G18" s="216"/>
      <c r="H18" s="216"/>
      <c r="I18" s="216"/>
      <c r="J18" s="216"/>
      <c r="K18" s="216"/>
      <c r="L18" s="216"/>
      <c r="M18" s="331" t="s">
        <v>21</v>
      </c>
      <c r="N18" s="216"/>
      <c r="O18" s="888">
        <v>24270857</v>
      </c>
      <c r="P18" s="888"/>
      <c r="Q18" s="216"/>
      <c r="R18" s="335"/>
    </row>
    <row r="19" spans="2:18" s="332" customFormat="1" ht="18" customHeight="1">
      <c r="B19" s="333"/>
      <c r="C19" s="216"/>
      <c r="D19" s="216"/>
      <c r="E19" s="336"/>
      <c r="F19" s="216"/>
      <c r="G19" s="216"/>
      <c r="H19" s="216"/>
      <c r="I19" s="216"/>
      <c r="J19" s="216"/>
      <c r="K19" s="216"/>
      <c r="L19" s="216"/>
      <c r="M19" s="331" t="s">
        <v>23</v>
      </c>
      <c r="N19" s="216"/>
      <c r="O19" s="888" t="s">
        <v>205</v>
      </c>
      <c r="P19" s="888"/>
      <c r="Q19" s="216"/>
      <c r="R19" s="335"/>
    </row>
    <row r="20" spans="2:18" s="332" customFormat="1" ht="6.95" customHeight="1">
      <c r="B20" s="333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335"/>
    </row>
    <row r="21" spans="2:18" s="332" customFormat="1" ht="14.45" customHeight="1">
      <c r="B21" s="333"/>
      <c r="C21" s="216"/>
      <c r="D21" s="331" t="s">
        <v>28</v>
      </c>
      <c r="E21" s="216"/>
      <c r="F21" s="216" t="s">
        <v>204</v>
      </c>
      <c r="G21" s="216"/>
      <c r="H21" s="216"/>
      <c r="I21" s="216"/>
      <c r="J21" s="216"/>
      <c r="K21" s="216"/>
      <c r="L21" s="216"/>
      <c r="M21" s="331" t="s">
        <v>21</v>
      </c>
      <c r="N21" s="216"/>
      <c r="O21" s="888">
        <v>24270857</v>
      </c>
      <c r="P21" s="888"/>
      <c r="Q21" s="216"/>
      <c r="R21" s="335"/>
    </row>
    <row r="22" spans="2:18" s="332" customFormat="1" ht="18" customHeight="1">
      <c r="B22" s="333"/>
      <c r="C22" s="216"/>
      <c r="D22" s="216"/>
      <c r="E22" s="336"/>
      <c r="F22" s="216"/>
      <c r="G22" s="216"/>
      <c r="H22" s="216"/>
      <c r="I22" s="216"/>
      <c r="J22" s="216"/>
      <c r="K22" s="216"/>
      <c r="L22" s="216"/>
      <c r="M22" s="331" t="s">
        <v>23</v>
      </c>
      <c r="N22" s="216"/>
      <c r="O22" s="888" t="s">
        <v>205</v>
      </c>
      <c r="P22" s="888"/>
      <c r="Q22" s="216"/>
      <c r="R22" s="335"/>
    </row>
    <row r="23" spans="2:18" s="332" customFormat="1" ht="6.95" customHeight="1">
      <c r="B23" s="333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335"/>
    </row>
    <row r="24" spans="2:18" s="332" customFormat="1" ht="14.45" customHeight="1">
      <c r="B24" s="333"/>
      <c r="C24" s="216"/>
      <c r="D24" s="331" t="s">
        <v>29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335"/>
    </row>
    <row r="25" spans="2:18" s="332" customFormat="1" ht="180" customHeight="1">
      <c r="B25" s="333"/>
      <c r="C25" s="216"/>
      <c r="D25" s="216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216"/>
      <c r="R25" s="335"/>
    </row>
    <row r="26" spans="2:18" s="332" customFormat="1" ht="6.95" customHeight="1">
      <c r="B26" s="333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335"/>
    </row>
    <row r="27" spans="2:18" s="332" customFormat="1" ht="6.95" customHeight="1">
      <c r="B27" s="333"/>
      <c r="C27" s="216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216"/>
      <c r="R27" s="335"/>
    </row>
    <row r="28" spans="2:18" s="332" customFormat="1" ht="14.45" customHeight="1">
      <c r="B28" s="333"/>
      <c r="C28" s="216"/>
      <c r="D28" s="338" t="s">
        <v>103</v>
      </c>
      <c r="E28" s="216"/>
      <c r="F28" s="216"/>
      <c r="G28" s="216"/>
      <c r="H28" s="216"/>
      <c r="I28" s="216"/>
      <c r="J28" s="216"/>
      <c r="K28" s="216"/>
      <c r="L28" s="216"/>
      <c r="M28" s="924">
        <f>N89</f>
        <v>0</v>
      </c>
      <c r="N28" s="924"/>
      <c r="O28" s="924"/>
      <c r="P28" s="924"/>
      <c r="Q28" s="216"/>
      <c r="R28" s="335"/>
    </row>
    <row r="29" spans="2:18" s="332" customFormat="1" ht="14.45" customHeight="1">
      <c r="B29" s="333"/>
      <c r="C29" s="216"/>
      <c r="D29" s="339" t="s">
        <v>104</v>
      </c>
      <c r="E29" s="216"/>
      <c r="F29" s="216"/>
      <c r="G29" s="216"/>
      <c r="H29" s="216"/>
      <c r="I29" s="216"/>
      <c r="J29" s="216"/>
      <c r="K29" s="216"/>
      <c r="L29" s="216"/>
      <c r="M29" s="924">
        <f>N94</f>
        <v>0</v>
      </c>
      <c r="N29" s="924"/>
      <c r="O29" s="924"/>
      <c r="P29" s="924"/>
      <c r="Q29" s="216"/>
      <c r="R29" s="335"/>
    </row>
    <row r="30" spans="2:18" s="332" customFormat="1" ht="6.95" customHeight="1">
      <c r="B30" s="333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335"/>
    </row>
    <row r="31" spans="2:18" s="332" customFormat="1" ht="25.35" customHeight="1">
      <c r="B31" s="333"/>
      <c r="C31" s="216"/>
      <c r="D31" s="340" t="s">
        <v>32</v>
      </c>
      <c r="E31" s="216"/>
      <c r="F31" s="216"/>
      <c r="G31" s="216"/>
      <c r="H31" s="216"/>
      <c r="I31" s="216"/>
      <c r="J31" s="216"/>
      <c r="K31" s="216"/>
      <c r="L31" s="216"/>
      <c r="M31" s="921">
        <f>ROUND(M28+M29,2)</f>
        <v>0</v>
      </c>
      <c r="N31" s="878"/>
      <c r="O31" s="878"/>
      <c r="P31" s="878"/>
      <c r="Q31" s="216"/>
      <c r="R31" s="335"/>
    </row>
    <row r="32" spans="2:18" s="332" customFormat="1" ht="6.95" customHeight="1">
      <c r="B32" s="333"/>
      <c r="C32" s="216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216"/>
      <c r="R32" s="335"/>
    </row>
    <row r="33" spans="2:18" s="332" customFormat="1" ht="14.45" customHeight="1">
      <c r="B33" s="333"/>
      <c r="C33" s="216"/>
      <c r="D33" s="341" t="s">
        <v>33</v>
      </c>
      <c r="E33" s="341" t="s">
        <v>34</v>
      </c>
      <c r="F33" s="80">
        <v>0.21</v>
      </c>
      <c r="G33" s="342" t="s">
        <v>35</v>
      </c>
      <c r="H33" s="877">
        <v>0</v>
      </c>
      <c r="I33" s="878"/>
      <c r="J33" s="878"/>
      <c r="K33" s="216"/>
      <c r="L33" s="216"/>
      <c r="M33" s="877">
        <f>H33*F33</f>
        <v>0</v>
      </c>
      <c r="N33" s="878"/>
      <c r="O33" s="878"/>
      <c r="P33" s="878"/>
      <c r="Q33" s="216"/>
      <c r="R33" s="335"/>
    </row>
    <row r="34" spans="2:18" s="332" customFormat="1" ht="14.45" customHeight="1">
      <c r="B34" s="333"/>
      <c r="C34" s="216"/>
      <c r="D34" s="216"/>
      <c r="E34" s="341" t="s">
        <v>36</v>
      </c>
      <c r="F34" s="80">
        <v>0.15</v>
      </c>
      <c r="G34" s="342" t="s">
        <v>35</v>
      </c>
      <c r="H34" s="877">
        <f>M31</f>
        <v>0</v>
      </c>
      <c r="I34" s="878"/>
      <c r="J34" s="878"/>
      <c r="K34" s="216"/>
      <c r="L34" s="216"/>
      <c r="M34" s="877">
        <f>H34*F34</f>
        <v>0</v>
      </c>
      <c r="N34" s="878"/>
      <c r="O34" s="878"/>
      <c r="P34" s="878"/>
      <c r="Q34" s="216"/>
      <c r="R34" s="335"/>
    </row>
    <row r="35" spans="2:18" s="332" customFormat="1" ht="14.45" customHeight="1" hidden="1">
      <c r="B35" s="333"/>
      <c r="C35" s="216"/>
      <c r="D35" s="216"/>
      <c r="E35" s="341" t="s">
        <v>37</v>
      </c>
      <c r="F35" s="80">
        <v>0.21</v>
      </c>
      <c r="G35" s="342" t="s">
        <v>35</v>
      </c>
      <c r="H35" s="877">
        <f>ROUND((SUM(BG94:BG95)+SUM(BG114:BG226)),2)</f>
        <v>0</v>
      </c>
      <c r="I35" s="878"/>
      <c r="J35" s="878"/>
      <c r="K35" s="216"/>
      <c r="L35" s="216"/>
      <c r="M35" s="877">
        <v>0</v>
      </c>
      <c r="N35" s="878"/>
      <c r="O35" s="878"/>
      <c r="P35" s="878"/>
      <c r="Q35" s="216"/>
      <c r="R35" s="335"/>
    </row>
    <row r="36" spans="2:18" s="332" customFormat="1" ht="14.45" customHeight="1" hidden="1">
      <c r="B36" s="333"/>
      <c r="C36" s="216"/>
      <c r="D36" s="216"/>
      <c r="E36" s="341" t="s">
        <v>38</v>
      </c>
      <c r="F36" s="80">
        <v>0.15</v>
      </c>
      <c r="G36" s="342" t="s">
        <v>35</v>
      </c>
      <c r="H36" s="877">
        <f>ROUND((SUM(BH94:BH95)+SUM(BH114:BH226)),2)</f>
        <v>0</v>
      </c>
      <c r="I36" s="878"/>
      <c r="J36" s="878"/>
      <c r="K36" s="216"/>
      <c r="L36" s="216"/>
      <c r="M36" s="877">
        <v>0</v>
      </c>
      <c r="N36" s="878"/>
      <c r="O36" s="878"/>
      <c r="P36" s="878"/>
      <c r="Q36" s="216"/>
      <c r="R36" s="335"/>
    </row>
    <row r="37" spans="2:18" s="332" customFormat="1" ht="14.45" customHeight="1" hidden="1">
      <c r="B37" s="333"/>
      <c r="C37" s="216"/>
      <c r="D37" s="216"/>
      <c r="E37" s="341" t="s">
        <v>39</v>
      </c>
      <c r="F37" s="80">
        <v>0</v>
      </c>
      <c r="G37" s="342" t="s">
        <v>35</v>
      </c>
      <c r="H37" s="877">
        <f>ROUND((SUM(BI94:BI95)+SUM(BI114:BI226)),2)</f>
        <v>0</v>
      </c>
      <c r="I37" s="878"/>
      <c r="J37" s="878"/>
      <c r="K37" s="216"/>
      <c r="L37" s="216"/>
      <c r="M37" s="877">
        <v>0</v>
      </c>
      <c r="N37" s="878"/>
      <c r="O37" s="878"/>
      <c r="P37" s="878"/>
      <c r="Q37" s="216"/>
      <c r="R37" s="335"/>
    </row>
    <row r="38" spans="2:18" s="332" customFormat="1" ht="6.95" customHeight="1">
      <c r="B38" s="333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335"/>
    </row>
    <row r="39" spans="2:18" s="332" customFormat="1" ht="25.35" customHeight="1">
      <c r="B39" s="333"/>
      <c r="C39" s="343"/>
      <c r="D39" s="344" t="s">
        <v>40</v>
      </c>
      <c r="E39" s="345"/>
      <c r="F39" s="345"/>
      <c r="G39" s="346" t="s">
        <v>41</v>
      </c>
      <c r="H39" s="347" t="s">
        <v>42</v>
      </c>
      <c r="I39" s="345"/>
      <c r="J39" s="345"/>
      <c r="K39" s="345"/>
      <c r="L39" s="928">
        <f>SUM(M31:M37)</f>
        <v>0</v>
      </c>
      <c r="M39" s="928"/>
      <c r="N39" s="928"/>
      <c r="O39" s="928"/>
      <c r="P39" s="929"/>
      <c r="Q39" s="343"/>
      <c r="R39" s="335"/>
    </row>
    <row r="40" spans="2:18" s="332" customFormat="1" ht="14.45" customHeight="1" hidden="1">
      <c r="B40" s="333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335"/>
    </row>
    <row r="41" spans="2:18" s="332" customFormat="1" ht="14.45" customHeight="1" hidden="1">
      <c r="B41" s="333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335"/>
    </row>
    <row r="42" spans="2:18" ht="13.5" customHeight="1" hidden="1">
      <c r="B42" s="327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28"/>
    </row>
    <row r="43" spans="2:18" ht="13.5" customHeight="1" hidden="1">
      <c r="B43" s="327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28"/>
    </row>
    <row r="44" spans="2:18" ht="13.5" customHeight="1" hidden="1">
      <c r="B44" s="327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28"/>
    </row>
    <row r="45" spans="2:18" ht="13.5" customHeight="1" hidden="1">
      <c r="B45" s="327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28"/>
    </row>
    <row r="46" spans="2:18" ht="13.5" customHeight="1" hidden="1">
      <c r="B46" s="327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28"/>
    </row>
    <row r="47" spans="2:18" ht="13.5" customHeight="1" hidden="1">
      <c r="B47" s="327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28"/>
    </row>
    <row r="48" spans="2:18" ht="13.5" customHeight="1" hidden="1">
      <c r="B48" s="327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28"/>
    </row>
    <row r="49" spans="2:18" ht="13.5">
      <c r="B49" s="327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28"/>
    </row>
    <row r="50" spans="2:18" s="332" customFormat="1" ht="15">
      <c r="B50" s="333"/>
      <c r="C50" s="216"/>
      <c r="D50" s="348" t="s">
        <v>43</v>
      </c>
      <c r="E50" s="337"/>
      <c r="F50" s="337"/>
      <c r="G50" s="337"/>
      <c r="H50" s="349"/>
      <c r="I50" s="216"/>
      <c r="J50" s="348" t="s">
        <v>44</v>
      </c>
      <c r="K50" s="337"/>
      <c r="L50" s="337"/>
      <c r="M50" s="337"/>
      <c r="N50" s="337"/>
      <c r="O50" s="337"/>
      <c r="P50" s="349"/>
      <c r="Q50" s="216"/>
      <c r="R50" s="335"/>
    </row>
    <row r="51" spans="2:18" ht="13.5">
      <c r="B51" s="327"/>
      <c r="C51" s="330"/>
      <c r="D51" s="350"/>
      <c r="E51" s="330"/>
      <c r="F51" s="330"/>
      <c r="G51" s="330"/>
      <c r="H51" s="351"/>
      <c r="I51" s="330"/>
      <c r="J51" s="350"/>
      <c r="K51" s="330"/>
      <c r="L51" s="330"/>
      <c r="M51" s="330"/>
      <c r="N51" s="330"/>
      <c r="O51" s="330"/>
      <c r="P51" s="351"/>
      <c r="Q51" s="330"/>
      <c r="R51" s="328"/>
    </row>
    <row r="52" spans="2:18" ht="13.5">
      <c r="B52" s="327"/>
      <c r="C52" s="330"/>
      <c r="D52" s="350"/>
      <c r="E52" s="330"/>
      <c r="F52" s="330"/>
      <c r="G52" s="330"/>
      <c r="H52" s="351"/>
      <c r="I52" s="330"/>
      <c r="J52" s="350"/>
      <c r="K52" s="330"/>
      <c r="L52" s="330"/>
      <c r="M52" s="330"/>
      <c r="N52" s="330"/>
      <c r="O52" s="330"/>
      <c r="P52" s="351"/>
      <c r="Q52" s="330"/>
      <c r="R52" s="328"/>
    </row>
    <row r="53" spans="2:18" ht="13.5">
      <c r="B53" s="327"/>
      <c r="C53" s="330"/>
      <c r="D53" s="350"/>
      <c r="E53" s="330"/>
      <c r="F53" s="330"/>
      <c r="G53" s="330"/>
      <c r="H53" s="351"/>
      <c r="I53" s="330"/>
      <c r="J53" s="350"/>
      <c r="K53" s="330"/>
      <c r="L53" s="330"/>
      <c r="M53" s="330"/>
      <c r="N53" s="330"/>
      <c r="O53" s="330"/>
      <c r="P53" s="351"/>
      <c r="Q53" s="330"/>
      <c r="R53" s="328"/>
    </row>
    <row r="54" spans="2:18" ht="13.5">
      <c r="B54" s="327"/>
      <c r="C54" s="330"/>
      <c r="D54" s="350"/>
      <c r="E54" s="330"/>
      <c r="F54" s="330"/>
      <c r="G54" s="330"/>
      <c r="H54" s="351"/>
      <c r="I54" s="330"/>
      <c r="J54" s="350"/>
      <c r="K54" s="330"/>
      <c r="L54" s="330"/>
      <c r="M54" s="330"/>
      <c r="N54" s="330"/>
      <c r="O54" s="330"/>
      <c r="P54" s="351"/>
      <c r="Q54" s="330"/>
      <c r="R54" s="328"/>
    </row>
    <row r="55" spans="2:18" ht="13.5">
      <c r="B55" s="327"/>
      <c r="C55" s="330"/>
      <c r="D55" s="350"/>
      <c r="E55" s="352"/>
      <c r="F55" s="330"/>
      <c r="G55" s="330"/>
      <c r="H55" s="351"/>
      <c r="I55" s="330"/>
      <c r="J55" s="350"/>
      <c r="K55" s="330"/>
      <c r="L55" s="330"/>
      <c r="M55" s="330"/>
      <c r="N55" s="330"/>
      <c r="O55" s="330"/>
      <c r="P55" s="351"/>
      <c r="Q55" s="330"/>
      <c r="R55" s="328"/>
    </row>
    <row r="56" spans="2:18" ht="13.5">
      <c r="B56" s="327"/>
      <c r="C56" s="330"/>
      <c r="D56" s="350"/>
      <c r="E56" s="330"/>
      <c r="F56" s="330"/>
      <c r="G56" s="330"/>
      <c r="H56" s="351"/>
      <c r="I56" s="330"/>
      <c r="J56" s="350"/>
      <c r="K56" s="330"/>
      <c r="L56" s="330"/>
      <c r="M56" s="330"/>
      <c r="N56" s="330"/>
      <c r="O56" s="330"/>
      <c r="P56" s="351"/>
      <c r="Q56" s="330"/>
      <c r="R56" s="328"/>
    </row>
    <row r="57" spans="2:18" ht="13.5">
      <c r="B57" s="327"/>
      <c r="C57" s="330"/>
      <c r="D57" s="350"/>
      <c r="E57" s="330"/>
      <c r="F57" s="330"/>
      <c r="G57" s="330"/>
      <c r="H57" s="351"/>
      <c r="I57" s="330"/>
      <c r="J57" s="350"/>
      <c r="K57" s="330"/>
      <c r="L57" s="330"/>
      <c r="M57" s="330"/>
      <c r="N57" s="330"/>
      <c r="O57" s="330"/>
      <c r="P57" s="351"/>
      <c r="Q57" s="330"/>
      <c r="R57" s="328"/>
    </row>
    <row r="58" spans="2:18" ht="13.5">
      <c r="B58" s="327"/>
      <c r="C58" s="330"/>
      <c r="D58" s="350"/>
      <c r="E58" s="330"/>
      <c r="F58" s="330"/>
      <c r="G58" s="330"/>
      <c r="H58" s="351"/>
      <c r="I58" s="330"/>
      <c r="J58" s="350"/>
      <c r="K58" s="330"/>
      <c r="L58" s="330"/>
      <c r="M58" s="330"/>
      <c r="N58" s="330"/>
      <c r="O58" s="330"/>
      <c r="P58" s="351"/>
      <c r="Q58" s="330"/>
      <c r="R58" s="328"/>
    </row>
    <row r="59" spans="2:18" s="332" customFormat="1" ht="15">
      <c r="B59" s="333"/>
      <c r="C59" s="216"/>
      <c r="D59" s="353" t="s">
        <v>45</v>
      </c>
      <c r="E59" s="354"/>
      <c r="F59" s="354"/>
      <c r="G59" s="355" t="s">
        <v>46</v>
      </c>
      <c r="H59" s="356"/>
      <c r="I59" s="216"/>
      <c r="J59" s="353" t="s">
        <v>45</v>
      </c>
      <c r="K59" s="354"/>
      <c r="L59" s="354"/>
      <c r="M59" s="354"/>
      <c r="N59" s="355" t="s">
        <v>46</v>
      </c>
      <c r="O59" s="354"/>
      <c r="P59" s="356"/>
      <c r="Q59" s="216"/>
      <c r="R59" s="335"/>
    </row>
    <row r="60" spans="2:18" ht="13.5">
      <c r="B60" s="327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28"/>
    </row>
    <row r="61" spans="2:18" s="332" customFormat="1" ht="15">
      <c r="B61" s="333"/>
      <c r="C61" s="216"/>
      <c r="D61" s="348" t="s">
        <v>47</v>
      </c>
      <c r="E61" s="337"/>
      <c r="F61" s="337"/>
      <c r="G61" s="337"/>
      <c r="H61" s="349"/>
      <c r="I61" s="216"/>
      <c r="J61" s="437" t="s">
        <v>48</v>
      </c>
      <c r="K61" s="438"/>
      <c r="L61" s="438"/>
      <c r="M61" s="438"/>
      <c r="N61" s="438"/>
      <c r="O61" s="438"/>
      <c r="P61" s="439"/>
      <c r="Q61" s="216"/>
      <c r="R61" s="335"/>
    </row>
    <row r="62" spans="2:18" ht="13.5">
      <c r="B62" s="327"/>
      <c r="C62" s="330"/>
      <c r="D62" s="350"/>
      <c r="E62" s="330"/>
      <c r="F62" s="330"/>
      <c r="G62" s="330"/>
      <c r="H62" s="351"/>
      <c r="I62" s="330"/>
      <c r="J62" s="440"/>
      <c r="K62" s="441"/>
      <c r="L62" s="441"/>
      <c r="M62" s="441"/>
      <c r="N62" s="441"/>
      <c r="O62" s="441"/>
      <c r="P62" s="442"/>
      <c r="Q62" s="330"/>
      <c r="R62" s="328"/>
    </row>
    <row r="63" spans="2:18" ht="13.5">
      <c r="B63" s="327"/>
      <c r="C63" s="330"/>
      <c r="D63" s="350"/>
      <c r="E63" s="330"/>
      <c r="F63" s="330"/>
      <c r="G63" s="330"/>
      <c r="H63" s="351"/>
      <c r="I63" s="330"/>
      <c r="J63" s="440"/>
      <c r="K63" s="441"/>
      <c r="L63" s="441"/>
      <c r="M63" s="441"/>
      <c r="N63" s="441"/>
      <c r="O63" s="441"/>
      <c r="P63" s="442"/>
      <c r="Q63" s="330"/>
      <c r="R63" s="328"/>
    </row>
    <row r="64" spans="2:18" ht="13.5">
      <c r="B64" s="327"/>
      <c r="C64" s="330"/>
      <c r="D64" s="350"/>
      <c r="E64" s="330"/>
      <c r="F64" s="330"/>
      <c r="G64" s="330"/>
      <c r="H64" s="351"/>
      <c r="I64" s="330"/>
      <c r="J64" s="440"/>
      <c r="K64" s="441"/>
      <c r="L64" s="441"/>
      <c r="M64" s="441"/>
      <c r="N64" s="441"/>
      <c r="O64" s="441"/>
      <c r="P64" s="442"/>
      <c r="Q64" s="330"/>
      <c r="R64" s="328"/>
    </row>
    <row r="65" spans="2:18" ht="13.5">
      <c r="B65" s="327"/>
      <c r="C65" s="330"/>
      <c r="D65" s="350"/>
      <c r="E65" s="330"/>
      <c r="F65" s="330"/>
      <c r="G65" s="330"/>
      <c r="H65" s="351"/>
      <c r="I65" s="330"/>
      <c r="J65" s="440"/>
      <c r="K65" s="441"/>
      <c r="L65" s="441"/>
      <c r="M65" s="441"/>
      <c r="N65" s="441"/>
      <c r="O65" s="441"/>
      <c r="P65" s="442"/>
      <c r="Q65" s="330"/>
      <c r="R65" s="328"/>
    </row>
    <row r="66" spans="2:18" ht="13.5">
      <c r="B66" s="327"/>
      <c r="C66" s="330"/>
      <c r="D66" s="350"/>
      <c r="E66" s="330"/>
      <c r="F66" s="330"/>
      <c r="G66" s="330"/>
      <c r="H66" s="351"/>
      <c r="I66" s="330"/>
      <c r="J66" s="440"/>
      <c r="K66" s="441"/>
      <c r="L66" s="441"/>
      <c r="M66" s="441"/>
      <c r="N66" s="441"/>
      <c r="O66" s="441"/>
      <c r="P66" s="442"/>
      <c r="Q66" s="330"/>
      <c r="R66" s="328"/>
    </row>
    <row r="67" spans="2:18" ht="13.5">
      <c r="B67" s="327"/>
      <c r="C67" s="330"/>
      <c r="D67" s="350"/>
      <c r="E67" s="330"/>
      <c r="F67" s="330"/>
      <c r="G67" s="330"/>
      <c r="H67" s="351"/>
      <c r="I67" s="330"/>
      <c r="J67" s="440"/>
      <c r="K67" s="441"/>
      <c r="L67" s="441"/>
      <c r="M67" s="441"/>
      <c r="N67" s="441"/>
      <c r="O67" s="441"/>
      <c r="P67" s="442"/>
      <c r="Q67" s="330"/>
      <c r="R67" s="328"/>
    </row>
    <row r="68" spans="2:18" ht="13.5">
      <c r="B68" s="327"/>
      <c r="C68" s="330"/>
      <c r="D68" s="350"/>
      <c r="E68" s="330"/>
      <c r="F68" s="330"/>
      <c r="G68" s="330"/>
      <c r="H68" s="351"/>
      <c r="I68" s="330"/>
      <c r="J68" s="440"/>
      <c r="K68" s="441"/>
      <c r="L68" s="441"/>
      <c r="M68" s="441"/>
      <c r="N68" s="441"/>
      <c r="O68" s="441"/>
      <c r="P68" s="442"/>
      <c r="Q68" s="330"/>
      <c r="R68" s="328"/>
    </row>
    <row r="69" spans="2:18" ht="13.5">
      <c r="B69" s="327"/>
      <c r="C69" s="330"/>
      <c r="D69" s="350"/>
      <c r="E69" s="330"/>
      <c r="F69" s="330"/>
      <c r="G69" s="330"/>
      <c r="H69" s="351"/>
      <c r="I69" s="330"/>
      <c r="J69" s="440"/>
      <c r="K69" s="441"/>
      <c r="L69" s="441"/>
      <c r="M69" s="441"/>
      <c r="N69" s="441"/>
      <c r="O69" s="441"/>
      <c r="P69" s="442"/>
      <c r="Q69" s="330"/>
      <c r="R69" s="328"/>
    </row>
    <row r="70" spans="2:18" s="332" customFormat="1" ht="15">
      <c r="B70" s="333"/>
      <c r="C70" s="216"/>
      <c r="D70" s="353" t="s">
        <v>45</v>
      </c>
      <c r="E70" s="354"/>
      <c r="F70" s="354"/>
      <c r="G70" s="355" t="s">
        <v>46</v>
      </c>
      <c r="H70" s="356"/>
      <c r="I70" s="216"/>
      <c r="J70" s="443" t="s">
        <v>45</v>
      </c>
      <c r="K70" s="444"/>
      <c r="L70" s="444"/>
      <c r="M70" s="444"/>
      <c r="N70" s="445" t="s">
        <v>46</v>
      </c>
      <c r="O70" s="444"/>
      <c r="P70" s="446"/>
      <c r="Q70" s="216"/>
      <c r="R70" s="335"/>
    </row>
    <row r="71" spans="2:18" s="216" customFormat="1" ht="14.45" customHeight="1">
      <c r="B71" s="333"/>
      <c r="R71" s="335"/>
    </row>
    <row r="75" spans="2:18" s="332" customFormat="1" ht="6.95" customHeight="1"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9"/>
    </row>
    <row r="76" spans="2:18" s="332" customFormat="1" ht="36.95" customHeight="1">
      <c r="B76" s="333"/>
      <c r="C76" s="917" t="s">
        <v>105</v>
      </c>
      <c r="D76" s="918"/>
      <c r="E76" s="91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918"/>
      <c r="R76" s="335"/>
    </row>
    <row r="77" spans="2:18" s="332" customFormat="1" ht="6.95" customHeight="1">
      <c r="B77" s="333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335"/>
    </row>
    <row r="78" spans="2:18" s="332" customFormat="1" ht="30" customHeight="1">
      <c r="B78" s="333"/>
      <c r="C78" s="331" t="s">
        <v>15</v>
      </c>
      <c r="D78" s="216"/>
      <c r="E78" s="216"/>
      <c r="F78" s="930" t="str">
        <f>F6</f>
        <v>STAVEBNÍ ÚPRAVY STÁVAJÍCÍHO OBJEKTU K BYDLENÍ V MLADÉ BOLESLAVY</v>
      </c>
      <c r="G78" s="920"/>
      <c r="H78" s="920"/>
      <c r="I78" s="920"/>
      <c r="J78" s="920"/>
      <c r="K78" s="920"/>
      <c r="L78" s="920"/>
      <c r="M78" s="920"/>
      <c r="N78" s="920"/>
      <c r="O78" s="920"/>
      <c r="P78" s="920"/>
      <c r="Q78" s="216"/>
      <c r="R78" s="335"/>
    </row>
    <row r="79" spans="2:18" ht="30" customHeight="1">
      <c r="B79" s="327"/>
      <c r="C79" s="331" t="s">
        <v>101</v>
      </c>
      <c r="D79" s="330"/>
      <c r="E79" s="330"/>
      <c r="F79" s="919" t="s">
        <v>246</v>
      </c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330"/>
      <c r="R79" s="328"/>
    </row>
    <row r="80" spans="2:18" s="332" customFormat="1" ht="36.95" customHeight="1">
      <c r="B80" s="333"/>
      <c r="C80" s="360" t="s">
        <v>102</v>
      </c>
      <c r="D80" s="216"/>
      <c r="E80" s="216"/>
      <c r="F80" s="910" t="s">
        <v>246</v>
      </c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216"/>
      <c r="R80" s="335"/>
    </row>
    <row r="81" spans="2:18" s="332" customFormat="1" ht="6.95" customHeight="1">
      <c r="B81" s="333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335"/>
    </row>
    <row r="82" spans="2:18" s="332" customFormat="1" ht="36.75" customHeight="1">
      <c r="B82" s="333"/>
      <c r="C82" s="331" t="s">
        <v>18</v>
      </c>
      <c r="D82" s="216"/>
      <c r="F82" s="933" t="str">
        <f>F10</f>
        <v>NÁDRAŽNÍ ULICE č.p.43, Mladá Boleslav</v>
      </c>
      <c r="G82" s="933"/>
      <c r="H82" s="933"/>
      <c r="I82" s="933"/>
      <c r="J82" s="933"/>
      <c r="K82" s="331" t="s">
        <v>19</v>
      </c>
      <c r="L82" s="216"/>
      <c r="M82" s="887">
        <f>IF(O10="","",O10)</f>
        <v>43332</v>
      </c>
      <c r="N82" s="887"/>
      <c r="O82" s="887"/>
      <c r="P82" s="887"/>
      <c r="Q82" s="216"/>
      <c r="R82" s="335"/>
    </row>
    <row r="83" spans="2:18" s="332" customFormat="1" ht="13.5">
      <c r="B83" s="333"/>
      <c r="C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335"/>
    </row>
    <row r="84" spans="2:18" s="332" customFormat="1" ht="15">
      <c r="B84" s="333"/>
      <c r="C84" s="331" t="s">
        <v>20</v>
      </c>
      <c r="D84" s="216"/>
      <c r="E84" s="216"/>
      <c r="F84" s="933" t="str">
        <f>F12</f>
        <v>R-MOSTY, Z.S.</v>
      </c>
      <c r="G84" s="933"/>
      <c r="H84" s="933"/>
      <c r="I84" s="933"/>
      <c r="J84" s="933"/>
      <c r="K84" s="331" t="s">
        <v>26</v>
      </c>
      <c r="L84" s="216"/>
      <c r="M84" s="888" t="str">
        <f>F18</f>
        <v>Design&amp;Build s.r.o.</v>
      </c>
      <c r="N84" s="888"/>
      <c r="O84" s="888"/>
      <c r="P84" s="888"/>
      <c r="Q84" s="888"/>
      <c r="R84" s="335"/>
    </row>
    <row r="85" spans="2:18" s="332" customFormat="1" ht="14.45" customHeight="1">
      <c r="B85" s="333"/>
      <c r="C85" s="331" t="s">
        <v>24</v>
      </c>
      <c r="D85" s="216"/>
      <c r="E85" s="216"/>
      <c r="F85" s="436" t="str">
        <f>IF(E16="","",E16)</f>
        <v xml:space="preserve"> </v>
      </c>
      <c r="G85" s="216"/>
      <c r="H85" s="216"/>
      <c r="I85" s="216"/>
      <c r="J85" s="216"/>
      <c r="K85" s="331" t="s">
        <v>28</v>
      </c>
      <c r="L85" s="216"/>
      <c r="M85" s="888" t="str">
        <f>M84</f>
        <v>Design&amp;Build s.r.o.</v>
      </c>
      <c r="N85" s="888"/>
      <c r="O85" s="888"/>
      <c r="P85" s="888"/>
      <c r="Q85" s="888"/>
      <c r="R85" s="335"/>
    </row>
    <row r="86" spans="2:18" s="332" customFormat="1" ht="10.35" customHeight="1">
      <c r="B86" s="333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335"/>
    </row>
    <row r="87" spans="2:18" s="332" customFormat="1" ht="29.25" customHeight="1">
      <c r="B87" s="333"/>
      <c r="C87" s="935" t="s">
        <v>106</v>
      </c>
      <c r="D87" s="936"/>
      <c r="E87" s="936"/>
      <c r="F87" s="936"/>
      <c r="G87" s="936"/>
      <c r="H87" s="343"/>
      <c r="I87" s="343"/>
      <c r="J87" s="343"/>
      <c r="K87" s="343"/>
      <c r="L87" s="343"/>
      <c r="M87" s="343"/>
      <c r="N87" s="935" t="s">
        <v>107</v>
      </c>
      <c r="O87" s="936"/>
      <c r="P87" s="936"/>
      <c r="Q87" s="936"/>
      <c r="R87" s="335"/>
    </row>
    <row r="88" spans="2:18" s="332" customFormat="1" ht="10.35" customHeight="1">
      <c r="B88" s="333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335"/>
    </row>
    <row r="89" spans="2:47" s="332" customFormat="1" ht="29.25" customHeight="1">
      <c r="B89" s="333"/>
      <c r="C89" s="361" t="s">
        <v>108</v>
      </c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937">
        <f>N114</f>
        <v>0</v>
      </c>
      <c r="O89" s="931"/>
      <c r="P89" s="931"/>
      <c r="Q89" s="931"/>
      <c r="R89" s="335"/>
      <c r="AU89" s="323" t="s">
        <v>109</v>
      </c>
    </row>
    <row r="90" spans="2:18" s="365" customFormat="1" ht="24.95" customHeight="1">
      <c r="B90" s="362"/>
      <c r="C90" s="363"/>
      <c r="D90" s="176" t="s">
        <v>199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N91+N92</f>
        <v>0</v>
      </c>
      <c r="O90" s="927"/>
      <c r="P90" s="927"/>
      <c r="Q90" s="927"/>
      <c r="R90" s="364"/>
    </row>
    <row r="91" spans="2:18" s="365" customFormat="1" ht="24.95" customHeight="1">
      <c r="B91" s="362"/>
      <c r="C91" s="363"/>
      <c r="D91" s="128" t="s">
        <v>1590</v>
      </c>
      <c r="E91" s="128"/>
      <c r="F91" s="234"/>
      <c r="G91" s="234"/>
      <c r="H91" s="234"/>
      <c r="I91" s="234"/>
      <c r="J91" s="234"/>
      <c r="K91" s="234"/>
      <c r="L91" s="234"/>
      <c r="M91" s="234"/>
      <c r="N91" s="938">
        <f>N116</f>
        <v>0</v>
      </c>
      <c r="O91" s="939"/>
      <c r="P91" s="939"/>
      <c r="Q91" s="939"/>
      <c r="R91" s="364"/>
    </row>
    <row r="92" spans="2:18" s="365" customFormat="1" ht="24.95" customHeight="1">
      <c r="B92" s="362"/>
      <c r="C92" s="363"/>
      <c r="D92" s="128" t="s">
        <v>265</v>
      </c>
      <c r="E92" s="234"/>
      <c r="F92" s="234"/>
      <c r="G92" s="234"/>
      <c r="H92" s="234"/>
      <c r="I92" s="234"/>
      <c r="J92" s="234"/>
      <c r="K92" s="234"/>
      <c r="L92" s="234"/>
      <c r="M92" s="234"/>
      <c r="N92" s="938">
        <f>N121</f>
        <v>0</v>
      </c>
      <c r="O92" s="939"/>
      <c r="P92" s="939"/>
      <c r="Q92" s="939"/>
      <c r="R92" s="364"/>
    </row>
    <row r="93" spans="2:18" s="332" customFormat="1" ht="21.75" customHeight="1">
      <c r="B93" s="333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335"/>
    </row>
    <row r="94" spans="2:21" s="332" customFormat="1" ht="29.25" customHeight="1">
      <c r="B94" s="333"/>
      <c r="C94" s="361" t="s">
        <v>110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931">
        <v>0</v>
      </c>
      <c r="O94" s="932"/>
      <c r="P94" s="932"/>
      <c r="Q94" s="932"/>
      <c r="R94" s="335"/>
      <c r="T94" s="368"/>
      <c r="U94" s="369" t="s">
        <v>33</v>
      </c>
    </row>
    <row r="95" spans="2:18" s="332" customFormat="1" ht="18" customHeight="1">
      <c r="B95" s="333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335"/>
    </row>
    <row r="96" spans="2:18" s="332" customFormat="1" ht="29.25" customHeight="1">
      <c r="B96" s="333"/>
      <c r="C96" s="370" t="s">
        <v>94</v>
      </c>
      <c r="D96" s="343"/>
      <c r="E96" s="343"/>
      <c r="F96" s="343"/>
      <c r="G96" s="343"/>
      <c r="H96" s="343"/>
      <c r="I96" s="343"/>
      <c r="J96" s="343"/>
      <c r="K96" s="343"/>
      <c r="L96" s="934">
        <f>ROUND(SUM(N89+N94),2)</f>
        <v>0</v>
      </c>
      <c r="M96" s="934"/>
      <c r="N96" s="934"/>
      <c r="O96" s="934"/>
      <c r="P96" s="934"/>
      <c r="Q96" s="934"/>
      <c r="R96" s="335"/>
    </row>
    <row r="97" spans="2:18" s="332" customFormat="1" ht="6.95" customHeight="1">
      <c r="B97" s="371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3"/>
    </row>
    <row r="101" spans="2:18" s="332" customFormat="1" ht="6.95" customHeight="1">
      <c r="B101" s="357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9"/>
    </row>
    <row r="102" spans="2:18" s="332" customFormat="1" ht="36.95" customHeight="1">
      <c r="B102" s="333"/>
      <c r="C102" s="917" t="s">
        <v>111</v>
      </c>
      <c r="D102" s="878"/>
      <c r="E102" s="878"/>
      <c r="F102" s="878"/>
      <c r="G102" s="878"/>
      <c r="H102" s="878"/>
      <c r="I102" s="878"/>
      <c r="J102" s="878"/>
      <c r="K102" s="878"/>
      <c r="L102" s="878"/>
      <c r="M102" s="878"/>
      <c r="N102" s="878"/>
      <c r="O102" s="878"/>
      <c r="P102" s="878"/>
      <c r="Q102" s="878"/>
      <c r="R102" s="335"/>
    </row>
    <row r="103" spans="2:18" s="332" customFormat="1" ht="6.95" customHeight="1">
      <c r="B103" s="333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335"/>
    </row>
    <row r="104" spans="2:18" s="332" customFormat="1" ht="30" customHeight="1">
      <c r="B104" s="333"/>
      <c r="C104" s="331" t="s">
        <v>15</v>
      </c>
      <c r="D104" s="216"/>
      <c r="E104" s="216"/>
      <c r="F104" s="930" t="str">
        <f>F6</f>
        <v>STAVEBNÍ ÚPRAVY STÁVAJÍCÍHO OBJEKTU K BYDLENÍ V MLADÉ BOLESLAVY</v>
      </c>
      <c r="G104" s="920"/>
      <c r="H104" s="920"/>
      <c r="I104" s="920"/>
      <c r="J104" s="920"/>
      <c r="K104" s="920"/>
      <c r="L104" s="920"/>
      <c r="M104" s="920"/>
      <c r="N104" s="920"/>
      <c r="O104" s="920"/>
      <c r="P104" s="920"/>
      <c r="Q104" s="216"/>
      <c r="R104" s="335"/>
    </row>
    <row r="105" spans="2:18" ht="30" customHeight="1">
      <c r="B105" s="327"/>
      <c r="C105" s="331" t="s">
        <v>101</v>
      </c>
      <c r="D105" s="330"/>
      <c r="E105" s="330"/>
      <c r="F105" s="930" t="str">
        <f>F79</f>
        <v>VRN - VEDLEJŠÍ ROZPOČTOVÉ NÁKLADY</v>
      </c>
      <c r="G105" s="922"/>
      <c r="H105" s="922"/>
      <c r="I105" s="922"/>
      <c r="J105" s="922"/>
      <c r="K105" s="922"/>
      <c r="L105" s="922"/>
      <c r="M105" s="922"/>
      <c r="N105" s="922"/>
      <c r="O105" s="922"/>
      <c r="P105" s="922"/>
      <c r="Q105" s="330"/>
      <c r="R105" s="328"/>
    </row>
    <row r="106" spans="2:18" s="332" customFormat="1" ht="36.95" customHeight="1">
      <c r="B106" s="333"/>
      <c r="C106" s="360" t="s">
        <v>102</v>
      </c>
      <c r="D106" s="216"/>
      <c r="E106" s="216"/>
      <c r="F106" s="925" t="str">
        <f>F8</f>
        <v>VRN - VEDLEJŠÍ ROZPOČTOVÉ NÁKLADY</v>
      </c>
      <c r="G106" s="878"/>
      <c r="H106" s="878"/>
      <c r="I106" s="878"/>
      <c r="J106" s="878"/>
      <c r="K106" s="878"/>
      <c r="L106" s="878"/>
      <c r="M106" s="878"/>
      <c r="N106" s="878"/>
      <c r="O106" s="878"/>
      <c r="P106" s="878"/>
      <c r="Q106" s="216"/>
      <c r="R106" s="335"/>
    </row>
    <row r="107" spans="2:18" s="332" customFormat="1" ht="6.95" customHeight="1">
      <c r="B107" s="333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335"/>
    </row>
    <row r="108" spans="2:18" s="332" customFormat="1" ht="18" customHeight="1">
      <c r="B108" s="333"/>
      <c r="C108" s="331" t="s">
        <v>18</v>
      </c>
      <c r="D108" s="216"/>
      <c r="E108" s="216"/>
      <c r="F108" s="336" t="str">
        <f>F82</f>
        <v>NÁDRAŽNÍ ULICE č.p.43, Mladá Boleslav</v>
      </c>
      <c r="G108" s="216"/>
      <c r="H108" s="216"/>
      <c r="I108" s="216"/>
      <c r="J108" s="216"/>
      <c r="K108" s="331" t="s">
        <v>19</v>
      </c>
      <c r="L108" s="216"/>
      <c r="M108" s="887">
        <f>IF(O10="","",O10)</f>
        <v>43332</v>
      </c>
      <c r="N108" s="887"/>
      <c r="O108" s="887"/>
      <c r="P108" s="887"/>
      <c r="Q108" s="216"/>
      <c r="R108" s="335"/>
    </row>
    <row r="109" spans="2:18" s="332" customFormat="1" ht="6.95" customHeight="1">
      <c r="B109" s="333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335"/>
    </row>
    <row r="110" spans="2:18" s="332" customFormat="1" ht="15">
      <c r="B110" s="333"/>
      <c r="C110" s="331" t="s">
        <v>20</v>
      </c>
      <c r="D110" s="216"/>
      <c r="E110" s="216"/>
      <c r="F110" s="336" t="str">
        <f>F12</f>
        <v>R-MOSTY, Z.S.</v>
      </c>
      <c r="G110" s="216"/>
      <c r="H110" s="216"/>
      <c r="I110" s="216"/>
      <c r="J110" s="216"/>
      <c r="K110" s="331" t="s">
        <v>26</v>
      </c>
      <c r="L110" s="216"/>
      <c r="M110" s="888" t="str">
        <f>M84</f>
        <v>Design&amp;Build s.r.o.</v>
      </c>
      <c r="N110" s="888"/>
      <c r="O110" s="888"/>
      <c r="P110" s="888"/>
      <c r="Q110" s="888"/>
      <c r="R110" s="335"/>
    </row>
    <row r="111" spans="2:18" s="332" customFormat="1" ht="14.45" customHeight="1">
      <c r="B111" s="333"/>
      <c r="C111" s="331" t="s">
        <v>24</v>
      </c>
      <c r="D111" s="216"/>
      <c r="E111" s="216"/>
      <c r="F111" s="436" t="str">
        <f>IF(E16="","",E16)</f>
        <v xml:space="preserve"> </v>
      </c>
      <c r="G111" s="216"/>
      <c r="H111" s="216"/>
      <c r="I111" s="216"/>
      <c r="J111" s="216"/>
      <c r="K111" s="331" t="s">
        <v>28</v>
      </c>
      <c r="L111" s="216"/>
      <c r="M111" s="888" t="str">
        <f>M110</f>
        <v>Design&amp;Build s.r.o.</v>
      </c>
      <c r="N111" s="888"/>
      <c r="O111" s="888"/>
      <c r="P111" s="888"/>
      <c r="Q111" s="888"/>
      <c r="R111" s="335"/>
    </row>
    <row r="112" spans="2:18" s="332" customFormat="1" ht="10.35" customHeight="1">
      <c r="B112" s="333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335"/>
    </row>
    <row r="113" spans="2:27" s="374" customFormat="1" ht="29.25" customHeight="1">
      <c r="B113" s="375"/>
      <c r="C113" s="376" t="s">
        <v>112</v>
      </c>
      <c r="D113" s="377" t="s">
        <v>113</v>
      </c>
      <c r="E113" s="377" t="s">
        <v>51</v>
      </c>
      <c r="F113" s="950" t="s">
        <v>114</v>
      </c>
      <c r="G113" s="950"/>
      <c r="H113" s="950"/>
      <c r="I113" s="950"/>
      <c r="J113" s="377" t="s">
        <v>115</v>
      </c>
      <c r="K113" s="377" t="s">
        <v>116</v>
      </c>
      <c r="L113" s="949" t="s">
        <v>117</v>
      </c>
      <c r="M113" s="949"/>
      <c r="N113" s="950" t="s">
        <v>107</v>
      </c>
      <c r="O113" s="950"/>
      <c r="P113" s="950"/>
      <c r="Q113" s="951"/>
      <c r="R113" s="378"/>
      <c r="T113" s="379" t="s">
        <v>118</v>
      </c>
      <c r="U113" s="380" t="s">
        <v>33</v>
      </c>
      <c r="V113" s="380" t="s">
        <v>119</v>
      </c>
      <c r="W113" s="380" t="s">
        <v>120</v>
      </c>
      <c r="X113" s="380" t="s">
        <v>121</v>
      </c>
      <c r="Y113" s="380" t="s">
        <v>122</v>
      </c>
      <c r="Z113" s="380" t="s">
        <v>123</v>
      </c>
      <c r="AA113" s="381" t="s">
        <v>124</v>
      </c>
    </row>
    <row r="114" spans="2:63" s="332" customFormat="1" ht="29.25" customHeight="1">
      <c r="B114" s="333"/>
      <c r="C114" s="382" t="s">
        <v>103</v>
      </c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952">
        <f>SUM(N115)</f>
        <v>0</v>
      </c>
      <c r="O114" s="953"/>
      <c r="P114" s="953"/>
      <c r="Q114" s="953"/>
      <c r="R114" s="335"/>
      <c r="T114" s="383"/>
      <c r="U114" s="337"/>
      <c r="V114" s="337"/>
      <c r="W114" s="384" t="e">
        <f>W115+#REF!+#REF!+#REF!+#REF!+W140+W171+W180+W205+W210+W219</f>
        <v>#REF!</v>
      </c>
      <c r="X114" s="337"/>
      <c r="Y114" s="384" t="e">
        <f>Y115+#REF!+#REF!+#REF!+#REF!+Y140+Y171+Y180+Y205+Y210+Y219</f>
        <v>#REF!</v>
      </c>
      <c r="Z114" s="337"/>
      <c r="AA114" s="385" t="e">
        <f>AA115+#REF!+#REF!+#REF!+#REF!+AA140+AA171+AA180+AA205+AA210+AA219</f>
        <v>#REF!</v>
      </c>
      <c r="AD114" s="386"/>
      <c r="AU114" s="323" t="s">
        <v>109</v>
      </c>
      <c r="BK114" s="387" t="e">
        <f>BK115+#REF!+#REF!+#REF!+#REF!+BK140+BK171+BK180+BK205+BK210+BK219</f>
        <v>#REF!</v>
      </c>
    </row>
    <row r="115" spans="1:63" s="394" customFormat="1" ht="37.35" customHeight="1">
      <c r="A115" s="388"/>
      <c r="B115" s="389"/>
      <c r="C115" s="388"/>
      <c r="D115" s="390" t="str">
        <f>F106</f>
        <v>VRN - VEDLEJŠÍ ROZPOČTOVÉ NÁKLADY</v>
      </c>
      <c r="E115" s="390"/>
      <c r="F115" s="390"/>
      <c r="G115" s="390"/>
      <c r="H115" s="390"/>
      <c r="I115" s="390"/>
      <c r="J115" s="390"/>
      <c r="K115" s="390"/>
      <c r="L115" s="390"/>
      <c r="M115" s="390"/>
      <c r="N115" s="943">
        <f>N116+N121</f>
        <v>0</v>
      </c>
      <c r="O115" s="944"/>
      <c r="P115" s="944"/>
      <c r="Q115" s="944"/>
      <c r="R115" s="391"/>
      <c r="S115" s="388"/>
      <c r="T115" s="388"/>
      <c r="U115" s="388"/>
      <c r="V115" s="388"/>
      <c r="W115" s="392">
        <f>SUM(W116:W122)</f>
        <v>0</v>
      </c>
      <c r="X115" s="388"/>
      <c r="Y115" s="392">
        <f>SUM(Y116:Y122)</f>
        <v>0</v>
      </c>
      <c r="Z115" s="388"/>
      <c r="AA115" s="393">
        <f>SUM(AA116:AA122)</f>
        <v>0</v>
      </c>
      <c r="AU115" s="395" t="s">
        <v>69</v>
      </c>
      <c r="AY115" s="396" t="s">
        <v>125</v>
      </c>
      <c r="BK115" s="397">
        <f>SUM(BK116:BK122)</f>
        <v>0</v>
      </c>
    </row>
    <row r="116" spans="2:63" s="398" customFormat="1" ht="19.9" customHeight="1">
      <c r="B116" s="399"/>
      <c r="C116" s="181"/>
      <c r="D116" s="128" t="s">
        <v>1590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940">
        <f>SUM(N117:Q120)</f>
        <v>0</v>
      </c>
      <c r="O116" s="938"/>
      <c r="P116" s="938"/>
      <c r="Q116" s="938"/>
      <c r="R116" s="400"/>
      <c r="T116" s="401"/>
      <c r="U116" s="181"/>
      <c r="V116" s="181"/>
      <c r="W116" s="402">
        <f>W117</f>
        <v>0</v>
      </c>
      <c r="X116" s="181"/>
      <c r="Y116" s="402">
        <f>Y117</f>
        <v>0</v>
      </c>
      <c r="Z116" s="181"/>
      <c r="AA116" s="403">
        <f>AA117</f>
        <v>0</v>
      </c>
      <c r="AR116" s="404" t="s">
        <v>130</v>
      </c>
      <c r="AT116" s="405" t="s">
        <v>68</v>
      </c>
      <c r="AU116" s="405" t="s">
        <v>76</v>
      </c>
      <c r="AY116" s="404" t="s">
        <v>125</v>
      </c>
      <c r="BK116" s="406">
        <f>BK117</f>
        <v>0</v>
      </c>
    </row>
    <row r="117" spans="2:65" s="249" customFormat="1" ht="43.5" customHeight="1">
      <c r="B117" s="247"/>
      <c r="C117" s="195" t="s">
        <v>207</v>
      </c>
      <c r="D117" s="195"/>
      <c r="E117" s="432" t="s">
        <v>1581</v>
      </c>
      <c r="F117" s="947" t="s">
        <v>263</v>
      </c>
      <c r="G117" s="947"/>
      <c r="H117" s="947"/>
      <c r="I117" s="947"/>
      <c r="J117" s="113" t="s">
        <v>2227</v>
      </c>
      <c r="K117" s="433">
        <v>1</v>
      </c>
      <c r="L117" s="434"/>
      <c r="M117" s="128"/>
      <c r="N117" s="948">
        <f>ROUND(L117*K117,2)</f>
        <v>0</v>
      </c>
      <c r="O117" s="948"/>
      <c r="P117" s="948"/>
      <c r="Q117" s="948"/>
      <c r="R117" s="248"/>
      <c r="T117" s="407" t="s">
        <v>5</v>
      </c>
      <c r="U117" s="221" t="s">
        <v>36</v>
      </c>
      <c r="V117" s="408">
        <v>0</v>
      </c>
      <c r="W117" s="408">
        <f>V117*K117</f>
        <v>0</v>
      </c>
      <c r="X117" s="408">
        <v>0</v>
      </c>
      <c r="Y117" s="408">
        <f>X117*K117</f>
        <v>0</v>
      </c>
      <c r="Z117" s="408">
        <v>0</v>
      </c>
      <c r="AA117" s="409">
        <f>Z117*K117</f>
        <v>0</v>
      </c>
      <c r="AD117" s="398"/>
      <c r="AR117" s="240" t="s">
        <v>200</v>
      </c>
      <c r="AT117" s="240" t="s">
        <v>126</v>
      </c>
      <c r="AU117" s="240" t="s">
        <v>80</v>
      </c>
      <c r="AY117" s="240" t="s">
        <v>125</v>
      </c>
      <c r="BE117" s="250">
        <f>IF(U117="základní",N117,0)</f>
        <v>0</v>
      </c>
      <c r="BF117" s="250">
        <f>IF(U117="snížená",N117,0)</f>
        <v>0</v>
      </c>
      <c r="BG117" s="250">
        <f>IF(U117="zákl. přenesená",N117,0)</f>
        <v>0</v>
      </c>
      <c r="BH117" s="250">
        <f>IF(U117="sníž. přenesená",N117,0)</f>
        <v>0</v>
      </c>
      <c r="BI117" s="250">
        <f>IF(U117="nulová",N117,0)</f>
        <v>0</v>
      </c>
      <c r="BJ117" s="240" t="s">
        <v>80</v>
      </c>
      <c r="BK117" s="250">
        <f>ROUND(L117*K117,2)</f>
        <v>0</v>
      </c>
      <c r="BL117" s="240" t="s">
        <v>200</v>
      </c>
      <c r="BM117" s="240" t="s">
        <v>201</v>
      </c>
    </row>
    <row r="118" spans="2:65" s="249" customFormat="1" ht="43.5" customHeight="1">
      <c r="B118" s="247"/>
      <c r="C118" s="195" t="s">
        <v>208</v>
      </c>
      <c r="D118" s="195"/>
      <c r="E118" s="432" t="s">
        <v>1583</v>
      </c>
      <c r="F118" s="947" t="s">
        <v>1579</v>
      </c>
      <c r="G118" s="947"/>
      <c r="H118" s="947"/>
      <c r="I118" s="947"/>
      <c r="J118" s="113" t="s">
        <v>2227</v>
      </c>
      <c r="K118" s="433">
        <v>1</v>
      </c>
      <c r="L118" s="434"/>
      <c r="M118" s="128"/>
      <c r="N118" s="948">
        <f aca="true" t="shared" si="0" ref="N118:N120">ROUND(L118*K118,2)</f>
        <v>0</v>
      </c>
      <c r="O118" s="948"/>
      <c r="P118" s="948"/>
      <c r="Q118" s="948"/>
      <c r="R118" s="248"/>
      <c r="T118" s="407" t="s">
        <v>5</v>
      </c>
      <c r="U118" s="221" t="s">
        <v>36</v>
      </c>
      <c r="V118" s="408">
        <v>0</v>
      </c>
      <c r="W118" s="408">
        <f aca="true" t="shared" si="1" ref="W118:W120">V118*K118</f>
        <v>0</v>
      </c>
      <c r="X118" s="408">
        <v>0</v>
      </c>
      <c r="Y118" s="408">
        <f aca="true" t="shared" si="2" ref="Y118:Y120">X118*K118</f>
        <v>0</v>
      </c>
      <c r="Z118" s="408">
        <v>0</v>
      </c>
      <c r="AA118" s="409">
        <f aca="true" t="shared" si="3" ref="AA118:AA120">Z118*K118</f>
        <v>0</v>
      </c>
      <c r="AD118" s="398"/>
      <c r="AR118" s="240" t="s">
        <v>200</v>
      </c>
      <c r="AT118" s="240" t="s">
        <v>126</v>
      </c>
      <c r="AU118" s="240" t="s">
        <v>80</v>
      </c>
      <c r="AY118" s="240" t="s">
        <v>125</v>
      </c>
      <c r="BE118" s="250">
        <f aca="true" t="shared" si="4" ref="BE118:BE120">IF(U118="základní",N118,0)</f>
        <v>0</v>
      </c>
      <c r="BF118" s="250">
        <f aca="true" t="shared" si="5" ref="BF118:BF120">IF(U118="snížená",N118,0)</f>
        <v>0</v>
      </c>
      <c r="BG118" s="250">
        <f aca="true" t="shared" si="6" ref="BG118:BG120">IF(U118="zákl. přenesená",N118,0)</f>
        <v>0</v>
      </c>
      <c r="BH118" s="250">
        <f aca="true" t="shared" si="7" ref="BH118:BH120">IF(U118="sníž. přenesená",N118,0)</f>
        <v>0</v>
      </c>
      <c r="BI118" s="250">
        <f aca="true" t="shared" si="8" ref="BI118:BI120">IF(U118="nulová",N118,0)</f>
        <v>0</v>
      </c>
      <c r="BJ118" s="240" t="s">
        <v>80</v>
      </c>
      <c r="BK118" s="250">
        <f aca="true" t="shared" si="9" ref="BK118:BK120">ROUND(L118*K118,2)</f>
        <v>0</v>
      </c>
      <c r="BL118" s="240" t="s">
        <v>200</v>
      </c>
      <c r="BM118" s="240" t="s">
        <v>201</v>
      </c>
    </row>
    <row r="119" spans="2:65" s="249" customFormat="1" ht="43.5" customHeight="1">
      <c r="B119" s="247"/>
      <c r="C119" s="195" t="s">
        <v>209</v>
      </c>
      <c r="D119" s="195"/>
      <c r="E119" s="432" t="s">
        <v>1582</v>
      </c>
      <c r="F119" s="947" t="s">
        <v>1580</v>
      </c>
      <c r="G119" s="947"/>
      <c r="H119" s="947"/>
      <c r="I119" s="947"/>
      <c r="J119" s="113" t="s">
        <v>2227</v>
      </c>
      <c r="K119" s="433">
        <v>1</v>
      </c>
      <c r="L119" s="434"/>
      <c r="M119" s="128"/>
      <c r="N119" s="948">
        <f t="shared" si="0"/>
        <v>0</v>
      </c>
      <c r="O119" s="948"/>
      <c r="P119" s="948"/>
      <c r="Q119" s="948"/>
      <c r="R119" s="248"/>
      <c r="T119" s="407" t="s">
        <v>5</v>
      </c>
      <c r="U119" s="221" t="s">
        <v>36</v>
      </c>
      <c r="V119" s="408">
        <v>0</v>
      </c>
      <c r="W119" s="408">
        <f t="shared" si="1"/>
        <v>0</v>
      </c>
      <c r="X119" s="408">
        <v>0</v>
      </c>
      <c r="Y119" s="408">
        <f t="shared" si="2"/>
        <v>0</v>
      </c>
      <c r="Z119" s="408">
        <v>0</v>
      </c>
      <c r="AA119" s="409">
        <f t="shared" si="3"/>
        <v>0</v>
      </c>
      <c r="AD119" s="398"/>
      <c r="AR119" s="240" t="s">
        <v>200</v>
      </c>
      <c r="AT119" s="240" t="s">
        <v>126</v>
      </c>
      <c r="AU119" s="240" t="s">
        <v>80</v>
      </c>
      <c r="AY119" s="240" t="s">
        <v>125</v>
      </c>
      <c r="BE119" s="250">
        <f t="shared" si="4"/>
        <v>0</v>
      </c>
      <c r="BF119" s="250">
        <f t="shared" si="5"/>
        <v>0</v>
      </c>
      <c r="BG119" s="250">
        <f t="shared" si="6"/>
        <v>0</v>
      </c>
      <c r="BH119" s="250">
        <f t="shared" si="7"/>
        <v>0</v>
      </c>
      <c r="BI119" s="250">
        <f t="shared" si="8"/>
        <v>0</v>
      </c>
      <c r="BJ119" s="240" t="s">
        <v>80</v>
      </c>
      <c r="BK119" s="250">
        <f t="shared" si="9"/>
        <v>0</v>
      </c>
      <c r="BL119" s="240" t="s">
        <v>200</v>
      </c>
      <c r="BM119" s="240" t="s">
        <v>201</v>
      </c>
    </row>
    <row r="120" spans="2:65" s="249" customFormat="1" ht="43.5" customHeight="1">
      <c r="B120" s="247"/>
      <c r="C120" s="195" t="s">
        <v>210</v>
      </c>
      <c r="D120" s="195"/>
      <c r="E120" s="432" t="s">
        <v>1584</v>
      </c>
      <c r="F120" s="954" t="s">
        <v>2245</v>
      </c>
      <c r="G120" s="954"/>
      <c r="H120" s="954"/>
      <c r="I120" s="954"/>
      <c r="J120" s="113" t="s">
        <v>2227</v>
      </c>
      <c r="K120" s="433">
        <v>1</v>
      </c>
      <c r="L120" s="434"/>
      <c r="M120" s="128"/>
      <c r="N120" s="948">
        <f t="shared" si="0"/>
        <v>0</v>
      </c>
      <c r="O120" s="948"/>
      <c r="P120" s="948"/>
      <c r="Q120" s="948"/>
      <c r="R120" s="248"/>
      <c r="T120" s="407" t="s">
        <v>5</v>
      </c>
      <c r="U120" s="221" t="s">
        <v>36</v>
      </c>
      <c r="V120" s="408">
        <v>0</v>
      </c>
      <c r="W120" s="408">
        <f t="shared" si="1"/>
        <v>0</v>
      </c>
      <c r="X120" s="408">
        <v>0</v>
      </c>
      <c r="Y120" s="408">
        <f t="shared" si="2"/>
        <v>0</v>
      </c>
      <c r="Z120" s="408">
        <v>0</v>
      </c>
      <c r="AA120" s="409">
        <f t="shared" si="3"/>
        <v>0</v>
      </c>
      <c r="AD120" s="398"/>
      <c r="AR120" s="240" t="s">
        <v>200</v>
      </c>
      <c r="AT120" s="240" t="s">
        <v>126</v>
      </c>
      <c r="AU120" s="240" t="s">
        <v>80</v>
      </c>
      <c r="AY120" s="240" t="s">
        <v>125</v>
      </c>
      <c r="BE120" s="250">
        <f t="shared" si="4"/>
        <v>0</v>
      </c>
      <c r="BF120" s="250">
        <f t="shared" si="5"/>
        <v>0</v>
      </c>
      <c r="BG120" s="250">
        <f t="shared" si="6"/>
        <v>0</v>
      </c>
      <c r="BH120" s="250">
        <f t="shared" si="7"/>
        <v>0</v>
      </c>
      <c r="BI120" s="250">
        <f t="shared" si="8"/>
        <v>0</v>
      </c>
      <c r="BJ120" s="240" t="s">
        <v>80</v>
      </c>
      <c r="BK120" s="250">
        <f t="shared" si="9"/>
        <v>0</v>
      </c>
      <c r="BL120" s="240" t="s">
        <v>200</v>
      </c>
      <c r="BM120" s="240" t="s">
        <v>201</v>
      </c>
    </row>
    <row r="121" spans="2:63" s="398" customFormat="1" ht="43.5" customHeight="1">
      <c r="B121" s="399"/>
      <c r="C121" s="181"/>
      <c r="D121" s="128" t="s">
        <v>265</v>
      </c>
      <c r="E121" s="128"/>
      <c r="F121" s="128"/>
      <c r="G121" s="128"/>
      <c r="H121" s="128"/>
      <c r="I121" s="128"/>
      <c r="J121" s="410"/>
      <c r="K121" s="410"/>
      <c r="L121" s="435"/>
      <c r="M121" s="128"/>
      <c r="N121" s="940">
        <f>SUM(N122:Q125)</f>
        <v>0</v>
      </c>
      <c r="O121" s="938"/>
      <c r="P121" s="938"/>
      <c r="Q121" s="938"/>
      <c r="R121" s="400"/>
      <c r="T121" s="401"/>
      <c r="U121" s="181"/>
      <c r="V121" s="181"/>
      <c r="W121" s="402">
        <f>SUM(W122:W122)</f>
        <v>0</v>
      </c>
      <c r="X121" s="181"/>
      <c r="Y121" s="402">
        <f>SUM(Y122:Y122)</f>
        <v>0</v>
      </c>
      <c r="Z121" s="181"/>
      <c r="AA121" s="403">
        <f>SUM(AA122:AA122)</f>
        <v>0</v>
      </c>
      <c r="AR121" s="404" t="s">
        <v>130</v>
      </c>
      <c r="AT121" s="405" t="s">
        <v>68</v>
      </c>
      <c r="AU121" s="405" t="s">
        <v>76</v>
      </c>
      <c r="AY121" s="404" t="s">
        <v>125</v>
      </c>
      <c r="BK121" s="406">
        <f>SUM(BK122:BK122)</f>
        <v>0</v>
      </c>
    </row>
    <row r="122" spans="2:65" s="249" customFormat="1" ht="43.5" customHeight="1">
      <c r="B122" s="147"/>
      <c r="C122" s="195" t="s">
        <v>211</v>
      </c>
      <c r="D122" s="195"/>
      <c r="E122" s="432" t="s">
        <v>1578</v>
      </c>
      <c r="F122" s="947" t="s">
        <v>202</v>
      </c>
      <c r="G122" s="947"/>
      <c r="H122" s="947"/>
      <c r="I122" s="947"/>
      <c r="J122" s="113" t="s">
        <v>2227</v>
      </c>
      <c r="K122" s="433">
        <v>1</v>
      </c>
      <c r="L122" s="434"/>
      <c r="M122" s="128"/>
      <c r="N122" s="948">
        <f>ROUND(L122*K122,2)</f>
        <v>0</v>
      </c>
      <c r="O122" s="948"/>
      <c r="P122" s="948"/>
      <c r="Q122" s="948"/>
      <c r="R122" s="248"/>
      <c r="T122" s="407" t="s">
        <v>5</v>
      </c>
      <c r="U122" s="221" t="s">
        <v>36</v>
      </c>
      <c r="V122" s="408">
        <v>0</v>
      </c>
      <c r="W122" s="408">
        <f>V122*K122</f>
        <v>0</v>
      </c>
      <c r="X122" s="408">
        <v>0</v>
      </c>
      <c r="Y122" s="408">
        <f>X122*K122</f>
        <v>0</v>
      </c>
      <c r="Z122" s="408">
        <v>0</v>
      </c>
      <c r="AA122" s="409">
        <f>Z122*K122</f>
        <v>0</v>
      </c>
      <c r="AD122" s="398"/>
      <c r="AR122" s="240" t="s">
        <v>200</v>
      </c>
      <c r="AT122" s="240" t="s">
        <v>126</v>
      </c>
      <c r="AU122" s="240" t="s">
        <v>80</v>
      </c>
      <c r="AY122" s="240" t="s">
        <v>125</v>
      </c>
      <c r="BE122" s="250">
        <f>IF(U122="základní",N122,0)</f>
        <v>0</v>
      </c>
      <c r="BF122" s="250">
        <f>IF(U122="snížená",N122,0)</f>
        <v>0</v>
      </c>
      <c r="BG122" s="250">
        <f>IF(U122="zákl. přenesená",N122,0)</f>
        <v>0</v>
      </c>
      <c r="BH122" s="250">
        <f>IF(U122="sníž. přenesená",N122,0)</f>
        <v>0</v>
      </c>
      <c r="BI122" s="250">
        <f>IF(U122="nulová",N122,0)</f>
        <v>0</v>
      </c>
      <c r="BJ122" s="240" t="s">
        <v>80</v>
      </c>
      <c r="BK122" s="250">
        <f>ROUND(L122*K122,2)</f>
        <v>0</v>
      </c>
      <c r="BL122" s="240" t="s">
        <v>200</v>
      </c>
      <c r="BM122" s="240" t="s">
        <v>203</v>
      </c>
    </row>
    <row r="123" spans="2:65" s="249" customFormat="1" ht="43.5" customHeight="1">
      <c r="B123" s="147"/>
      <c r="C123" s="195" t="s">
        <v>212</v>
      </c>
      <c r="D123" s="195"/>
      <c r="E123" s="432" t="s">
        <v>1586</v>
      </c>
      <c r="F123" s="947" t="s">
        <v>1585</v>
      </c>
      <c r="G123" s="947"/>
      <c r="H123" s="947"/>
      <c r="I123" s="947"/>
      <c r="J123" s="113" t="s">
        <v>2227</v>
      </c>
      <c r="K123" s="433">
        <v>1</v>
      </c>
      <c r="L123" s="434"/>
      <c r="M123" s="128"/>
      <c r="N123" s="948">
        <f aca="true" t="shared" si="10" ref="N123">ROUND(L123*K123,2)</f>
        <v>0</v>
      </c>
      <c r="O123" s="948"/>
      <c r="P123" s="948"/>
      <c r="Q123" s="948"/>
      <c r="R123" s="248"/>
      <c r="T123" s="407" t="s">
        <v>5</v>
      </c>
      <c r="U123" s="221" t="s">
        <v>36</v>
      </c>
      <c r="V123" s="408">
        <v>0</v>
      </c>
      <c r="W123" s="408">
        <f aca="true" t="shared" si="11" ref="W123">V123*K123</f>
        <v>0</v>
      </c>
      <c r="X123" s="408">
        <v>0</v>
      </c>
      <c r="Y123" s="408">
        <f aca="true" t="shared" si="12" ref="Y123">X123*K123</f>
        <v>0</v>
      </c>
      <c r="Z123" s="408">
        <v>0</v>
      </c>
      <c r="AA123" s="409">
        <f aca="true" t="shared" si="13" ref="AA123">Z123*K123</f>
        <v>0</v>
      </c>
      <c r="AD123" s="398"/>
      <c r="AR123" s="240" t="s">
        <v>200</v>
      </c>
      <c r="AT123" s="240" t="s">
        <v>126</v>
      </c>
      <c r="AU123" s="240" t="s">
        <v>80</v>
      </c>
      <c r="AY123" s="240" t="s">
        <v>125</v>
      </c>
      <c r="BE123" s="250">
        <f aca="true" t="shared" si="14" ref="BE123">IF(U123="základní",N123,0)</f>
        <v>0</v>
      </c>
      <c r="BF123" s="250">
        <f aca="true" t="shared" si="15" ref="BF123">IF(U123="snížená",N123,0)</f>
        <v>0</v>
      </c>
      <c r="BG123" s="250">
        <f aca="true" t="shared" si="16" ref="BG123">IF(U123="zákl. přenesená",N123,0)</f>
        <v>0</v>
      </c>
      <c r="BH123" s="250">
        <f aca="true" t="shared" si="17" ref="BH123">IF(U123="sníž. přenesená",N123,0)</f>
        <v>0</v>
      </c>
      <c r="BI123" s="250">
        <f aca="true" t="shared" si="18" ref="BI123">IF(U123="nulová",N123,0)</f>
        <v>0</v>
      </c>
      <c r="BJ123" s="240" t="s">
        <v>80</v>
      </c>
      <c r="BK123" s="250">
        <f aca="true" t="shared" si="19" ref="BK123">ROUND(L123*K123,2)</f>
        <v>0</v>
      </c>
      <c r="BL123" s="240" t="s">
        <v>200</v>
      </c>
      <c r="BM123" s="240" t="s">
        <v>203</v>
      </c>
    </row>
    <row r="124" spans="2:65" s="249" customFormat="1" ht="43.5" customHeight="1">
      <c r="B124" s="147"/>
      <c r="C124" s="195" t="s">
        <v>213</v>
      </c>
      <c r="D124" s="195"/>
      <c r="E124" s="432" t="s">
        <v>1588</v>
      </c>
      <c r="F124" s="947" t="s">
        <v>1587</v>
      </c>
      <c r="G124" s="947"/>
      <c r="H124" s="947"/>
      <c r="I124" s="947"/>
      <c r="J124" s="113" t="s">
        <v>2227</v>
      </c>
      <c r="K124" s="433">
        <v>1</v>
      </c>
      <c r="L124" s="434"/>
      <c r="M124" s="128"/>
      <c r="N124" s="948">
        <f>ROUND(L124*K124,2)</f>
        <v>0</v>
      </c>
      <c r="O124" s="948"/>
      <c r="P124" s="948"/>
      <c r="Q124" s="948"/>
      <c r="R124" s="248"/>
      <c r="T124" s="407" t="s">
        <v>5</v>
      </c>
      <c r="U124" s="221" t="s">
        <v>36</v>
      </c>
      <c r="V124" s="408">
        <v>0</v>
      </c>
      <c r="W124" s="408">
        <f>V124*K124</f>
        <v>0</v>
      </c>
      <c r="X124" s="408">
        <v>0</v>
      </c>
      <c r="Y124" s="408">
        <f>X124*K124</f>
        <v>0</v>
      </c>
      <c r="Z124" s="408">
        <v>0</v>
      </c>
      <c r="AA124" s="409">
        <f>Z124*K124</f>
        <v>0</v>
      </c>
      <c r="AD124" s="398"/>
      <c r="AR124" s="240" t="s">
        <v>200</v>
      </c>
      <c r="AT124" s="240" t="s">
        <v>126</v>
      </c>
      <c r="AU124" s="240" t="s">
        <v>80</v>
      </c>
      <c r="AY124" s="240" t="s">
        <v>125</v>
      </c>
      <c r="BE124" s="250">
        <f>IF(U124="základní",N124,0)</f>
        <v>0</v>
      </c>
      <c r="BF124" s="250">
        <f>IF(U124="snížená",N124,0)</f>
        <v>0</v>
      </c>
      <c r="BG124" s="250">
        <f>IF(U124="zákl. přenesená",N124,0)</f>
        <v>0</v>
      </c>
      <c r="BH124" s="250">
        <f>IF(U124="sníž. přenesená",N124,0)</f>
        <v>0</v>
      </c>
      <c r="BI124" s="250">
        <f>IF(U124="nulová",N124,0)</f>
        <v>0</v>
      </c>
      <c r="BJ124" s="240" t="s">
        <v>80</v>
      </c>
      <c r="BK124" s="250">
        <f>ROUND(L124*K124,2)</f>
        <v>0</v>
      </c>
      <c r="BL124" s="240" t="s">
        <v>200</v>
      </c>
      <c r="BM124" s="240" t="s">
        <v>203</v>
      </c>
    </row>
    <row r="125" spans="2:65" s="249" customFormat="1" ht="43.5" customHeight="1">
      <c r="B125" s="147"/>
      <c r="C125" s="195" t="s">
        <v>214</v>
      </c>
      <c r="D125" s="195"/>
      <c r="E125" s="432" t="s">
        <v>1578</v>
      </c>
      <c r="F125" s="947" t="s">
        <v>1589</v>
      </c>
      <c r="G125" s="947"/>
      <c r="H125" s="947"/>
      <c r="I125" s="947"/>
      <c r="J125" s="113" t="s">
        <v>2227</v>
      </c>
      <c r="K125" s="433">
        <v>1</v>
      </c>
      <c r="L125" s="434"/>
      <c r="M125" s="128"/>
      <c r="N125" s="948">
        <f>ROUND(L125*K125,2)</f>
        <v>0</v>
      </c>
      <c r="O125" s="948"/>
      <c r="P125" s="948"/>
      <c r="Q125" s="948"/>
      <c r="R125" s="248"/>
      <c r="T125" s="407" t="s">
        <v>5</v>
      </c>
      <c r="U125" s="221" t="s">
        <v>36</v>
      </c>
      <c r="V125" s="408">
        <v>0</v>
      </c>
      <c r="W125" s="408">
        <f>V125*K125</f>
        <v>0</v>
      </c>
      <c r="X125" s="408">
        <v>0</v>
      </c>
      <c r="Y125" s="408">
        <f>X125*K125</f>
        <v>0</v>
      </c>
      <c r="Z125" s="408">
        <v>0</v>
      </c>
      <c r="AA125" s="409">
        <f>Z125*K125</f>
        <v>0</v>
      </c>
      <c r="AD125" s="398"/>
      <c r="AR125" s="240" t="s">
        <v>200</v>
      </c>
      <c r="AT125" s="240" t="s">
        <v>126</v>
      </c>
      <c r="AU125" s="240" t="s">
        <v>80</v>
      </c>
      <c r="AY125" s="240" t="s">
        <v>125</v>
      </c>
      <c r="BE125" s="250">
        <f>IF(U125="základní",N125,0)</f>
        <v>0</v>
      </c>
      <c r="BF125" s="250">
        <f>IF(U125="snížená",N125,0)</f>
        <v>0</v>
      </c>
      <c r="BG125" s="250">
        <f>IF(U125="zákl. přenesená",N125,0)</f>
        <v>0</v>
      </c>
      <c r="BH125" s="250">
        <f>IF(U125="sníž. přenesená",N125,0)</f>
        <v>0</v>
      </c>
      <c r="BI125" s="250">
        <f>IF(U125="nulová",N125,0)</f>
        <v>0</v>
      </c>
      <c r="BJ125" s="240" t="s">
        <v>80</v>
      </c>
      <c r="BK125" s="250">
        <f>ROUND(L125*K125,2)</f>
        <v>0</v>
      </c>
      <c r="BL125" s="240" t="s">
        <v>200</v>
      </c>
      <c r="BM125" s="240" t="s">
        <v>203</v>
      </c>
    </row>
    <row r="126" spans="2:47" s="332" customFormat="1" ht="6.75" customHeight="1">
      <c r="B126" s="411"/>
      <c r="C126" s="412"/>
      <c r="D126" s="412"/>
      <c r="E126" s="412"/>
      <c r="F126" s="941"/>
      <c r="G126" s="942"/>
      <c r="H126" s="942"/>
      <c r="I126" s="942"/>
      <c r="J126" s="412"/>
      <c r="K126" s="412"/>
      <c r="L126" s="412"/>
      <c r="M126" s="412"/>
      <c r="N126" s="412"/>
      <c r="O126" s="412"/>
      <c r="P126" s="412"/>
      <c r="Q126" s="412"/>
      <c r="R126" s="413"/>
      <c r="T126" s="414"/>
      <c r="U126" s="216"/>
      <c r="V126" s="216"/>
      <c r="W126" s="216"/>
      <c r="X126" s="216"/>
      <c r="Y126" s="216"/>
      <c r="Z126" s="216"/>
      <c r="AA126" s="415"/>
      <c r="AU126" s="323" t="s">
        <v>76</v>
      </c>
    </row>
    <row r="127" spans="6:65" s="332" customFormat="1" ht="31.5" customHeight="1">
      <c r="F127" s="249"/>
      <c r="T127" s="416" t="s">
        <v>5</v>
      </c>
      <c r="U127" s="417" t="s">
        <v>36</v>
      </c>
      <c r="V127" s="418">
        <v>0</v>
      </c>
      <c r="W127" s="418" t="e">
        <f>V127*#REF!</f>
        <v>#REF!</v>
      </c>
      <c r="X127" s="418">
        <v>0</v>
      </c>
      <c r="Y127" s="418" t="e">
        <f>X127*#REF!</f>
        <v>#REF!</v>
      </c>
      <c r="Z127" s="418">
        <v>0</v>
      </c>
      <c r="AA127" s="419" t="e">
        <f>Z127*#REF!</f>
        <v>#REF!</v>
      </c>
      <c r="AU127" s="323" t="s">
        <v>76</v>
      </c>
      <c r="AY127" s="323" t="s">
        <v>125</v>
      </c>
      <c r="BE127" s="420">
        <f>IF(U127="základní",#REF!,0)</f>
        <v>0</v>
      </c>
      <c r="BF127" s="420" t="e">
        <f>IF(U127="snížená",#REF!,0)</f>
        <v>#REF!</v>
      </c>
      <c r="BG127" s="420">
        <f>IF(U127="zákl. přenesená",#REF!,0)</f>
        <v>0</v>
      </c>
      <c r="BH127" s="420">
        <f>IF(U127="sníž. přenesená",#REF!,0)</f>
        <v>0</v>
      </c>
      <c r="BI127" s="420">
        <f>IF(U127="nulová",#REF!,0)</f>
        <v>0</v>
      </c>
      <c r="BJ127" s="323" t="s">
        <v>80</v>
      </c>
      <c r="BK127" s="420" t="e">
        <f>ROUND(#REF!*#REF!,2)</f>
        <v>#REF!</v>
      </c>
      <c r="BL127" s="323" t="s">
        <v>128</v>
      </c>
      <c r="BM127" s="323" t="s">
        <v>140</v>
      </c>
    </row>
    <row r="128" spans="20:47" s="332" customFormat="1" ht="30" customHeight="1">
      <c r="T128" s="414"/>
      <c r="U128" s="216"/>
      <c r="V128" s="216"/>
      <c r="W128" s="216"/>
      <c r="X128" s="216"/>
      <c r="Y128" s="216"/>
      <c r="Z128" s="216"/>
      <c r="AA128" s="415"/>
      <c r="AU128" s="323" t="s">
        <v>76</v>
      </c>
    </row>
    <row r="129" spans="20:65" s="332" customFormat="1" ht="22.5" customHeight="1">
      <c r="T129" s="416" t="s">
        <v>5</v>
      </c>
      <c r="U129" s="417" t="s">
        <v>36</v>
      </c>
      <c r="V129" s="418">
        <v>0</v>
      </c>
      <c r="W129" s="418" t="e">
        <f>V129*#REF!</f>
        <v>#REF!</v>
      </c>
      <c r="X129" s="418">
        <v>0</v>
      </c>
      <c r="Y129" s="418" t="e">
        <f>X129*#REF!</f>
        <v>#REF!</v>
      </c>
      <c r="Z129" s="418">
        <v>0</v>
      </c>
      <c r="AA129" s="419" t="e">
        <f>Z129*#REF!</f>
        <v>#REF!</v>
      </c>
      <c r="AU129" s="323" t="s">
        <v>76</v>
      </c>
      <c r="AY129" s="323" t="s">
        <v>125</v>
      </c>
      <c r="BE129" s="420">
        <f>IF(U129="základní",#REF!,0)</f>
        <v>0</v>
      </c>
      <c r="BF129" s="420" t="e">
        <f>IF(U129="snížená",#REF!,0)</f>
        <v>#REF!</v>
      </c>
      <c r="BG129" s="420">
        <f>IF(U129="zákl. přenesená",#REF!,0)</f>
        <v>0</v>
      </c>
      <c r="BH129" s="420">
        <f>IF(U129="sníž. přenesená",#REF!,0)</f>
        <v>0</v>
      </c>
      <c r="BI129" s="420">
        <f>IF(U129="nulová",#REF!,0)</f>
        <v>0</v>
      </c>
      <c r="BJ129" s="323" t="s">
        <v>80</v>
      </c>
      <c r="BK129" s="420" t="e">
        <f>ROUND(#REF!*#REF!,2)</f>
        <v>#REF!</v>
      </c>
      <c r="BL129" s="323" t="s">
        <v>128</v>
      </c>
      <c r="BM129" s="323" t="s">
        <v>141</v>
      </c>
    </row>
    <row r="130" spans="20:47" s="332" customFormat="1" ht="42" customHeight="1">
      <c r="T130" s="414"/>
      <c r="U130" s="216"/>
      <c r="V130" s="216"/>
      <c r="W130" s="216"/>
      <c r="X130" s="216"/>
      <c r="Y130" s="216"/>
      <c r="Z130" s="216"/>
      <c r="AA130" s="415"/>
      <c r="AU130" s="323" t="s">
        <v>76</v>
      </c>
    </row>
    <row r="131" spans="20:65" s="332" customFormat="1" ht="31.5" customHeight="1">
      <c r="T131" s="416" t="s">
        <v>5</v>
      </c>
      <c r="U131" s="417" t="s">
        <v>36</v>
      </c>
      <c r="V131" s="418">
        <v>0</v>
      </c>
      <c r="W131" s="418" t="e">
        <f>V131*#REF!</f>
        <v>#REF!</v>
      </c>
      <c r="X131" s="418">
        <v>0</v>
      </c>
      <c r="Y131" s="418" t="e">
        <f>X131*#REF!</f>
        <v>#REF!</v>
      </c>
      <c r="Z131" s="418">
        <v>0</v>
      </c>
      <c r="AA131" s="419" t="e">
        <f>Z131*#REF!</f>
        <v>#REF!</v>
      </c>
      <c r="AU131" s="323" t="s">
        <v>76</v>
      </c>
      <c r="AY131" s="323" t="s">
        <v>125</v>
      </c>
      <c r="BE131" s="420">
        <f>IF(U131="základní",#REF!,0)</f>
        <v>0</v>
      </c>
      <c r="BF131" s="420" t="e">
        <f>IF(U131="snížená",#REF!,0)</f>
        <v>#REF!</v>
      </c>
      <c r="BG131" s="420">
        <f>IF(U131="zákl. přenesená",#REF!,0)</f>
        <v>0</v>
      </c>
      <c r="BH131" s="420">
        <f>IF(U131="sníž. přenesená",#REF!,0)</f>
        <v>0</v>
      </c>
      <c r="BI131" s="420">
        <f>IF(U131="nulová",#REF!,0)</f>
        <v>0</v>
      </c>
      <c r="BJ131" s="323" t="s">
        <v>80</v>
      </c>
      <c r="BK131" s="420" t="e">
        <f>ROUND(#REF!*#REF!,2)</f>
        <v>#REF!</v>
      </c>
      <c r="BL131" s="323" t="s">
        <v>128</v>
      </c>
      <c r="BM131" s="323" t="s">
        <v>142</v>
      </c>
    </row>
    <row r="132" spans="20:47" s="332" customFormat="1" ht="30" customHeight="1">
      <c r="T132" s="414"/>
      <c r="U132" s="216"/>
      <c r="V132" s="216"/>
      <c r="W132" s="216"/>
      <c r="X132" s="216"/>
      <c r="Y132" s="216"/>
      <c r="Z132" s="216"/>
      <c r="AA132" s="415"/>
      <c r="AU132" s="323" t="s">
        <v>76</v>
      </c>
    </row>
    <row r="133" spans="20:65" s="332" customFormat="1" ht="31.5" customHeight="1">
      <c r="T133" s="416" t="s">
        <v>5</v>
      </c>
      <c r="U133" s="417" t="s">
        <v>36</v>
      </c>
      <c r="V133" s="418">
        <v>0</v>
      </c>
      <c r="W133" s="418" t="e">
        <f>V133*#REF!</f>
        <v>#REF!</v>
      </c>
      <c r="X133" s="418">
        <v>0</v>
      </c>
      <c r="Y133" s="418" t="e">
        <f>X133*#REF!</f>
        <v>#REF!</v>
      </c>
      <c r="Z133" s="418">
        <v>0</v>
      </c>
      <c r="AA133" s="419" t="e">
        <f>Z133*#REF!</f>
        <v>#REF!</v>
      </c>
      <c r="AU133" s="323" t="s">
        <v>76</v>
      </c>
      <c r="AY133" s="323" t="s">
        <v>125</v>
      </c>
      <c r="BE133" s="420">
        <f>IF(U133="základní",#REF!,0)</f>
        <v>0</v>
      </c>
      <c r="BF133" s="420" t="e">
        <f>IF(U133="snížená",#REF!,0)</f>
        <v>#REF!</v>
      </c>
      <c r="BG133" s="420">
        <f>IF(U133="zákl. přenesená",#REF!,0)</f>
        <v>0</v>
      </c>
      <c r="BH133" s="420">
        <f>IF(U133="sníž. přenesená",#REF!,0)</f>
        <v>0</v>
      </c>
      <c r="BI133" s="420">
        <f>IF(U133="nulová",#REF!,0)</f>
        <v>0</v>
      </c>
      <c r="BJ133" s="323" t="s">
        <v>80</v>
      </c>
      <c r="BK133" s="420" t="e">
        <f>ROUND(#REF!*#REF!,2)</f>
        <v>#REF!</v>
      </c>
      <c r="BL133" s="323" t="s">
        <v>128</v>
      </c>
      <c r="BM133" s="323" t="s">
        <v>143</v>
      </c>
    </row>
    <row r="134" spans="20:47" s="332" customFormat="1" ht="66" customHeight="1">
      <c r="T134" s="414"/>
      <c r="U134" s="216"/>
      <c r="V134" s="216"/>
      <c r="W134" s="216"/>
      <c r="X134" s="216"/>
      <c r="Y134" s="216"/>
      <c r="Z134" s="216"/>
      <c r="AA134" s="415"/>
      <c r="AC134" s="321"/>
      <c r="AU134" s="323" t="s">
        <v>76</v>
      </c>
    </row>
    <row r="135" spans="20:47" s="332" customFormat="1" ht="66.75" customHeight="1">
      <c r="T135" s="414"/>
      <c r="U135" s="216"/>
      <c r="V135" s="216"/>
      <c r="W135" s="216"/>
      <c r="X135" s="216"/>
      <c r="Y135" s="216"/>
      <c r="Z135" s="216"/>
      <c r="AA135" s="415"/>
      <c r="AU135" s="323"/>
    </row>
    <row r="136" spans="20:47" s="332" customFormat="1" ht="21" customHeight="1">
      <c r="T136" s="414"/>
      <c r="U136" s="216"/>
      <c r="V136" s="216"/>
      <c r="W136" s="216"/>
      <c r="X136" s="216"/>
      <c r="Y136" s="216"/>
      <c r="Z136" s="216"/>
      <c r="AA136" s="415"/>
      <c r="AU136" s="323"/>
    </row>
    <row r="137" spans="20:47" s="332" customFormat="1" ht="21" customHeight="1">
      <c r="T137" s="414"/>
      <c r="U137" s="216"/>
      <c r="V137" s="216"/>
      <c r="W137" s="216"/>
      <c r="X137" s="216"/>
      <c r="Y137" s="216"/>
      <c r="Z137" s="216"/>
      <c r="AA137" s="415"/>
      <c r="AU137" s="323"/>
    </row>
    <row r="138" spans="20:65" s="332" customFormat="1" ht="22.5" customHeight="1">
      <c r="T138" s="416" t="s">
        <v>5</v>
      </c>
      <c r="U138" s="417" t="s">
        <v>36</v>
      </c>
      <c r="V138" s="418">
        <v>0</v>
      </c>
      <c r="W138" s="418" t="e">
        <f>V138*#REF!</f>
        <v>#REF!</v>
      </c>
      <c r="X138" s="418">
        <v>0</v>
      </c>
      <c r="Y138" s="418" t="e">
        <f>X138*#REF!</f>
        <v>#REF!</v>
      </c>
      <c r="Z138" s="418">
        <v>0</v>
      </c>
      <c r="AA138" s="419" t="e">
        <f>Z138*#REF!</f>
        <v>#REF!</v>
      </c>
      <c r="AU138" s="323" t="s">
        <v>76</v>
      </c>
      <c r="AY138" s="323" t="s">
        <v>125</v>
      </c>
      <c r="BE138" s="420">
        <f>IF(U138="základní",#REF!,0)</f>
        <v>0</v>
      </c>
      <c r="BF138" s="420" t="e">
        <f>IF(U138="snížená",#REF!,0)</f>
        <v>#REF!</v>
      </c>
      <c r="BG138" s="420">
        <f>IF(U138="zákl. přenesená",#REF!,0)</f>
        <v>0</v>
      </c>
      <c r="BH138" s="420">
        <f>IF(U138="sníž. přenesená",#REF!,0)</f>
        <v>0</v>
      </c>
      <c r="BI138" s="420">
        <f>IF(U138="nulová",#REF!,0)</f>
        <v>0</v>
      </c>
      <c r="BJ138" s="323" t="s">
        <v>80</v>
      </c>
      <c r="BK138" s="420" t="e">
        <f>ROUND(#REF!*#REF!,2)</f>
        <v>#REF!</v>
      </c>
      <c r="BL138" s="323" t="s">
        <v>128</v>
      </c>
      <c r="BM138" s="323" t="s">
        <v>144</v>
      </c>
    </row>
    <row r="139" spans="20:47" s="332" customFormat="1" ht="24" customHeight="1">
      <c r="T139" s="414"/>
      <c r="U139" s="216"/>
      <c r="V139" s="216"/>
      <c r="W139" s="216"/>
      <c r="X139" s="216"/>
      <c r="Y139" s="216"/>
      <c r="Z139" s="216"/>
      <c r="AA139" s="415"/>
      <c r="AU139" s="323" t="s">
        <v>76</v>
      </c>
    </row>
    <row r="140" spans="20:63" s="394" customFormat="1" ht="26.25" customHeight="1">
      <c r="T140" s="421"/>
      <c r="U140" s="388"/>
      <c r="V140" s="388"/>
      <c r="W140" s="392">
        <f>SUM(W141:W170)</f>
        <v>0</v>
      </c>
      <c r="X140" s="388"/>
      <c r="Y140" s="392">
        <f>SUM(Y141:Y170)</f>
        <v>0</v>
      </c>
      <c r="Z140" s="388"/>
      <c r="AA140" s="393">
        <f>SUM(AA141:AA170)</f>
        <v>0</v>
      </c>
      <c r="AU140" s="395" t="s">
        <v>69</v>
      </c>
      <c r="AY140" s="396" t="s">
        <v>125</v>
      </c>
      <c r="BK140" s="397">
        <f>SUM(BK141:BK170)</f>
        <v>0</v>
      </c>
    </row>
    <row r="141" spans="20:65" s="332" customFormat="1" ht="31.5" customHeight="1">
      <c r="T141" s="416" t="s">
        <v>5</v>
      </c>
      <c r="U141" s="417" t="s">
        <v>36</v>
      </c>
      <c r="V141" s="418">
        <v>0</v>
      </c>
      <c r="W141" s="418">
        <f>V141*K158</f>
        <v>0</v>
      </c>
      <c r="X141" s="418">
        <v>0</v>
      </c>
      <c r="Y141" s="418">
        <f>X141*K158</f>
        <v>0</v>
      </c>
      <c r="Z141" s="418">
        <v>0</v>
      </c>
      <c r="AA141" s="419">
        <f>Z141*K158</f>
        <v>0</v>
      </c>
      <c r="AE141" s="422"/>
      <c r="AR141" s="323" t="s">
        <v>128</v>
      </c>
      <c r="AT141" s="323" t="s">
        <v>126</v>
      </c>
      <c r="AU141" s="323" t="s">
        <v>76</v>
      </c>
      <c r="AY141" s="323" t="s">
        <v>125</v>
      </c>
      <c r="BE141" s="420">
        <f>IF(U141="základní",N158,0)</f>
        <v>0</v>
      </c>
      <c r="BF141" s="420">
        <f>IF(U141="snížená",N158,0)</f>
        <v>0</v>
      </c>
      <c r="BG141" s="420">
        <f>IF(U141="zákl. přenesená",N158,0)</f>
        <v>0</v>
      </c>
      <c r="BH141" s="420">
        <f>IF(U141="sníž. přenesená",N158,0)</f>
        <v>0</v>
      </c>
      <c r="BI141" s="420">
        <f>IF(U141="nulová",N158,0)</f>
        <v>0</v>
      </c>
      <c r="BJ141" s="323" t="s">
        <v>80</v>
      </c>
      <c r="BK141" s="420">
        <f>ROUND(L158*K158,2)</f>
        <v>0</v>
      </c>
      <c r="BL141" s="323" t="s">
        <v>128</v>
      </c>
      <c r="BM141" s="323" t="s">
        <v>145</v>
      </c>
    </row>
    <row r="142" spans="20:47" s="332" customFormat="1" ht="30" customHeight="1">
      <c r="T142" s="414"/>
      <c r="U142" s="216"/>
      <c r="V142" s="216"/>
      <c r="W142" s="216"/>
      <c r="X142" s="216"/>
      <c r="Y142" s="216"/>
      <c r="Z142" s="216"/>
      <c r="AA142" s="415"/>
      <c r="AE142" s="216"/>
      <c r="AT142" s="323" t="s">
        <v>182</v>
      </c>
      <c r="AU142" s="323" t="s">
        <v>76</v>
      </c>
    </row>
    <row r="143" spans="20:65" s="332" customFormat="1" ht="31.5" customHeight="1">
      <c r="T143" s="416" t="s">
        <v>5</v>
      </c>
      <c r="U143" s="417" t="s">
        <v>36</v>
      </c>
      <c r="V143" s="418">
        <v>0</v>
      </c>
      <c r="W143" s="418">
        <f>V143*K170</f>
        <v>0</v>
      </c>
      <c r="X143" s="418">
        <v>0</v>
      </c>
      <c r="Y143" s="418">
        <f>X143*K170</f>
        <v>0</v>
      </c>
      <c r="Z143" s="418">
        <v>0</v>
      </c>
      <c r="AA143" s="419">
        <f>Z143*K170</f>
        <v>0</v>
      </c>
      <c r="AR143" s="323" t="s">
        <v>128</v>
      </c>
      <c r="AT143" s="323" t="s">
        <v>126</v>
      </c>
      <c r="AU143" s="323" t="s">
        <v>76</v>
      </c>
      <c r="AY143" s="323" t="s">
        <v>125</v>
      </c>
      <c r="BE143" s="420">
        <f>IF(U143="základní",N170,0)</f>
        <v>0</v>
      </c>
      <c r="BF143" s="420">
        <f>IF(U143="snížená",N170,0)</f>
        <v>0</v>
      </c>
      <c r="BG143" s="420">
        <f>IF(U143="zákl. přenesená",N170,0)</f>
        <v>0</v>
      </c>
      <c r="BH143" s="420">
        <f>IF(U143="sníž. přenesená",N170,0)</f>
        <v>0</v>
      </c>
      <c r="BI143" s="420">
        <f>IF(U143="nulová",N170,0)</f>
        <v>0</v>
      </c>
      <c r="BJ143" s="323" t="s">
        <v>80</v>
      </c>
      <c r="BK143" s="420">
        <f>ROUND(L170*K170,2)</f>
        <v>0</v>
      </c>
      <c r="BL143" s="323" t="s">
        <v>128</v>
      </c>
      <c r="BM143" s="323" t="s">
        <v>146</v>
      </c>
    </row>
    <row r="144" spans="20:47" s="332" customFormat="1" ht="42" customHeight="1">
      <c r="T144" s="414"/>
      <c r="U144" s="216"/>
      <c r="V144" s="216"/>
      <c r="W144" s="216"/>
      <c r="X144" s="216"/>
      <c r="Y144" s="216"/>
      <c r="Z144" s="216"/>
      <c r="AA144" s="415"/>
      <c r="AT144" s="323" t="s">
        <v>182</v>
      </c>
      <c r="AU144" s="323" t="s">
        <v>76</v>
      </c>
    </row>
    <row r="145" spans="20:65" s="332" customFormat="1" ht="31.5" customHeight="1">
      <c r="T145" s="416" t="s">
        <v>5</v>
      </c>
      <c r="U145" s="417" t="s">
        <v>36</v>
      </c>
      <c r="V145" s="418">
        <v>0</v>
      </c>
      <c r="W145" s="418">
        <f>V145*K172</f>
        <v>0</v>
      </c>
      <c r="X145" s="418">
        <v>0</v>
      </c>
      <c r="Y145" s="418">
        <f>X145*K172</f>
        <v>0</v>
      </c>
      <c r="Z145" s="418">
        <v>0</v>
      </c>
      <c r="AA145" s="419">
        <f>Z145*K172</f>
        <v>0</v>
      </c>
      <c r="AR145" s="323" t="s">
        <v>128</v>
      </c>
      <c r="AT145" s="323" t="s">
        <v>126</v>
      </c>
      <c r="AU145" s="323" t="s">
        <v>76</v>
      </c>
      <c r="AY145" s="323" t="s">
        <v>125</v>
      </c>
      <c r="BE145" s="420">
        <f>IF(U145="základní",N172,0)</f>
        <v>0</v>
      </c>
      <c r="BF145" s="420">
        <f>IF(U145="snížená",N172,0)</f>
        <v>0</v>
      </c>
      <c r="BG145" s="420">
        <f>IF(U145="zákl. přenesená",N172,0)</f>
        <v>0</v>
      </c>
      <c r="BH145" s="420">
        <f>IF(U145="sníž. přenesená",N172,0)</f>
        <v>0</v>
      </c>
      <c r="BI145" s="420">
        <f>IF(U145="nulová",N172,0)</f>
        <v>0</v>
      </c>
      <c r="BJ145" s="323" t="s">
        <v>80</v>
      </c>
      <c r="BK145" s="420">
        <f>ROUND(L172*K172,2)</f>
        <v>0</v>
      </c>
      <c r="BL145" s="323" t="s">
        <v>128</v>
      </c>
      <c r="BM145" s="323" t="s">
        <v>147</v>
      </c>
    </row>
    <row r="146" spans="20:47" s="332" customFormat="1" ht="42" customHeight="1">
      <c r="T146" s="414"/>
      <c r="U146" s="216"/>
      <c r="V146" s="216"/>
      <c r="W146" s="216"/>
      <c r="X146" s="216"/>
      <c r="Y146" s="216"/>
      <c r="Z146" s="216"/>
      <c r="AA146" s="415"/>
      <c r="AC146" s="423"/>
      <c r="AT146" s="323" t="s">
        <v>182</v>
      </c>
      <c r="AU146" s="323" t="s">
        <v>76</v>
      </c>
    </row>
    <row r="147" spans="20:65" s="332" customFormat="1" ht="31.5" customHeight="1">
      <c r="T147" s="416" t="s">
        <v>5</v>
      </c>
      <c r="U147" s="417" t="s">
        <v>36</v>
      </c>
      <c r="V147" s="418">
        <v>0</v>
      </c>
      <c r="W147" s="418">
        <f>V147*K174</f>
        <v>0</v>
      </c>
      <c r="X147" s="418">
        <v>0</v>
      </c>
      <c r="Y147" s="418">
        <f>X147*K174</f>
        <v>0</v>
      </c>
      <c r="Z147" s="418">
        <v>0</v>
      </c>
      <c r="AA147" s="419">
        <f>Z147*K174</f>
        <v>0</v>
      </c>
      <c r="AR147" s="323" t="s">
        <v>128</v>
      </c>
      <c r="AT147" s="323" t="s">
        <v>126</v>
      </c>
      <c r="AU147" s="323" t="s">
        <v>76</v>
      </c>
      <c r="AY147" s="323" t="s">
        <v>125</v>
      </c>
      <c r="BE147" s="420">
        <f>IF(U147="základní",N174,0)</f>
        <v>0</v>
      </c>
      <c r="BF147" s="420">
        <f>IF(U147="snížená",N174,0)</f>
        <v>0</v>
      </c>
      <c r="BG147" s="420">
        <f>IF(U147="zákl. přenesená",N174,0)</f>
        <v>0</v>
      </c>
      <c r="BH147" s="420">
        <f>IF(U147="sníž. přenesená",N174,0)</f>
        <v>0</v>
      </c>
      <c r="BI147" s="420">
        <f>IF(U147="nulová",N174,0)</f>
        <v>0</v>
      </c>
      <c r="BJ147" s="323" t="s">
        <v>80</v>
      </c>
      <c r="BK147" s="420">
        <f>ROUND(L174*K174,2)</f>
        <v>0</v>
      </c>
      <c r="BL147" s="323" t="s">
        <v>128</v>
      </c>
      <c r="BM147" s="323" t="s">
        <v>148</v>
      </c>
    </row>
    <row r="148" spans="20:47" s="332" customFormat="1" ht="33" customHeight="1">
      <c r="T148" s="414"/>
      <c r="U148" s="216"/>
      <c r="V148" s="216"/>
      <c r="W148" s="216"/>
      <c r="X148" s="216"/>
      <c r="Y148" s="216"/>
      <c r="Z148" s="216"/>
      <c r="AA148" s="415"/>
      <c r="AT148" s="323" t="s">
        <v>182</v>
      </c>
      <c r="AU148" s="323" t="s">
        <v>76</v>
      </c>
    </row>
    <row r="149" spans="20:65" s="332" customFormat="1" ht="31.5" customHeight="1">
      <c r="T149" s="416" t="s">
        <v>5</v>
      </c>
      <c r="U149" s="417" t="s">
        <v>36</v>
      </c>
      <c r="V149" s="418">
        <v>0</v>
      </c>
      <c r="W149" s="418">
        <f>V149*K176</f>
        <v>0</v>
      </c>
      <c r="X149" s="418">
        <v>0</v>
      </c>
      <c r="Y149" s="418">
        <f>X149*K176</f>
        <v>0</v>
      </c>
      <c r="Z149" s="418">
        <v>0</v>
      </c>
      <c r="AA149" s="419">
        <f>Z149*K176</f>
        <v>0</v>
      </c>
      <c r="AR149" s="323" t="s">
        <v>128</v>
      </c>
      <c r="AT149" s="323" t="s">
        <v>126</v>
      </c>
      <c r="AU149" s="323" t="s">
        <v>76</v>
      </c>
      <c r="AY149" s="323" t="s">
        <v>125</v>
      </c>
      <c r="BE149" s="420">
        <f>IF(U149="základní",N176,0)</f>
        <v>0</v>
      </c>
      <c r="BF149" s="420">
        <f>IF(U149="snížená",N176,0)</f>
        <v>0</v>
      </c>
      <c r="BG149" s="420">
        <f>IF(U149="zákl. přenesená",N176,0)</f>
        <v>0</v>
      </c>
      <c r="BH149" s="420">
        <f>IF(U149="sníž. přenesená",N176,0)</f>
        <v>0</v>
      </c>
      <c r="BI149" s="420">
        <f>IF(U149="nulová",N176,0)</f>
        <v>0</v>
      </c>
      <c r="BJ149" s="323" t="s">
        <v>80</v>
      </c>
      <c r="BK149" s="420">
        <f>ROUND(L176*K176,2)</f>
        <v>0</v>
      </c>
      <c r="BL149" s="323" t="s">
        <v>128</v>
      </c>
      <c r="BM149" s="323" t="s">
        <v>149</v>
      </c>
    </row>
    <row r="150" spans="20:47" s="332" customFormat="1" ht="30" customHeight="1">
      <c r="T150" s="414"/>
      <c r="U150" s="216"/>
      <c r="V150" s="216"/>
      <c r="W150" s="216"/>
      <c r="X150" s="216"/>
      <c r="Y150" s="216"/>
      <c r="Z150" s="216"/>
      <c r="AA150" s="415"/>
      <c r="AT150" s="323" t="s">
        <v>182</v>
      </c>
      <c r="AU150" s="323" t="s">
        <v>76</v>
      </c>
    </row>
    <row r="151" spans="20:65" s="332" customFormat="1" ht="31.5" customHeight="1">
      <c r="T151" s="416" t="s">
        <v>5</v>
      </c>
      <c r="U151" s="417" t="s">
        <v>36</v>
      </c>
      <c r="V151" s="418">
        <v>0</v>
      </c>
      <c r="W151" s="418">
        <f>V151*K178</f>
        <v>0</v>
      </c>
      <c r="X151" s="418">
        <v>0</v>
      </c>
      <c r="Y151" s="418">
        <f>X151*K178</f>
        <v>0</v>
      </c>
      <c r="Z151" s="418">
        <v>0</v>
      </c>
      <c r="AA151" s="419">
        <f>Z151*K178</f>
        <v>0</v>
      </c>
      <c r="AR151" s="323" t="s">
        <v>128</v>
      </c>
      <c r="AT151" s="323" t="s">
        <v>126</v>
      </c>
      <c r="AU151" s="323" t="s">
        <v>76</v>
      </c>
      <c r="AY151" s="323" t="s">
        <v>125</v>
      </c>
      <c r="BE151" s="420">
        <f>IF(U151="základní",N178,0)</f>
        <v>0</v>
      </c>
      <c r="BF151" s="420">
        <f>IF(U151="snížená",N178,0)</f>
        <v>0</v>
      </c>
      <c r="BG151" s="420">
        <f>IF(U151="zákl. přenesená",N178,0)</f>
        <v>0</v>
      </c>
      <c r="BH151" s="420">
        <f>IF(U151="sníž. přenesená",N178,0)</f>
        <v>0</v>
      </c>
      <c r="BI151" s="420">
        <f>IF(U151="nulová",N178,0)</f>
        <v>0</v>
      </c>
      <c r="BJ151" s="323" t="s">
        <v>80</v>
      </c>
      <c r="BK151" s="420">
        <f>ROUND(L178*K178,2)</f>
        <v>0</v>
      </c>
      <c r="BL151" s="323" t="s">
        <v>128</v>
      </c>
      <c r="BM151" s="323" t="s">
        <v>150</v>
      </c>
    </row>
    <row r="152" spans="20:47" s="332" customFormat="1" ht="25.5" customHeight="1">
      <c r="T152" s="414"/>
      <c r="U152" s="216"/>
      <c r="V152" s="216"/>
      <c r="W152" s="216"/>
      <c r="X152" s="216"/>
      <c r="Y152" s="216"/>
      <c r="Z152" s="216"/>
      <c r="AA152" s="415"/>
      <c r="AT152" s="323" t="s">
        <v>182</v>
      </c>
      <c r="AU152" s="323" t="s">
        <v>76</v>
      </c>
    </row>
    <row r="153" spans="20:65" s="332" customFormat="1" ht="26.25" customHeight="1">
      <c r="T153" s="416" t="s">
        <v>5</v>
      </c>
      <c r="U153" s="417" t="s">
        <v>36</v>
      </c>
      <c r="V153" s="418">
        <v>0</v>
      </c>
      <c r="W153" s="418">
        <f>V153*K180</f>
        <v>0</v>
      </c>
      <c r="X153" s="418">
        <v>0</v>
      </c>
      <c r="Y153" s="418">
        <f>X153*K180</f>
        <v>0</v>
      </c>
      <c r="Z153" s="418">
        <v>0</v>
      </c>
      <c r="AA153" s="419">
        <f>Z153*K180</f>
        <v>0</v>
      </c>
      <c r="AR153" s="323" t="s">
        <v>128</v>
      </c>
      <c r="AT153" s="323" t="s">
        <v>126</v>
      </c>
      <c r="AU153" s="323" t="s">
        <v>76</v>
      </c>
      <c r="AY153" s="323" t="s">
        <v>125</v>
      </c>
      <c r="BE153" s="420">
        <f>IF(U153="základní",N180,0)</f>
        <v>0</v>
      </c>
      <c r="BF153" s="420">
        <f>IF(U153="snížená",N180,0)</f>
        <v>0</v>
      </c>
      <c r="BG153" s="420">
        <f>IF(U153="zákl. přenesená",N180,0)</f>
        <v>0</v>
      </c>
      <c r="BH153" s="420">
        <f>IF(U153="sníž. přenesená",N180,0)</f>
        <v>0</v>
      </c>
      <c r="BI153" s="420">
        <f>IF(U153="nulová",N180,0)</f>
        <v>0</v>
      </c>
      <c r="BJ153" s="323" t="s">
        <v>80</v>
      </c>
      <c r="BK153" s="420">
        <f>ROUND(L180*K180,2)</f>
        <v>0</v>
      </c>
      <c r="BL153" s="323" t="s">
        <v>128</v>
      </c>
      <c r="BM153" s="323" t="s">
        <v>151</v>
      </c>
    </row>
    <row r="154" spans="20:47" s="332" customFormat="1" ht="24" customHeight="1">
      <c r="T154" s="414"/>
      <c r="U154" s="216"/>
      <c r="V154" s="216"/>
      <c r="W154" s="216"/>
      <c r="X154" s="216"/>
      <c r="Y154" s="216"/>
      <c r="Z154" s="216"/>
      <c r="AA154" s="415"/>
      <c r="AT154" s="323" t="s">
        <v>182</v>
      </c>
      <c r="AU154" s="323" t="s">
        <v>76</v>
      </c>
    </row>
    <row r="155" spans="20:65" s="332" customFormat="1" ht="23.25" customHeight="1">
      <c r="T155" s="416" t="s">
        <v>5</v>
      </c>
      <c r="U155" s="417" t="s">
        <v>36</v>
      </c>
      <c r="V155" s="418">
        <v>0</v>
      </c>
      <c r="W155" s="418">
        <f>V155*K183</f>
        <v>0</v>
      </c>
      <c r="X155" s="418">
        <v>0</v>
      </c>
      <c r="Y155" s="418">
        <f>X155*K183</f>
        <v>0</v>
      </c>
      <c r="Z155" s="418">
        <v>0</v>
      </c>
      <c r="AA155" s="419">
        <f>Z155*K183</f>
        <v>0</v>
      </c>
      <c r="AR155" s="323" t="s">
        <v>128</v>
      </c>
      <c r="AT155" s="323" t="s">
        <v>126</v>
      </c>
      <c r="AU155" s="323" t="s">
        <v>76</v>
      </c>
      <c r="AY155" s="323" t="s">
        <v>125</v>
      </c>
      <c r="BE155" s="420">
        <f>IF(U155="základní",N183,0)</f>
        <v>0</v>
      </c>
      <c r="BF155" s="420">
        <f>IF(U155="snížená",N183,0)</f>
        <v>0</v>
      </c>
      <c r="BG155" s="420">
        <f>IF(U155="zákl. přenesená",N183,0)</f>
        <v>0</v>
      </c>
      <c r="BH155" s="420">
        <f>IF(U155="sníž. přenesená",N183,0)</f>
        <v>0</v>
      </c>
      <c r="BI155" s="420">
        <f>IF(U155="nulová",N183,0)</f>
        <v>0</v>
      </c>
      <c r="BJ155" s="323" t="s">
        <v>80</v>
      </c>
      <c r="BK155" s="420">
        <f>ROUND(L183*K183,2)</f>
        <v>0</v>
      </c>
      <c r="BL155" s="323" t="s">
        <v>128</v>
      </c>
      <c r="BM155" s="323" t="s">
        <v>152</v>
      </c>
    </row>
    <row r="156" spans="20:47" s="332" customFormat="1" ht="42" customHeight="1">
      <c r="T156" s="414"/>
      <c r="U156" s="216"/>
      <c r="V156" s="216"/>
      <c r="W156" s="216"/>
      <c r="X156" s="216"/>
      <c r="Y156" s="216"/>
      <c r="Z156" s="216"/>
      <c r="AA156" s="415"/>
      <c r="AT156" s="323" t="s">
        <v>182</v>
      </c>
      <c r="AU156" s="323" t="s">
        <v>76</v>
      </c>
    </row>
    <row r="157" spans="1:65" s="332" customFormat="1" ht="31.5" customHeight="1">
      <c r="A157" s="216"/>
      <c r="B157" s="216"/>
      <c r="C157" s="388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943"/>
      <c r="O157" s="944"/>
      <c r="P157" s="944"/>
      <c r="Q157" s="944"/>
      <c r="R157" s="216"/>
      <c r="S157" s="216"/>
      <c r="T157" s="424" t="s">
        <v>5</v>
      </c>
      <c r="U157" s="417" t="s">
        <v>36</v>
      </c>
      <c r="V157" s="418">
        <v>0</v>
      </c>
      <c r="W157" s="418">
        <f>V157*K188</f>
        <v>0</v>
      </c>
      <c r="X157" s="418">
        <v>0</v>
      </c>
      <c r="Y157" s="418">
        <f>X157*K188</f>
        <v>0</v>
      </c>
      <c r="Z157" s="418">
        <v>0</v>
      </c>
      <c r="AA157" s="419">
        <f>Z157*K188</f>
        <v>0</v>
      </c>
      <c r="AR157" s="323" t="s">
        <v>128</v>
      </c>
      <c r="AT157" s="323" t="s">
        <v>126</v>
      </c>
      <c r="AU157" s="323" t="s">
        <v>76</v>
      </c>
      <c r="AY157" s="323" t="s">
        <v>125</v>
      </c>
      <c r="BE157" s="420">
        <f>IF(U157="základní",N188,0)</f>
        <v>0</v>
      </c>
      <c r="BF157" s="420">
        <f>IF(U157="snížená",N188,0)</f>
        <v>0</v>
      </c>
      <c r="BG157" s="420">
        <f>IF(U157="zákl. přenesená",N188,0)</f>
        <v>0</v>
      </c>
      <c r="BH157" s="420">
        <f>IF(U157="sníž. přenesená",N188,0)</f>
        <v>0</v>
      </c>
      <c r="BI157" s="420">
        <f>IF(U157="nulová",N188,0)</f>
        <v>0</v>
      </c>
      <c r="BJ157" s="323" t="s">
        <v>80</v>
      </c>
      <c r="BK157" s="420">
        <f>ROUND(L188*K188,2)</f>
        <v>0</v>
      </c>
      <c r="BL157" s="323" t="s">
        <v>128</v>
      </c>
      <c r="BM157" s="323" t="s">
        <v>153</v>
      </c>
    </row>
    <row r="158" spans="1:47" s="332" customFormat="1" ht="30" customHeight="1">
      <c r="A158" s="216"/>
      <c r="B158" s="216"/>
      <c r="C158" s="425"/>
      <c r="D158" s="425"/>
      <c r="E158" s="426"/>
      <c r="F158" s="945"/>
      <c r="G158" s="945"/>
      <c r="H158" s="945"/>
      <c r="I158" s="945"/>
      <c r="J158" s="427"/>
      <c r="K158" s="428"/>
      <c r="L158" s="946"/>
      <c r="M158" s="946"/>
      <c r="N158" s="946"/>
      <c r="O158" s="946"/>
      <c r="P158" s="946"/>
      <c r="Q158" s="946"/>
      <c r="R158" s="216"/>
      <c r="S158" s="216"/>
      <c r="T158" s="216"/>
      <c r="U158" s="216"/>
      <c r="V158" s="216"/>
      <c r="W158" s="216"/>
      <c r="X158" s="216"/>
      <c r="Y158" s="216"/>
      <c r="Z158" s="216"/>
      <c r="AA158" s="415"/>
      <c r="AT158" s="323" t="s">
        <v>182</v>
      </c>
      <c r="AU158" s="323" t="s">
        <v>76</v>
      </c>
    </row>
    <row r="159" spans="1:65" s="332" customFormat="1" ht="31.5" customHeight="1">
      <c r="A159" s="216"/>
      <c r="B159" s="216"/>
      <c r="C159" s="216"/>
      <c r="D159" s="216"/>
      <c r="E159" s="216"/>
      <c r="F159" s="956"/>
      <c r="G159" s="878"/>
      <c r="H159" s="878"/>
      <c r="I159" s="878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424" t="s">
        <v>5</v>
      </c>
      <c r="U159" s="417" t="s">
        <v>36</v>
      </c>
      <c r="V159" s="418">
        <v>0</v>
      </c>
      <c r="W159" s="418">
        <f>V159*K189</f>
        <v>0</v>
      </c>
      <c r="X159" s="418">
        <v>0</v>
      </c>
      <c r="Y159" s="418">
        <f>X159*K189</f>
        <v>0</v>
      </c>
      <c r="Z159" s="418">
        <v>0</v>
      </c>
      <c r="AA159" s="419">
        <f>Z159*K189</f>
        <v>0</v>
      </c>
      <c r="AR159" s="323" t="s">
        <v>128</v>
      </c>
      <c r="AT159" s="323" t="s">
        <v>126</v>
      </c>
      <c r="AU159" s="323" t="s">
        <v>76</v>
      </c>
      <c r="AY159" s="323" t="s">
        <v>125</v>
      </c>
      <c r="BE159" s="420">
        <f>IF(U159="základní",N189,0)</f>
        <v>0</v>
      </c>
      <c r="BF159" s="420">
        <f>IF(U159="snížená",N189,0)</f>
        <v>0</v>
      </c>
      <c r="BG159" s="420">
        <f>IF(U159="zákl. přenesená",N189,0)</f>
        <v>0</v>
      </c>
      <c r="BH159" s="420">
        <f>IF(U159="sníž. přenesená",N189,0)</f>
        <v>0</v>
      </c>
      <c r="BI159" s="420">
        <f>IF(U159="nulová",N189,0)</f>
        <v>0</v>
      </c>
      <c r="BJ159" s="323" t="s">
        <v>80</v>
      </c>
      <c r="BK159" s="420">
        <f>ROUND(L189*K189,2)</f>
        <v>0</v>
      </c>
      <c r="BL159" s="323" t="s">
        <v>128</v>
      </c>
      <c r="BM159" s="323" t="s">
        <v>154</v>
      </c>
    </row>
    <row r="160" spans="1:47" s="332" customFormat="1" ht="30" customHeight="1">
      <c r="A160" s="216"/>
      <c r="B160" s="216"/>
      <c r="C160" s="425"/>
      <c r="D160" s="425"/>
      <c r="E160" s="426"/>
      <c r="F160" s="955"/>
      <c r="G160" s="945"/>
      <c r="H160" s="945"/>
      <c r="I160" s="945"/>
      <c r="J160" s="427"/>
      <c r="K160" s="428"/>
      <c r="L160" s="946"/>
      <c r="M160" s="946"/>
      <c r="N160" s="946"/>
      <c r="O160" s="946"/>
      <c r="P160" s="946"/>
      <c r="Q160" s="946"/>
      <c r="R160" s="216"/>
      <c r="S160" s="216"/>
      <c r="T160" s="216"/>
      <c r="U160" s="216"/>
      <c r="V160" s="216"/>
      <c r="W160" s="216"/>
      <c r="X160" s="216"/>
      <c r="Y160" s="216"/>
      <c r="Z160" s="216"/>
      <c r="AA160" s="415"/>
      <c r="AT160" s="323" t="s">
        <v>182</v>
      </c>
      <c r="AU160" s="323" t="s">
        <v>76</v>
      </c>
    </row>
    <row r="161" spans="1:65" s="332" customFormat="1" ht="31.5" customHeight="1">
      <c r="A161" s="216"/>
      <c r="B161" s="216"/>
      <c r="C161" s="425"/>
      <c r="D161" s="425"/>
      <c r="E161" s="426"/>
      <c r="F161" s="955"/>
      <c r="G161" s="945"/>
      <c r="H161" s="945"/>
      <c r="I161" s="945"/>
      <c r="J161" s="427"/>
      <c r="K161" s="428"/>
      <c r="L161" s="946"/>
      <c r="M161" s="946"/>
      <c r="N161" s="946"/>
      <c r="O161" s="946"/>
      <c r="P161" s="946"/>
      <c r="Q161" s="946"/>
      <c r="R161" s="216"/>
      <c r="S161" s="216"/>
      <c r="T161" s="424" t="s">
        <v>5</v>
      </c>
      <c r="U161" s="417" t="s">
        <v>36</v>
      </c>
      <c r="V161" s="418">
        <v>0</v>
      </c>
      <c r="W161" s="418">
        <f>V161*K191</f>
        <v>0</v>
      </c>
      <c r="X161" s="418">
        <v>0</v>
      </c>
      <c r="Y161" s="418">
        <f>X161*K191</f>
        <v>0</v>
      </c>
      <c r="Z161" s="418">
        <v>0</v>
      </c>
      <c r="AA161" s="419">
        <f>Z161*K191</f>
        <v>0</v>
      </c>
      <c r="AR161" s="323" t="s">
        <v>128</v>
      </c>
      <c r="AT161" s="323" t="s">
        <v>126</v>
      </c>
      <c r="AU161" s="323" t="s">
        <v>76</v>
      </c>
      <c r="AY161" s="323" t="s">
        <v>125</v>
      </c>
      <c r="BE161" s="420">
        <f>IF(U161="základní",N191,0)</f>
        <v>0</v>
      </c>
      <c r="BF161" s="420">
        <f>IF(U161="snížená",N191,0)</f>
        <v>0</v>
      </c>
      <c r="BG161" s="420">
        <f>IF(U161="zákl. přenesená",N191,0)</f>
        <v>0</v>
      </c>
      <c r="BH161" s="420">
        <f>IF(U161="sníž. přenesená",N191,0)</f>
        <v>0</v>
      </c>
      <c r="BI161" s="420">
        <f>IF(U161="nulová",N191,0)</f>
        <v>0</v>
      </c>
      <c r="BJ161" s="323" t="s">
        <v>80</v>
      </c>
      <c r="BK161" s="420">
        <f>ROUND(L191*K191,2)</f>
        <v>0</v>
      </c>
      <c r="BL161" s="323" t="s">
        <v>128</v>
      </c>
      <c r="BM161" s="323" t="s">
        <v>155</v>
      </c>
    </row>
    <row r="162" spans="1:47" s="332" customFormat="1" ht="27" customHeight="1">
      <c r="A162" s="216"/>
      <c r="B162" s="216"/>
      <c r="C162" s="425"/>
      <c r="D162" s="425"/>
      <c r="E162" s="426"/>
      <c r="F162" s="955"/>
      <c r="G162" s="945"/>
      <c r="H162" s="945"/>
      <c r="I162" s="945"/>
      <c r="J162" s="427"/>
      <c r="K162" s="428"/>
      <c r="L162" s="946"/>
      <c r="M162" s="946"/>
      <c r="N162" s="946"/>
      <c r="O162" s="946"/>
      <c r="P162" s="946"/>
      <c r="Q162" s="946"/>
      <c r="R162" s="216"/>
      <c r="S162" s="216"/>
      <c r="T162" s="216"/>
      <c r="U162" s="216"/>
      <c r="V162" s="216"/>
      <c r="W162" s="216"/>
      <c r="X162" s="216"/>
      <c r="Y162" s="216"/>
      <c r="Z162" s="216"/>
      <c r="AA162" s="415"/>
      <c r="AT162" s="323" t="s">
        <v>182</v>
      </c>
      <c r="AU162" s="323" t="s">
        <v>76</v>
      </c>
    </row>
    <row r="163" spans="1:65" s="332" customFormat="1" ht="31.5" customHeight="1">
      <c r="A163" s="216"/>
      <c r="B163" s="216"/>
      <c r="C163" s="425"/>
      <c r="D163" s="425"/>
      <c r="E163" s="426"/>
      <c r="F163" s="955"/>
      <c r="G163" s="945"/>
      <c r="H163" s="945"/>
      <c r="I163" s="945"/>
      <c r="J163" s="427"/>
      <c r="K163" s="428"/>
      <c r="L163" s="946"/>
      <c r="M163" s="946"/>
      <c r="N163" s="946"/>
      <c r="O163" s="946"/>
      <c r="P163" s="946"/>
      <c r="Q163" s="946"/>
      <c r="R163" s="216"/>
      <c r="S163" s="216"/>
      <c r="T163" s="424" t="s">
        <v>5</v>
      </c>
      <c r="U163" s="417" t="s">
        <v>36</v>
      </c>
      <c r="V163" s="418">
        <v>0</v>
      </c>
      <c r="W163" s="418">
        <f>V163*K193</f>
        <v>0</v>
      </c>
      <c r="X163" s="418">
        <v>0</v>
      </c>
      <c r="Y163" s="418">
        <f>X163*K193</f>
        <v>0</v>
      </c>
      <c r="Z163" s="418">
        <v>0</v>
      </c>
      <c r="AA163" s="419">
        <f>Z163*K193</f>
        <v>0</v>
      </c>
      <c r="AR163" s="323" t="s">
        <v>128</v>
      </c>
      <c r="AT163" s="323" t="s">
        <v>126</v>
      </c>
      <c r="AU163" s="323" t="s">
        <v>76</v>
      </c>
      <c r="AY163" s="323" t="s">
        <v>125</v>
      </c>
      <c r="BE163" s="420">
        <f>IF(U163="základní",N193,0)</f>
        <v>0</v>
      </c>
      <c r="BF163" s="420">
        <f>IF(U163="snížená",N193,0)</f>
        <v>0</v>
      </c>
      <c r="BG163" s="420">
        <f>IF(U163="zákl. přenesená",N193,0)</f>
        <v>0</v>
      </c>
      <c r="BH163" s="420">
        <f>IF(U163="sníž. přenesená",N193,0)</f>
        <v>0</v>
      </c>
      <c r="BI163" s="420">
        <f>IF(U163="nulová",N193,0)</f>
        <v>0</v>
      </c>
      <c r="BJ163" s="323" t="s">
        <v>80</v>
      </c>
      <c r="BK163" s="420">
        <f>ROUND(L193*K193,2)</f>
        <v>0</v>
      </c>
      <c r="BL163" s="323" t="s">
        <v>128</v>
      </c>
      <c r="BM163" s="323" t="s">
        <v>156</v>
      </c>
    </row>
    <row r="164" spans="1:47" s="332" customFormat="1" ht="30" customHeight="1">
      <c r="A164" s="216"/>
      <c r="B164" s="216"/>
      <c r="C164" s="425"/>
      <c r="D164" s="425"/>
      <c r="E164" s="426"/>
      <c r="F164" s="955"/>
      <c r="G164" s="945"/>
      <c r="H164" s="945"/>
      <c r="I164" s="945"/>
      <c r="J164" s="427"/>
      <c r="K164" s="428"/>
      <c r="L164" s="946"/>
      <c r="M164" s="946"/>
      <c r="N164" s="946"/>
      <c r="O164" s="946"/>
      <c r="P164" s="946"/>
      <c r="Q164" s="946"/>
      <c r="R164" s="216"/>
      <c r="S164" s="216"/>
      <c r="T164" s="216"/>
      <c r="U164" s="216"/>
      <c r="V164" s="216"/>
      <c r="W164" s="216"/>
      <c r="X164" s="216"/>
      <c r="Y164" s="216"/>
      <c r="Z164" s="216"/>
      <c r="AA164" s="415"/>
      <c r="AT164" s="323" t="s">
        <v>182</v>
      </c>
      <c r="AU164" s="323" t="s">
        <v>76</v>
      </c>
    </row>
    <row r="165" spans="1:65" s="332" customFormat="1" ht="40.5" customHeight="1">
      <c r="A165" s="216"/>
      <c r="B165" s="216"/>
      <c r="C165" s="425"/>
      <c r="D165" s="425"/>
      <c r="E165" s="426"/>
      <c r="F165" s="955"/>
      <c r="G165" s="945"/>
      <c r="H165" s="945"/>
      <c r="I165" s="945"/>
      <c r="J165" s="427"/>
      <c r="K165" s="428"/>
      <c r="L165" s="946"/>
      <c r="M165" s="946"/>
      <c r="N165" s="946"/>
      <c r="O165" s="946"/>
      <c r="P165" s="946"/>
      <c r="Q165" s="946"/>
      <c r="R165" s="216"/>
      <c r="S165" s="216"/>
      <c r="T165" s="424" t="s">
        <v>5</v>
      </c>
      <c r="U165" s="417" t="s">
        <v>36</v>
      </c>
      <c r="V165" s="418">
        <v>0</v>
      </c>
      <c r="W165" s="418">
        <f>V165*K195</f>
        <v>0</v>
      </c>
      <c r="X165" s="418">
        <v>0</v>
      </c>
      <c r="Y165" s="418">
        <f>X165*K195</f>
        <v>0</v>
      </c>
      <c r="Z165" s="418">
        <v>0</v>
      </c>
      <c r="AA165" s="419">
        <f>Z165*K195</f>
        <v>0</v>
      </c>
      <c r="AR165" s="323" t="s">
        <v>128</v>
      </c>
      <c r="AT165" s="323" t="s">
        <v>126</v>
      </c>
      <c r="AU165" s="323" t="s">
        <v>76</v>
      </c>
      <c r="AY165" s="323" t="s">
        <v>125</v>
      </c>
      <c r="BE165" s="420">
        <f>IF(U165="základní",N195,0)</f>
        <v>0</v>
      </c>
      <c r="BF165" s="420">
        <f>IF(U165="snížená",N195,0)</f>
        <v>0</v>
      </c>
      <c r="BG165" s="420">
        <f>IF(U165="zákl. přenesená",N195,0)</f>
        <v>0</v>
      </c>
      <c r="BH165" s="420">
        <f>IF(U165="sníž. přenesená",N195,0)</f>
        <v>0</v>
      </c>
      <c r="BI165" s="420">
        <f>IF(U165="nulová",N195,0)</f>
        <v>0</v>
      </c>
      <c r="BJ165" s="323" t="s">
        <v>80</v>
      </c>
      <c r="BK165" s="420">
        <f>ROUND(L195*K195,2)</f>
        <v>0</v>
      </c>
      <c r="BL165" s="323" t="s">
        <v>128</v>
      </c>
      <c r="BM165" s="323" t="s">
        <v>157</v>
      </c>
    </row>
    <row r="166" spans="1:47" s="332" customFormat="1" ht="42" customHeight="1">
      <c r="A166" s="216"/>
      <c r="B166" s="216"/>
      <c r="C166" s="425"/>
      <c r="D166" s="425"/>
      <c r="E166" s="426"/>
      <c r="F166" s="955"/>
      <c r="G166" s="945"/>
      <c r="H166" s="945"/>
      <c r="I166" s="945"/>
      <c r="J166" s="427"/>
      <c r="K166" s="428"/>
      <c r="L166" s="946"/>
      <c r="M166" s="946"/>
      <c r="N166" s="946"/>
      <c r="O166" s="946"/>
      <c r="P166" s="946"/>
      <c r="Q166" s="946"/>
      <c r="R166" s="216"/>
      <c r="S166" s="216"/>
      <c r="T166" s="216"/>
      <c r="U166" s="216"/>
      <c r="V166" s="216"/>
      <c r="W166" s="216"/>
      <c r="X166" s="216"/>
      <c r="Y166" s="216"/>
      <c r="Z166" s="216"/>
      <c r="AA166" s="415"/>
      <c r="AT166" s="323" t="s">
        <v>182</v>
      </c>
      <c r="AU166" s="323" t="s">
        <v>76</v>
      </c>
    </row>
    <row r="167" spans="1:65" s="332" customFormat="1" ht="31.5" customHeight="1">
      <c r="A167" s="216"/>
      <c r="B167" s="216"/>
      <c r="C167" s="425"/>
      <c r="D167" s="425"/>
      <c r="E167" s="426"/>
      <c r="F167" s="955"/>
      <c r="G167" s="945"/>
      <c r="H167" s="945"/>
      <c r="I167" s="945"/>
      <c r="J167" s="427"/>
      <c r="K167" s="428"/>
      <c r="L167" s="946"/>
      <c r="M167" s="946"/>
      <c r="N167" s="946"/>
      <c r="O167" s="946"/>
      <c r="P167" s="946"/>
      <c r="Q167" s="946"/>
      <c r="R167" s="216"/>
      <c r="S167" s="216"/>
      <c r="T167" s="424" t="s">
        <v>5</v>
      </c>
      <c r="U167" s="417" t="s">
        <v>36</v>
      </c>
      <c r="V167" s="418">
        <v>0</v>
      </c>
      <c r="W167" s="418">
        <f>V167*K197</f>
        <v>0</v>
      </c>
      <c r="X167" s="418">
        <v>0</v>
      </c>
      <c r="Y167" s="418">
        <f>X167*K197</f>
        <v>0</v>
      </c>
      <c r="Z167" s="418">
        <v>0</v>
      </c>
      <c r="AA167" s="419">
        <f>Z167*K197</f>
        <v>0</v>
      </c>
      <c r="AR167" s="323" t="s">
        <v>128</v>
      </c>
      <c r="AT167" s="323" t="s">
        <v>126</v>
      </c>
      <c r="AU167" s="323" t="s">
        <v>76</v>
      </c>
      <c r="AY167" s="323" t="s">
        <v>125</v>
      </c>
      <c r="BE167" s="420">
        <f>IF(U167="základní",N197,0)</f>
        <v>0</v>
      </c>
      <c r="BF167" s="420">
        <f>IF(U167="snížená",N197,0)</f>
        <v>0</v>
      </c>
      <c r="BG167" s="420">
        <f>IF(U167="zákl. přenesená",N197,0)</f>
        <v>0</v>
      </c>
      <c r="BH167" s="420">
        <f>IF(U167="sníž. přenesená",N197,0)</f>
        <v>0</v>
      </c>
      <c r="BI167" s="420">
        <f>IF(U167="nulová",N197,0)</f>
        <v>0</v>
      </c>
      <c r="BJ167" s="323" t="s">
        <v>80</v>
      </c>
      <c r="BK167" s="420">
        <f>ROUND(L197*K197,2)</f>
        <v>0</v>
      </c>
      <c r="BL167" s="323" t="s">
        <v>128</v>
      </c>
      <c r="BM167" s="323" t="s">
        <v>158</v>
      </c>
    </row>
    <row r="168" spans="1:47" s="332" customFormat="1" ht="30.75" customHeight="1">
      <c r="A168" s="216"/>
      <c r="B168" s="216"/>
      <c r="C168" s="425"/>
      <c r="D168" s="425"/>
      <c r="E168" s="426"/>
      <c r="F168" s="955"/>
      <c r="G168" s="945"/>
      <c r="H168" s="945"/>
      <c r="I168" s="945"/>
      <c r="J168" s="427"/>
      <c r="K168" s="428"/>
      <c r="L168" s="946"/>
      <c r="M168" s="946"/>
      <c r="N168" s="946"/>
      <c r="O168" s="946"/>
      <c r="P168" s="946"/>
      <c r="Q168" s="946"/>
      <c r="R168" s="216"/>
      <c r="S168" s="216"/>
      <c r="T168" s="216"/>
      <c r="U168" s="216"/>
      <c r="V168" s="216"/>
      <c r="W168" s="216"/>
      <c r="X168" s="216"/>
      <c r="Y168" s="216"/>
      <c r="Z168" s="216"/>
      <c r="AA168" s="415"/>
      <c r="AT168" s="323" t="s">
        <v>182</v>
      </c>
      <c r="AU168" s="323" t="s">
        <v>76</v>
      </c>
    </row>
    <row r="169" spans="1:65" s="332" customFormat="1" ht="31.5" customHeight="1">
      <c r="A169" s="216"/>
      <c r="B169" s="216"/>
      <c r="C169" s="425"/>
      <c r="D169" s="425"/>
      <c r="E169" s="426"/>
      <c r="F169" s="955"/>
      <c r="G169" s="945"/>
      <c r="H169" s="945"/>
      <c r="I169" s="945"/>
      <c r="J169" s="427"/>
      <c r="K169" s="428"/>
      <c r="L169" s="946"/>
      <c r="M169" s="946"/>
      <c r="N169" s="946"/>
      <c r="O169" s="946"/>
      <c r="P169" s="946"/>
      <c r="Q169" s="946"/>
      <c r="R169" s="216"/>
      <c r="S169" s="216"/>
      <c r="T169" s="424" t="s">
        <v>5</v>
      </c>
      <c r="U169" s="417" t="s">
        <v>36</v>
      </c>
      <c r="V169" s="418">
        <v>0</v>
      </c>
      <c r="W169" s="418">
        <f>V169*K199</f>
        <v>0</v>
      </c>
      <c r="X169" s="418">
        <v>0</v>
      </c>
      <c r="Y169" s="418">
        <f>X169*K199</f>
        <v>0</v>
      </c>
      <c r="Z169" s="418">
        <v>0</v>
      </c>
      <c r="AA169" s="419">
        <f>Z169*K199</f>
        <v>0</v>
      </c>
      <c r="AR169" s="323" t="s">
        <v>128</v>
      </c>
      <c r="AT169" s="323" t="s">
        <v>126</v>
      </c>
      <c r="AU169" s="323" t="s">
        <v>76</v>
      </c>
      <c r="AY169" s="323" t="s">
        <v>125</v>
      </c>
      <c r="BE169" s="420">
        <f>IF(U169="základní",N199,0)</f>
        <v>0</v>
      </c>
      <c r="BF169" s="420">
        <f>IF(U169="snížená",N199,0)</f>
        <v>0</v>
      </c>
      <c r="BG169" s="420">
        <f>IF(U169="zákl. přenesená",N199,0)</f>
        <v>0</v>
      </c>
      <c r="BH169" s="420">
        <f>IF(U169="sníž. přenesená",N199,0)</f>
        <v>0</v>
      </c>
      <c r="BI169" s="420">
        <f>IF(U169="nulová",N199,0)</f>
        <v>0</v>
      </c>
      <c r="BJ169" s="323" t="s">
        <v>80</v>
      </c>
      <c r="BK169" s="420">
        <f>ROUND(L199*K199,2)</f>
        <v>0</v>
      </c>
      <c r="BL169" s="323" t="s">
        <v>128</v>
      </c>
      <c r="BM169" s="323" t="s">
        <v>159</v>
      </c>
    </row>
    <row r="170" spans="1:47" s="332" customFormat="1" ht="30" customHeight="1">
      <c r="A170" s="216"/>
      <c r="B170" s="216"/>
      <c r="C170" s="425"/>
      <c r="D170" s="425"/>
      <c r="E170" s="426"/>
      <c r="F170" s="945"/>
      <c r="G170" s="945"/>
      <c r="H170" s="945"/>
      <c r="I170" s="945"/>
      <c r="J170" s="427"/>
      <c r="K170" s="428"/>
      <c r="L170" s="946"/>
      <c r="M170" s="946"/>
      <c r="N170" s="946"/>
      <c r="O170" s="946"/>
      <c r="P170" s="946"/>
      <c r="Q170" s="946"/>
      <c r="R170" s="216"/>
      <c r="S170" s="216"/>
      <c r="T170" s="216"/>
      <c r="U170" s="216"/>
      <c r="V170" s="216"/>
      <c r="W170" s="216"/>
      <c r="X170" s="216"/>
      <c r="Y170" s="216"/>
      <c r="Z170" s="216"/>
      <c r="AA170" s="415"/>
      <c r="AT170" s="323" t="s">
        <v>182</v>
      </c>
      <c r="AU170" s="323" t="s">
        <v>76</v>
      </c>
    </row>
    <row r="171" spans="1:63" s="394" customFormat="1" ht="37.35" customHeight="1">
      <c r="A171" s="388"/>
      <c r="B171" s="388"/>
      <c r="C171" s="216"/>
      <c r="D171" s="216"/>
      <c r="E171" s="216"/>
      <c r="F171" s="956"/>
      <c r="G171" s="878"/>
      <c r="H171" s="878"/>
      <c r="I171" s="878"/>
      <c r="J171" s="216"/>
      <c r="K171" s="216"/>
      <c r="L171" s="216"/>
      <c r="M171" s="216"/>
      <c r="N171" s="216"/>
      <c r="O171" s="216"/>
      <c r="P171" s="216"/>
      <c r="Q171" s="216"/>
      <c r="R171" s="388"/>
      <c r="S171" s="388"/>
      <c r="T171" s="388"/>
      <c r="U171" s="388"/>
      <c r="V171" s="388"/>
      <c r="W171" s="392">
        <f>SUM(W172:W179)</f>
        <v>0</v>
      </c>
      <c r="X171" s="388"/>
      <c r="Y171" s="392">
        <f>SUM(Y172:Y179)</f>
        <v>0</v>
      </c>
      <c r="Z171" s="388"/>
      <c r="AA171" s="393">
        <f>SUM(AA172:AA179)</f>
        <v>0</v>
      </c>
      <c r="AR171" s="396" t="s">
        <v>76</v>
      </c>
      <c r="AT171" s="395" t="s">
        <v>68</v>
      </c>
      <c r="AU171" s="395" t="s">
        <v>69</v>
      </c>
      <c r="AY171" s="396" t="s">
        <v>125</v>
      </c>
      <c r="BK171" s="397">
        <f>SUM(BK172:BK179)</f>
        <v>0</v>
      </c>
    </row>
    <row r="172" spans="1:65" s="332" customFormat="1" ht="31.5" customHeight="1">
      <c r="A172" s="216"/>
      <c r="B172" s="216"/>
      <c r="C172" s="425"/>
      <c r="D172" s="425"/>
      <c r="E172" s="426"/>
      <c r="F172" s="945"/>
      <c r="G172" s="945"/>
      <c r="H172" s="945"/>
      <c r="I172" s="945"/>
      <c r="J172" s="427"/>
      <c r="K172" s="428"/>
      <c r="L172" s="946"/>
      <c r="M172" s="946"/>
      <c r="N172" s="946"/>
      <c r="O172" s="946"/>
      <c r="P172" s="946"/>
      <c r="Q172" s="946"/>
      <c r="R172" s="216"/>
      <c r="S172" s="216"/>
      <c r="T172" s="424" t="s">
        <v>5</v>
      </c>
      <c r="U172" s="417" t="s">
        <v>36</v>
      </c>
      <c r="V172" s="418">
        <v>0</v>
      </c>
      <c r="W172" s="418">
        <f>V172*K202</f>
        <v>0</v>
      </c>
      <c r="X172" s="418">
        <v>0</v>
      </c>
      <c r="Y172" s="418">
        <f>X172*K202</f>
        <v>0</v>
      </c>
      <c r="Z172" s="418">
        <v>0</v>
      </c>
      <c r="AA172" s="419">
        <f>Z172*K202</f>
        <v>0</v>
      </c>
      <c r="AR172" s="323" t="s">
        <v>128</v>
      </c>
      <c r="AT172" s="323" t="s">
        <v>126</v>
      </c>
      <c r="AU172" s="323" t="s">
        <v>76</v>
      </c>
      <c r="AY172" s="323" t="s">
        <v>125</v>
      </c>
      <c r="BE172" s="420">
        <f>IF(U172="základní",N202,0)</f>
        <v>0</v>
      </c>
      <c r="BF172" s="420">
        <f>IF(U172="snížená",N202,0)</f>
        <v>0</v>
      </c>
      <c r="BG172" s="420">
        <f>IF(U172="zákl. přenesená",N202,0)</f>
        <v>0</v>
      </c>
      <c r="BH172" s="420">
        <f>IF(U172="sníž. přenesená",N202,0)</f>
        <v>0</v>
      </c>
      <c r="BI172" s="420">
        <f>IF(U172="nulová",N202,0)</f>
        <v>0</v>
      </c>
      <c r="BJ172" s="323" t="s">
        <v>80</v>
      </c>
      <c r="BK172" s="420">
        <f>ROUND(L202*K202,2)</f>
        <v>0</v>
      </c>
      <c r="BL172" s="323" t="s">
        <v>128</v>
      </c>
      <c r="BM172" s="323" t="s">
        <v>160</v>
      </c>
    </row>
    <row r="173" spans="1:47" s="332" customFormat="1" ht="30" customHeight="1">
      <c r="A173" s="216"/>
      <c r="B173" s="216"/>
      <c r="C173" s="216"/>
      <c r="D173" s="216"/>
      <c r="E173" s="216"/>
      <c r="F173" s="956"/>
      <c r="G173" s="878"/>
      <c r="H173" s="878"/>
      <c r="I173" s="878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415"/>
      <c r="AT173" s="323" t="s">
        <v>182</v>
      </c>
      <c r="AU173" s="323" t="s">
        <v>76</v>
      </c>
    </row>
    <row r="174" spans="1:65" s="332" customFormat="1" ht="31.5" customHeight="1">
      <c r="A174" s="216"/>
      <c r="B174" s="216"/>
      <c r="C174" s="425"/>
      <c r="D174" s="425"/>
      <c r="E174" s="426"/>
      <c r="F174" s="945"/>
      <c r="G174" s="945"/>
      <c r="H174" s="945"/>
      <c r="I174" s="945"/>
      <c r="J174" s="427"/>
      <c r="K174" s="428"/>
      <c r="L174" s="946"/>
      <c r="M174" s="946"/>
      <c r="N174" s="946"/>
      <c r="O174" s="946"/>
      <c r="P174" s="946"/>
      <c r="Q174" s="946"/>
      <c r="R174" s="216"/>
      <c r="S174" s="216"/>
      <c r="T174" s="424" t="s">
        <v>5</v>
      </c>
      <c r="U174" s="417" t="s">
        <v>36</v>
      </c>
      <c r="V174" s="418">
        <v>0</v>
      </c>
      <c r="W174" s="418">
        <f>V174*K204</f>
        <v>0</v>
      </c>
      <c r="X174" s="418">
        <v>0</v>
      </c>
      <c r="Y174" s="418">
        <f>X174*K204</f>
        <v>0</v>
      </c>
      <c r="Z174" s="418">
        <v>0</v>
      </c>
      <c r="AA174" s="419">
        <f>Z174*K204</f>
        <v>0</v>
      </c>
      <c r="AR174" s="323" t="s">
        <v>128</v>
      </c>
      <c r="AT174" s="323" t="s">
        <v>126</v>
      </c>
      <c r="AU174" s="323" t="s">
        <v>76</v>
      </c>
      <c r="AY174" s="323" t="s">
        <v>125</v>
      </c>
      <c r="BE174" s="420">
        <f>IF(U174="základní",N204,0)</f>
        <v>0</v>
      </c>
      <c r="BF174" s="420">
        <f>IF(U174="snížená",N204,0)</f>
        <v>0</v>
      </c>
      <c r="BG174" s="420">
        <f>IF(U174="zákl. přenesená",N204,0)</f>
        <v>0</v>
      </c>
      <c r="BH174" s="420">
        <f>IF(U174="sníž. přenesená",N204,0)</f>
        <v>0</v>
      </c>
      <c r="BI174" s="420">
        <f>IF(U174="nulová",N204,0)</f>
        <v>0</v>
      </c>
      <c r="BJ174" s="323" t="s">
        <v>80</v>
      </c>
      <c r="BK174" s="420">
        <f>ROUND(L204*K204,2)</f>
        <v>0</v>
      </c>
      <c r="BL174" s="323" t="s">
        <v>128</v>
      </c>
      <c r="BM174" s="323" t="s">
        <v>161</v>
      </c>
    </row>
    <row r="175" spans="1:47" s="332" customFormat="1" ht="30" customHeight="1">
      <c r="A175" s="216"/>
      <c r="B175" s="216"/>
      <c r="C175" s="216"/>
      <c r="D175" s="216"/>
      <c r="E175" s="216"/>
      <c r="F175" s="956"/>
      <c r="G175" s="878"/>
      <c r="H175" s="878"/>
      <c r="I175" s="878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415"/>
      <c r="AT175" s="323" t="s">
        <v>182</v>
      </c>
      <c r="AU175" s="323" t="s">
        <v>76</v>
      </c>
    </row>
    <row r="176" spans="1:65" s="332" customFormat="1" ht="31.5" customHeight="1">
      <c r="A176" s="216"/>
      <c r="B176" s="216"/>
      <c r="C176" s="425"/>
      <c r="D176" s="425"/>
      <c r="E176" s="426"/>
      <c r="F176" s="945"/>
      <c r="G176" s="945"/>
      <c r="H176" s="945"/>
      <c r="I176" s="945"/>
      <c r="J176" s="427"/>
      <c r="K176" s="428"/>
      <c r="L176" s="946"/>
      <c r="M176" s="946"/>
      <c r="N176" s="946"/>
      <c r="O176" s="946"/>
      <c r="P176" s="946"/>
      <c r="Q176" s="946"/>
      <c r="R176" s="216"/>
      <c r="S176" s="216"/>
      <c r="T176" s="424" t="s">
        <v>5</v>
      </c>
      <c r="U176" s="417" t="s">
        <v>36</v>
      </c>
      <c r="V176" s="418">
        <v>0</v>
      </c>
      <c r="W176" s="418">
        <f>V176*K206</f>
        <v>0</v>
      </c>
      <c r="X176" s="418">
        <v>0</v>
      </c>
      <c r="Y176" s="418">
        <f>X176*K206</f>
        <v>0</v>
      </c>
      <c r="Z176" s="418">
        <v>0</v>
      </c>
      <c r="AA176" s="419">
        <f>Z176*K206</f>
        <v>0</v>
      </c>
      <c r="AR176" s="323" t="s">
        <v>128</v>
      </c>
      <c r="AT176" s="323" t="s">
        <v>126</v>
      </c>
      <c r="AU176" s="323" t="s">
        <v>76</v>
      </c>
      <c r="AY176" s="323" t="s">
        <v>125</v>
      </c>
      <c r="BE176" s="420">
        <f>IF(U176="základní",N206,0)</f>
        <v>0</v>
      </c>
      <c r="BF176" s="420">
        <f>IF(U176="snížená",N206,0)</f>
        <v>0</v>
      </c>
      <c r="BG176" s="420">
        <f>IF(U176="zákl. přenesená",N206,0)</f>
        <v>0</v>
      </c>
      <c r="BH176" s="420">
        <f>IF(U176="sníž. přenesená",N206,0)</f>
        <v>0</v>
      </c>
      <c r="BI176" s="420">
        <f>IF(U176="nulová",N206,0)</f>
        <v>0</v>
      </c>
      <c r="BJ176" s="323" t="s">
        <v>80</v>
      </c>
      <c r="BK176" s="420">
        <f>ROUND(L206*K206,2)</f>
        <v>0</v>
      </c>
      <c r="BL176" s="323" t="s">
        <v>128</v>
      </c>
      <c r="BM176" s="323" t="s">
        <v>162</v>
      </c>
    </row>
    <row r="177" spans="1:47" s="332" customFormat="1" ht="30" customHeight="1">
      <c r="A177" s="216"/>
      <c r="B177" s="216"/>
      <c r="C177" s="216"/>
      <c r="D177" s="216"/>
      <c r="E177" s="216"/>
      <c r="F177" s="956"/>
      <c r="G177" s="878"/>
      <c r="H177" s="878"/>
      <c r="I177" s="878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415"/>
      <c r="AT177" s="323" t="s">
        <v>182</v>
      </c>
      <c r="AU177" s="323" t="s">
        <v>76</v>
      </c>
    </row>
    <row r="178" spans="1:65" s="332" customFormat="1" ht="31.5" customHeight="1">
      <c r="A178" s="216"/>
      <c r="B178" s="216"/>
      <c r="C178" s="425"/>
      <c r="D178" s="425"/>
      <c r="E178" s="426"/>
      <c r="F178" s="945"/>
      <c r="G178" s="945"/>
      <c r="H178" s="945"/>
      <c r="I178" s="945"/>
      <c r="J178" s="427"/>
      <c r="K178" s="428"/>
      <c r="L178" s="946"/>
      <c r="M178" s="946"/>
      <c r="N178" s="946"/>
      <c r="O178" s="946"/>
      <c r="P178" s="946"/>
      <c r="Q178" s="946"/>
      <c r="R178" s="216"/>
      <c r="S178" s="216"/>
      <c r="T178" s="424" t="s">
        <v>5</v>
      </c>
      <c r="U178" s="417" t="s">
        <v>36</v>
      </c>
      <c r="V178" s="418">
        <v>0</v>
      </c>
      <c r="W178" s="418">
        <f>V178*K208</f>
        <v>0</v>
      </c>
      <c r="X178" s="418">
        <v>0</v>
      </c>
      <c r="Y178" s="418">
        <f>X178*K208</f>
        <v>0</v>
      </c>
      <c r="Z178" s="418">
        <v>0</v>
      </c>
      <c r="AA178" s="419">
        <f>Z178*K208</f>
        <v>0</v>
      </c>
      <c r="AR178" s="323" t="s">
        <v>128</v>
      </c>
      <c r="AT178" s="323" t="s">
        <v>126</v>
      </c>
      <c r="AU178" s="323" t="s">
        <v>76</v>
      </c>
      <c r="AY178" s="323" t="s">
        <v>125</v>
      </c>
      <c r="BE178" s="420">
        <f>IF(U178="základní",N208,0)</f>
        <v>0</v>
      </c>
      <c r="BF178" s="420">
        <f>IF(U178="snížená",N208,0)</f>
        <v>0</v>
      </c>
      <c r="BG178" s="420">
        <f>IF(U178="zákl. přenesená",N208,0)</f>
        <v>0</v>
      </c>
      <c r="BH178" s="420">
        <f>IF(U178="sníž. přenesená",N208,0)</f>
        <v>0</v>
      </c>
      <c r="BI178" s="420">
        <f>IF(U178="nulová",N208,0)</f>
        <v>0</v>
      </c>
      <c r="BJ178" s="323" t="s">
        <v>80</v>
      </c>
      <c r="BK178" s="420">
        <f>ROUND(L208*K208,2)</f>
        <v>0</v>
      </c>
      <c r="BL178" s="323" t="s">
        <v>128</v>
      </c>
      <c r="BM178" s="323" t="s">
        <v>163</v>
      </c>
    </row>
    <row r="179" spans="1:47" s="332" customFormat="1" ht="30" customHeight="1">
      <c r="A179" s="216"/>
      <c r="B179" s="216"/>
      <c r="C179" s="216"/>
      <c r="D179" s="216"/>
      <c r="E179" s="216"/>
      <c r="F179" s="956"/>
      <c r="G179" s="878"/>
      <c r="H179" s="878"/>
      <c r="I179" s="878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415"/>
      <c r="AT179" s="323" t="s">
        <v>182</v>
      </c>
      <c r="AU179" s="323" t="s">
        <v>76</v>
      </c>
    </row>
    <row r="180" spans="1:63" s="394" customFormat="1" ht="37.35" customHeight="1">
      <c r="A180" s="388"/>
      <c r="B180" s="388"/>
      <c r="C180" s="425"/>
      <c r="D180" s="425"/>
      <c r="E180" s="426"/>
      <c r="F180" s="945"/>
      <c r="G180" s="945"/>
      <c r="H180" s="945"/>
      <c r="I180" s="945"/>
      <c r="J180" s="427"/>
      <c r="K180" s="428"/>
      <c r="L180" s="946"/>
      <c r="M180" s="946"/>
      <c r="N180" s="946"/>
      <c r="O180" s="946"/>
      <c r="P180" s="946"/>
      <c r="Q180" s="946"/>
      <c r="R180" s="388"/>
      <c r="S180" s="388"/>
      <c r="T180" s="388"/>
      <c r="U180" s="388"/>
      <c r="V180" s="388"/>
      <c r="W180" s="392">
        <f>SUM(W181:W204)</f>
        <v>0</v>
      </c>
      <c r="X180" s="388"/>
      <c r="Y180" s="392">
        <f>SUM(Y181:Y204)</f>
        <v>0</v>
      </c>
      <c r="Z180" s="388"/>
      <c r="AA180" s="393">
        <f>SUM(AA181:AA204)</f>
        <v>0</v>
      </c>
      <c r="AR180" s="396" t="s">
        <v>76</v>
      </c>
      <c r="AT180" s="395" t="s">
        <v>68</v>
      </c>
      <c r="AU180" s="395" t="s">
        <v>69</v>
      </c>
      <c r="AY180" s="396" t="s">
        <v>125</v>
      </c>
      <c r="BK180" s="397">
        <f>SUM(BK181:BK204)</f>
        <v>0</v>
      </c>
    </row>
    <row r="181" spans="1:65" s="332" customFormat="1" ht="31.5" customHeight="1">
      <c r="A181" s="216"/>
      <c r="B181" s="216"/>
      <c r="C181" s="216"/>
      <c r="D181" s="216"/>
      <c r="E181" s="216"/>
      <c r="F181" s="956"/>
      <c r="G181" s="878"/>
      <c r="H181" s="878"/>
      <c r="I181" s="878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424" t="s">
        <v>5</v>
      </c>
      <c r="U181" s="417" t="s">
        <v>36</v>
      </c>
      <c r="V181" s="418">
        <v>0</v>
      </c>
      <c r="W181" s="418">
        <f>V181*K211</f>
        <v>0</v>
      </c>
      <c r="X181" s="418">
        <v>0</v>
      </c>
      <c r="Y181" s="418">
        <f>X181*K211</f>
        <v>0</v>
      </c>
      <c r="Z181" s="418">
        <v>0</v>
      </c>
      <c r="AA181" s="419">
        <f>Z181*K211</f>
        <v>0</v>
      </c>
      <c r="AR181" s="323" t="s">
        <v>128</v>
      </c>
      <c r="AT181" s="323" t="s">
        <v>126</v>
      </c>
      <c r="AU181" s="323" t="s">
        <v>76</v>
      </c>
      <c r="AY181" s="323" t="s">
        <v>125</v>
      </c>
      <c r="BE181" s="420">
        <f>IF(U181="základní",N211,0)</f>
        <v>0</v>
      </c>
      <c r="BF181" s="420">
        <f>IF(U181="snížená",N211,0)</f>
        <v>0</v>
      </c>
      <c r="BG181" s="420">
        <f>IF(U181="zákl. přenesená",N211,0)</f>
        <v>0</v>
      </c>
      <c r="BH181" s="420">
        <f>IF(U181="sníž. přenesená",N211,0)</f>
        <v>0</v>
      </c>
      <c r="BI181" s="420">
        <f>IF(U181="nulová",N211,0)</f>
        <v>0</v>
      </c>
      <c r="BJ181" s="323" t="s">
        <v>80</v>
      </c>
      <c r="BK181" s="420">
        <f>ROUND(L211*K211,2)</f>
        <v>0</v>
      </c>
      <c r="BL181" s="323" t="s">
        <v>128</v>
      </c>
      <c r="BM181" s="323" t="s">
        <v>164</v>
      </c>
    </row>
    <row r="182" spans="1:47" s="332" customFormat="1" ht="42" customHeight="1">
      <c r="A182" s="216"/>
      <c r="B182" s="216"/>
      <c r="C182" s="425"/>
      <c r="D182" s="425"/>
      <c r="E182" s="426"/>
      <c r="F182" s="955"/>
      <c r="G182" s="945"/>
      <c r="H182" s="945"/>
      <c r="I182" s="945"/>
      <c r="J182" s="427"/>
      <c r="K182" s="428"/>
      <c r="L182" s="946"/>
      <c r="M182" s="946"/>
      <c r="N182" s="946"/>
      <c r="O182" s="946"/>
      <c r="P182" s="946"/>
      <c r="Q182" s="946"/>
      <c r="R182" s="216"/>
      <c r="S182" s="216"/>
      <c r="T182" s="216"/>
      <c r="U182" s="216"/>
      <c r="V182" s="216"/>
      <c r="W182" s="216"/>
      <c r="X182" s="216"/>
      <c r="Y182" s="216"/>
      <c r="Z182" s="216"/>
      <c r="AA182" s="415"/>
      <c r="AT182" s="323" t="s">
        <v>182</v>
      </c>
      <c r="AU182" s="323" t="s">
        <v>76</v>
      </c>
    </row>
    <row r="183" spans="1:65" s="332" customFormat="1" ht="31.5" customHeight="1">
      <c r="A183" s="216"/>
      <c r="B183" s="216"/>
      <c r="C183" s="425"/>
      <c r="D183" s="425"/>
      <c r="E183" s="426"/>
      <c r="F183" s="945"/>
      <c r="G183" s="945"/>
      <c r="H183" s="945"/>
      <c r="I183" s="945"/>
      <c r="J183" s="427"/>
      <c r="K183" s="428"/>
      <c r="L183" s="946"/>
      <c r="M183" s="946"/>
      <c r="N183" s="946"/>
      <c r="O183" s="946"/>
      <c r="P183" s="946"/>
      <c r="Q183" s="946"/>
      <c r="R183" s="216"/>
      <c r="S183" s="216"/>
      <c r="T183" s="424" t="s">
        <v>5</v>
      </c>
      <c r="U183" s="417" t="s">
        <v>36</v>
      </c>
      <c r="V183" s="418">
        <v>0</v>
      </c>
      <c r="W183" s="418">
        <f>V183*K213</f>
        <v>0</v>
      </c>
      <c r="X183" s="418">
        <v>0</v>
      </c>
      <c r="Y183" s="418">
        <f>X183*K213</f>
        <v>0</v>
      </c>
      <c r="Z183" s="418">
        <v>0</v>
      </c>
      <c r="AA183" s="419">
        <f>Z183*K213</f>
        <v>0</v>
      </c>
      <c r="AR183" s="323" t="s">
        <v>128</v>
      </c>
      <c r="AT183" s="323" t="s">
        <v>126</v>
      </c>
      <c r="AU183" s="323" t="s">
        <v>76</v>
      </c>
      <c r="AY183" s="323" t="s">
        <v>125</v>
      </c>
      <c r="BE183" s="420">
        <f>IF(U183="základní",N213,0)</f>
        <v>0</v>
      </c>
      <c r="BF183" s="420">
        <f>IF(U183="snížená",N213,0)</f>
        <v>0</v>
      </c>
      <c r="BG183" s="420">
        <f>IF(U183="zákl. přenesená",N213,0)</f>
        <v>0</v>
      </c>
      <c r="BH183" s="420">
        <f>IF(U183="sníž. přenesená",N213,0)</f>
        <v>0</v>
      </c>
      <c r="BI183" s="420">
        <f>IF(U183="nulová",N213,0)</f>
        <v>0</v>
      </c>
      <c r="BJ183" s="323" t="s">
        <v>80</v>
      </c>
      <c r="BK183" s="420">
        <f>ROUND(L213*K213,2)</f>
        <v>0</v>
      </c>
      <c r="BL183" s="323" t="s">
        <v>128</v>
      </c>
      <c r="BM183" s="323" t="s">
        <v>165</v>
      </c>
    </row>
    <row r="184" spans="1:47" s="332" customFormat="1" ht="30" customHeight="1">
      <c r="A184" s="216"/>
      <c r="B184" s="216"/>
      <c r="C184" s="216"/>
      <c r="D184" s="216"/>
      <c r="E184" s="216"/>
      <c r="F184" s="956"/>
      <c r="G184" s="878"/>
      <c r="H184" s="878"/>
      <c r="I184" s="878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415"/>
      <c r="AT184" s="323" t="s">
        <v>182</v>
      </c>
      <c r="AU184" s="323" t="s">
        <v>76</v>
      </c>
    </row>
    <row r="185" spans="1:65" s="332" customFormat="1" ht="31.5" customHeight="1">
      <c r="A185" s="216"/>
      <c r="B185" s="216"/>
      <c r="C185" s="425"/>
      <c r="D185" s="425"/>
      <c r="E185" s="426"/>
      <c r="F185" s="945"/>
      <c r="G185" s="945"/>
      <c r="H185" s="945"/>
      <c r="I185" s="945"/>
      <c r="J185" s="427"/>
      <c r="K185" s="428"/>
      <c r="L185" s="946"/>
      <c r="M185" s="946"/>
      <c r="N185" s="946"/>
      <c r="O185" s="946"/>
      <c r="P185" s="946"/>
      <c r="Q185" s="946"/>
      <c r="R185" s="216"/>
      <c r="S185" s="216"/>
      <c r="T185" s="424" t="s">
        <v>5</v>
      </c>
      <c r="U185" s="417" t="s">
        <v>36</v>
      </c>
      <c r="V185" s="418">
        <v>0</v>
      </c>
      <c r="W185" s="418">
        <f>V185*K215</f>
        <v>0</v>
      </c>
      <c r="X185" s="418">
        <v>0</v>
      </c>
      <c r="Y185" s="418">
        <f>X185*K215</f>
        <v>0</v>
      </c>
      <c r="Z185" s="418">
        <v>0</v>
      </c>
      <c r="AA185" s="419">
        <f>Z185*K215</f>
        <v>0</v>
      </c>
      <c r="AR185" s="323" t="s">
        <v>128</v>
      </c>
      <c r="AT185" s="323" t="s">
        <v>126</v>
      </c>
      <c r="AU185" s="323" t="s">
        <v>76</v>
      </c>
      <c r="AY185" s="323" t="s">
        <v>125</v>
      </c>
      <c r="BE185" s="420">
        <f>IF(U185="základní",N215,0)</f>
        <v>0</v>
      </c>
      <c r="BF185" s="420">
        <f>IF(U185="snížená",N215,0)</f>
        <v>0</v>
      </c>
      <c r="BG185" s="420">
        <f>IF(U185="zákl. přenesená",N215,0)</f>
        <v>0</v>
      </c>
      <c r="BH185" s="420">
        <f>IF(U185="sníž. přenesená",N215,0)</f>
        <v>0</v>
      </c>
      <c r="BI185" s="420">
        <f>IF(U185="nulová",N215,0)</f>
        <v>0</v>
      </c>
      <c r="BJ185" s="323" t="s">
        <v>80</v>
      </c>
      <c r="BK185" s="420">
        <f>ROUND(L215*K215,2)</f>
        <v>0</v>
      </c>
      <c r="BL185" s="323" t="s">
        <v>128</v>
      </c>
      <c r="BM185" s="323" t="s">
        <v>166</v>
      </c>
    </row>
    <row r="186" spans="1:47" s="332" customFormat="1" ht="32.25" customHeight="1">
      <c r="A186" s="216"/>
      <c r="B186" s="216"/>
      <c r="C186" s="216"/>
      <c r="D186" s="216"/>
      <c r="E186" s="216"/>
      <c r="F186" s="956"/>
      <c r="G186" s="956"/>
      <c r="H186" s="956"/>
      <c r="I186" s="95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415"/>
      <c r="AT186" s="323" t="s">
        <v>182</v>
      </c>
      <c r="AU186" s="323" t="s">
        <v>76</v>
      </c>
    </row>
    <row r="187" spans="1:65" s="332" customFormat="1" ht="31.5" customHeight="1">
      <c r="A187" s="216"/>
      <c r="B187" s="216"/>
      <c r="C187" s="425"/>
      <c r="D187" s="425"/>
      <c r="E187" s="426"/>
      <c r="F187" s="955"/>
      <c r="G187" s="945"/>
      <c r="H187" s="945"/>
      <c r="I187" s="945"/>
      <c r="J187" s="427"/>
      <c r="K187" s="428"/>
      <c r="L187" s="946"/>
      <c r="M187" s="946"/>
      <c r="N187" s="946"/>
      <c r="O187" s="946"/>
      <c r="P187" s="946"/>
      <c r="Q187" s="946"/>
      <c r="R187" s="216"/>
      <c r="S187" s="216"/>
      <c r="T187" s="424" t="s">
        <v>5</v>
      </c>
      <c r="U187" s="417" t="s">
        <v>36</v>
      </c>
      <c r="V187" s="418">
        <v>0</v>
      </c>
      <c r="W187" s="418">
        <f>V187*K217</f>
        <v>0</v>
      </c>
      <c r="X187" s="418">
        <v>0</v>
      </c>
      <c r="Y187" s="418">
        <f>X187*K217</f>
        <v>0</v>
      </c>
      <c r="Z187" s="418">
        <v>0</v>
      </c>
      <c r="AA187" s="419">
        <f>Z187*K217</f>
        <v>0</v>
      </c>
      <c r="AR187" s="323" t="s">
        <v>128</v>
      </c>
      <c r="AT187" s="323" t="s">
        <v>126</v>
      </c>
      <c r="AU187" s="323" t="s">
        <v>76</v>
      </c>
      <c r="AY187" s="323" t="s">
        <v>125</v>
      </c>
      <c r="BE187" s="420">
        <f>IF(U187="základní",N217,0)</f>
        <v>0</v>
      </c>
      <c r="BF187" s="420">
        <f>IF(U187="snížená",N217,0)</f>
        <v>0</v>
      </c>
      <c r="BG187" s="420">
        <f>IF(U187="zákl. přenesená",N217,0)</f>
        <v>0</v>
      </c>
      <c r="BH187" s="420">
        <f>IF(U187="sníž. přenesená",N217,0)</f>
        <v>0</v>
      </c>
      <c r="BI187" s="420">
        <f>IF(U187="nulová",N217,0)</f>
        <v>0</v>
      </c>
      <c r="BJ187" s="323" t="s">
        <v>80</v>
      </c>
      <c r="BK187" s="420">
        <f>ROUND(L217*K217,2)</f>
        <v>0</v>
      </c>
      <c r="BL187" s="323" t="s">
        <v>128</v>
      </c>
      <c r="BM187" s="323" t="s">
        <v>167</v>
      </c>
    </row>
    <row r="188" spans="1:47" s="332" customFormat="1" ht="42" customHeight="1">
      <c r="A188" s="216"/>
      <c r="B188" s="216"/>
      <c r="C188" s="425"/>
      <c r="D188" s="425"/>
      <c r="E188" s="426"/>
      <c r="F188" s="955"/>
      <c r="G188" s="945"/>
      <c r="H188" s="945"/>
      <c r="I188" s="945"/>
      <c r="J188" s="427"/>
      <c r="K188" s="428"/>
      <c r="L188" s="946"/>
      <c r="M188" s="946"/>
      <c r="N188" s="946"/>
      <c r="O188" s="946"/>
      <c r="P188" s="946"/>
      <c r="Q188" s="946"/>
      <c r="R188" s="216"/>
      <c r="S188" s="216"/>
      <c r="T188" s="216"/>
      <c r="U188" s="216"/>
      <c r="V188" s="216"/>
      <c r="W188" s="216"/>
      <c r="X188" s="216"/>
      <c r="Y188" s="216"/>
      <c r="Z188" s="216"/>
      <c r="AA188" s="415"/>
      <c r="AT188" s="323" t="s">
        <v>182</v>
      </c>
      <c r="AU188" s="323" t="s">
        <v>76</v>
      </c>
    </row>
    <row r="189" spans="1:65" s="332" customFormat="1" ht="31.5" customHeight="1">
      <c r="A189" s="216"/>
      <c r="B189" s="216"/>
      <c r="C189" s="425"/>
      <c r="D189" s="425"/>
      <c r="E189" s="426"/>
      <c r="F189" s="945"/>
      <c r="G189" s="945"/>
      <c r="H189" s="945"/>
      <c r="I189" s="945"/>
      <c r="J189" s="427"/>
      <c r="K189" s="428"/>
      <c r="L189" s="946"/>
      <c r="M189" s="946"/>
      <c r="N189" s="946"/>
      <c r="O189" s="946"/>
      <c r="P189" s="946"/>
      <c r="Q189" s="946"/>
      <c r="R189" s="216"/>
      <c r="S189" s="216"/>
      <c r="T189" s="424" t="s">
        <v>5</v>
      </c>
      <c r="U189" s="417" t="s">
        <v>36</v>
      </c>
      <c r="V189" s="418">
        <v>0</v>
      </c>
      <c r="W189" s="418">
        <f>V189*K219</f>
        <v>0</v>
      </c>
      <c r="X189" s="418">
        <v>0</v>
      </c>
      <c r="Y189" s="418">
        <f>X189*K219</f>
        <v>0</v>
      </c>
      <c r="Z189" s="418">
        <v>0</v>
      </c>
      <c r="AA189" s="419">
        <f>Z189*K219</f>
        <v>0</v>
      </c>
      <c r="AR189" s="323" t="s">
        <v>128</v>
      </c>
      <c r="AT189" s="323" t="s">
        <v>126</v>
      </c>
      <c r="AU189" s="323" t="s">
        <v>76</v>
      </c>
      <c r="AY189" s="323" t="s">
        <v>125</v>
      </c>
      <c r="BE189" s="420">
        <f>IF(U189="základní",N219,0)</f>
        <v>0</v>
      </c>
      <c r="BF189" s="420">
        <f>IF(U189="snížená",N219,0)</f>
        <v>0</v>
      </c>
      <c r="BG189" s="420">
        <f>IF(U189="zákl. přenesená",N219,0)</f>
        <v>0</v>
      </c>
      <c r="BH189" s="420">
        <f>IF(U189="sníž. přenesená",N219,0)</f>
        <v>0</v>
      </c>
      <c r="BI189" s="420">
        <f>IF(U189="nulová",N219,0)</f>
        <v>0</v>
      </c>
      <c r="BJ189" s="323" t="s">
        <v>80</v>
      </c>
      <c r="BK189" s="420">
        <f>ROUND(L219*K219,2)</f>
        <v>0</v>
      </c>
      <c r="BL189" s="323" t="s">
        <v>128</v>
      </c>
      <c r="BM189" s="323" t="s">
        <v>168</v>
      </c>
    </row>
    <row r="190" spans="1:47" s="332" customFormat="1" ht="42" customHeight="1">
      <c r="A190" s="216"/>
      <c r="B190" s="216"/>
      <c r="C190" s="216"/>
      <c r="D190" s="216"/>
      <c r="E190" s="216"/>
      <c r="F190" s="956"/>
      <c r="G190" s="878"/>
      <c r="H190" s="878"/>
      <c r="I190" s="878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415"/>
      <c r="AT190" s="323" t="s">
        <v>182</v>
      </c>
      <c r="AU190" s="323" t="s">
        <v>76</v>
      </c>
    </row>
    <row r="191" spans="1:65" s="332" customFormat="1" ht="31.5" customHeight="1">
      <c r="A191" s="216"/>
      <c r="B191" s="216"/>
      <c r="C191" s="425"/>
      <c r="D191" s="425"/>
      <c r="E191" s="426"/>
      <c r="F191" s="945"/>
      <c r="G191" s="945"/>
      <c r="H191" s="945"/>
      <c r="I191" s="945"/>
      <c r="J191" s="427"/>
      <c r="K191" s="428"/>
      <c r="L191" s="946"/>
      <c r="M191" s="946"/>
      <c r="N191" s="946"/>
      <c r="O191" s="946"/>
      <c r="P191" s="946"/>
      <c r="Q191" s="946"/>
      <c r="R191" s="216"/>
      <c r="S191" s="216"/>
      <c r="T191" s="424" t="s">
        <v>5</v>
      </c>
      <c r="U191" s="417" t="s">
        <v>36</v>
      </c>
      <c r="V191" s="418">
        <v>0</v>
      </c>
      <c r="W191" s="418">
        <f>V191*K221</f>
        <v>0</v>
      </c>
      <c r="X191" s="418">
        <v>0</v>
      </c>
      <c r="Y191" s="418">
        <f>X191*K221</f>
        <v>0</v>
      </c>
      <c r="Z191" s="418">
        <v>0</v>
      </c>
      <c r="AA191" s="419">
        <f>Z191*K221</f>
        <v>0</v>
      </c>
      <c r="AR191" s="323" t="s">
        <v>128</v>
      </c>
      <c r="AT191" s="323" t="s">
        <v>126</v>
      </c>
      <c r="AU191" s="323" t="s">
        <v>76</v>
      </c>
      <c r="AY191" s="323" t="s">
        <v>125</v>
      </c>
      <c r="BE191" s="420">
        <f>IF(U191="základní",N221,0)</f>
        <v>0</v>
      </c>
      <c r="BF191" s="420">
        <f>IF(U191="snížená",N221,0)</f>
        <v>0</v>
      </c>
      <c r="BG191" s="420">
        <f>IF(U191="zákl. přenesená",N221,0)</f>
        <v>0</v>
      </c>
      <c r="BH191" s="420">
        <f>IF(U191="sníž. přenesená",N221,0)</f>
        <v>0</v>
      </c>
      <c r="BI191" s="420">
        <f>IF(U191="nulová",N221,0)</f>
        <v>0</v>
      </c>
      <c r="BJ191" s="323" t="s">
        <v>80</v>
      </c>
      <c r="BK191" s="420">
        <f>ROUND(L221*K221,2)</f>
        <v>0</v>
      </c>
      <c r="BL191" s="323" t="s">
        <v>128</v>
      </c>
      <c r="BM191" s="323" t="s">
        <v>169</v>
      </c>
    </row>
    <row r="192" spans="1:47" s="332" customFormat="1" ht="42" customHeight="1">
      <c r="A192" s="216"/>
      <c r="B192" s="216"/>
      <c r="C192" s="216"/>
      <c r="D192" s="216"/>
      <c r="E192" s="216"/>
      <c r="F192" s="956"/>
      <c r="G192" s="878"/>
      <c r="H192" s="878"/>
      <c r="I192" s="878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415"/>
      <c r="AT192" s="323" t="s">
        <v>182</v>
      </c>
      <c r="AU192" s="323" t="s">
        <v>76</v>
      </c>
    </row>
    <row r="193" spans="1:65" s="332" customFormat="1" ht="31.5" customHeight="1">
      <c r="A193" s="216"/>
      <c r="B193" s="216"/>
      <c r="C193" s="425"/>
      <c r="D193" s="425"/>
      <c r="E193" s="426"/>
      <c r="F193" s="945"/>
      <c r="G193" s="945"/>
      <c r="H193" s="945"/>
      <c r="I193" s="945"/>
      <c r="J193" s="427"/>
      <c r="K193" s="428"/>
      <c r="L193" s="946"/>
      <c r="M193" s="946"/>
      <c r="N193" s="946"/>
      <c r="O193" s="946"/>
      <c r="P193" s="946"/>
      <c r="Q193" s="946"/>
      <c r="R193" s="216"/>
      <c r="S193" s="216"/>
      <c r="T193" s="424" t="s">
        <v>5</v>
      </c>
      <c r="U193" s="417" t="s">
        <v>36</v>
      </c>
      <c r="V193" s="418">
        <v>0</v>
      </c>
      <c r="W193" s="418">
        <f>V193*K223</f>
        <v>0</v>
      </c>
      <c r="X193" s="418">
        <v>0</v>
      </c>
      <c r="Y193" s="418">
        <f>X193*K223</f>
        <v>0</v>
      </c>
      <c r="Z193" s="418">
        <v>0</v>
      </c>
      <c r="AA193" s="419">
        <f>Z193*K223</f>
        <v>0</v>
      </c>
      <c r="AR193" s="323" t="s">
        <v>128</v>
      </c>
      <c r="AT193" s="323" t="s">
        <v>126</v>
      </c>
      <c r="AU193" s="323" t="s">
        <v>76</v>
      </c>
      <c r="AY193" s="323" t="s">
        <v>125</v>
      </c>
      <c r="BE193" s="420">
        <f>IF(U193="základní",N223,0)</f>
        <v>0</v>
      </c>
      <c r="BF193" s="420">
        <f>IF(U193="snížená",N223,0)</f>
        <v>0</v>
      </c>
      <c r="BG193" s="420">
        <f>IF(U193="zákl. přenesená",N223,0)</f>
        <v>0</v>
      </c>
      <c r="BH193" s="420">
        <f>IF(U193="sníž. přenesená",N223,0)</f>
        <v>0</v>
      </c>
      <c r="BI193" s="420">
        <f>IF(U193="nulová",N223,0)</f>
        <v>0</v>
      </c>
      <c r="BJ193" s="323" t="s">
        <v>80</v>
      </c>
      <c r="BK193" s="420">
        <f>ROUND(L223*K223,2)</f>
        <v>0</v>
      </c>
      <c r="BL193" s="323" t="s">
        <v>128</v>
      </c>
      <c r="BM193" s="323" t="s">
        <v>170</v>
      </c>
    </row>
    <row r="194" spans="1:47" s="332" customFormat="1" ht="42" customHeight="1">
      <c r="A194" s="216"/>
      <c r="B194" s="216"/>
      <c r="C194" s="216"/>
      <c r="D194" s="216"/>
      <c r="E194" s="216"/>
      <c r="F194" s="956"/>
      <c r="G194" s="878"/>
      <c r="H194" s="878"/>
      <c r="I194" s="878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415"/>
      <c r="AT194" s="323" t="s">
        <v>182</v>
      </c>
      <c r="AU194" s="323" t="s">
        <v>76</v>
      </c>
    </row>
    <row r="195" spans="1:65" s="332" customFormat="1" ht="31.5" customHeight="1">
      <c r="A195" s="216"/>
      <c r="B195" s="216"/>
      <c r="C195" s="425"/>
      <c r="D195" s="425"/>
      <c r="E195" s="426"/>
      <c r="F195" s="945"/>
      <c r="G195" s="945"/>
      <c r="H195" s="945"/>
      <c r="I195" s="945"/>
      <c r="J195" s="427"/>
      <c r="K195" s="428"/>
      <c r="L195" s="946"/>
      <c r="M195" s="946"/>
      <c r="N195" s="946"/>
      <c r="O195" s="946"/>
      <c r="P195" s="946"/>
      <c r="Q195" s="946"/>
      <c r="R195" s="216"/>
      <c r="S195" s="216"/>
      <c r="T195" s="424" t="s">
        <v>5</v>
      </c>
      <c r="U195" s="417" t="s">
        <v>36</v>
      </c>
      <c r="V195" s="418">
        <v>0</v>
      </c>
      <c r="W195" s="418">
        <f>V195*K225</f>
        <v>0</v>
      </c>
      <c r="X195" s="418">
        <v>0</v>
      </c>
      <c r="Y195" s="418">
        <f>X195*K225</f>
        <v>0</v>
      </c>
      <c r="Z195" s="418">
        <v>0</v>
      </c>
      <c r="AA195" s="419">
        <f>Z195*K225</f>
        <v>0</v>
      </c>
      <c r="AR195" s="323" t="s">
        <v>128</v>
      </c>
      <c r="AT195" s="323" t="s">
        <v>126</v>
      </c>
      <c r="AU195" s="323" t="s">
        <v>76</v>
      </c>
      <c r="AY195" s="323" t="s">
        <v>125</v>
      </c>
      <c r="BE195" s="420">
        <f>IF(U195="základní",N225,0)</f>
        <v>0</v>
      </c>
      <c r="BF195" s="420">
        <f>IF(U195="snížená",N225,0)</f>
        <v>0</v>
      </c>
      <c r="BG195" s="420">
        <f>IF(U195="zákl. přenesená",N225,0)</f>
        <v>0</v>
      </c>
      <c r="BH195" s="420">
        <f>IF(U195="sníž. přenesená",N225,0)</f>
        <v>0</v>
      </c>
      <c r="BI195" s="420">
        <f>IF(U195="nulová",N225,0)</f>
        <v>0</v>
      </c>
      <c r="BJ195" s="323" t="s">
        <v>80</v>
      </c>
      <c r="BK195" s="420">
        <f>ROUND(L225*K225,2)</f>
        <v>0</v>
      </c>
      <c r="BL195" s="323" t="s">
        <v>128</v>
      </c>
      <c r="BM195" s="323" t="s">
        <v>171</v>
      </c>
    </row>
    <row r="196" spans="1:47" s="332" customFormat="1" ht="42" customHeight="1">
      <c r="A196" s="216"/>
      <c r="B196" s="216"/>
      <c r="C196" s="216"/>
      <c r="D196" s="216"/>
      <c r="E196" s="216"/>
      <c r="F196" s="956"/>
      <c r="G196" s="878"/>
      <c r="H196" s="878"/>
      <c r="I196" s="878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415"/>
      <c r="AT196" s="323" t="s">
        <v>182</v>
      </c>
      <c r="AU196" s="323" t="s">
        <v>76</v>
      </c>
    </row>
    <row r="197" spans="1:65" s="332" customFormat="1" ht="22.5" customHeight="1">
      <c r="A197" s="216"/>
      <c r="B197" s="216"/>
      <c r="C197" s="425"/>
      <c r="D197" s="425"/>
      <c r="E197" s="426"/>
      <c r="F197" s="945"/>
      <c r="G197" s="945"/>
      <c r="H197" s="945"/>
      <c r="I197" s="945"/>
      <c r="J197" s="427"/>
      <c r="K197" s="428"/>
      <c r="L197" s="946"/>
      <c r="M197" s="946"/>
      <c r="N197" s="946"/>
      <c r="O197" s="946"/>
      <c r="P197" s="946"/>
      <c r="Q197" s="946"/>
      <c r="R197" s="216"/>
      <c r="S197" s="216"/>
      <c r="T197" s="424" t="s">
        <v>5</v>
      </c>
      <c r="U197" s="417" t="s">
        <v>36</v>
      </c>
      <c r="V197" s="418">
        <v>0</v>
      </c>
      <c r="W197" s="418">
        <f>V197*K227</f>
        <v>0</v>
      </c>
      <c r="X197" s="418">
        <v>0</v>
      </c>
      <c r="Y197" s="418">
        <f>X197*K227</f>
        <v>0</v>
      </c>
      <c r="Z197" s="418">
        <v>0</v>
      </c>
      <c r="AA197" s="419">
        <f>Z197*K227</f>
        <v>0</v>
      </c>
      <c r="AR197" s="323" t="s">
        <v>128</v>
      </c>
      <c r="AT197" s="323" t="s">
        <v>126</v>
      </c>
      <c r="AU197" s="323" t="s">
        <v>76</v>
      </c>
      <c r="AY197" s="323" t="s">
        <v>125</v>
      </c>
      <c r="BE197" s="420">
        <f>IF(U197="základní",N227,0)</f>
        <v>0</v>
      </c>
      <c r="BF197" s="420">
        <f>IF(U197="snížená",N227,0)</f>
        <v>0</v>
      </c>
      <c r="BG197" s="420">
        <f>IF(U197="zákl. přenesená",N227,0)</f>
        <v>0</v>
      </c>
      <c r="BH197" s="420">
        <f>IF(U197="sníž. přenesená",N227,0)</f>
        <v>0</v>
      </c>
      <c r="BI197" s="420">
        <f>IF(U197="nulová",N227,0)</f>
        <v>0</v>
      </c>
      <c r="BJ197" s="323" t="s">
        <v>80</v>
      </c>
      <c r="BK197" s="420">
        <f>ROUND(L227*K227,2)</f>
        <v>0</v>
      </c>
      <c r="BL197" s="323" t="s">
        <v>128</v>
      </c>
      <c r="BM197" s="323" t="s">
        <v>172</v>
      </c>
    </row>
    <row r="198" spans="1:47" s="332" customFormat="1" ht="42" customHeight="1">
      <c r="A198" s="216"/>
      <c r="B198" s="216"/>
      <c r="C198" s="216"/>
      <c r="D198" s="216"/>
      <c r="E198" s="216"/>
      <c r="F198" s="956"/>
      <c r="G198" s="878"/>
      <c r="H198" s="878"/>
      <c r="I198" s="878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415"/>
      <c r="AT198" s="323" t="s">
        <v>182</v>
      </c>
      <c r="AU198" s="323" t="s">
        <v>76</v>
      </c>
    </row>
    <row r="199" spans="1:65" s="332" customFormat="1" ht="22.5" customHeight="1">
      <c r="A199" s="216"/>
      <c r="B199" s="216"/>
      <c r="C199" s="425"/>
      <c r="D199" s="425"/>
      <c r="E199" s="426"/>
      <c r="F199" s="945"/>
      <c r="G199" s="945"/>
      <c r="H199" s="945"/>
      <c r="I199" s="945"/>
      <c r="J199" s="427"/>
      <c r="K199" s="428"/>
      <c r="L199" s="946"/>
      <c r="M199" s="946"/>
      <c r="N199" s="946"/>
      <c r="O199" s="946"/>
      <c r="P199" s="946"/>
      <c r="Q199" s="946"/>
      <c r="R199" s="216"/>
      <c r="S199" s="216"/>
      <c r="T199" s="424" t="s">
        <v>5</v>
      </c>
      <c r="U199" s="417" t="s">
        <v>36</v>
      </c>
      <c r="V199" s="418">
        <v>0</v>
      </c>
      <c r="W199" s="418">
        <f>V199*K229</f>
        <v>0</v>
      </c>
      <c r="X199" s="418">
        <v>0</v>
      </c>
      <c r="Y199" s="418">
        <f>X199*K229</f>
        <v>0</v>
      </c>
      <c r="Z199" s="418">
        <v>0</v>
      </c>
      <c r="AA199" s="419">
        <f>Z199*K229</f>
        <v>0</v>
      </c>
      <c r="AR199" s="323" t="s">
        <v>128</v>
      </c>
      <c r="AT199" s="323" t="s">
        <v>126</v>
      </c>
      <c r="AU199" s="323" t="s">
        <v>76</v>
      </c>
      <c r="AY199" s="323" t="s">
        <v>125</v>
      </c>
      <c r="BE199" s="420">
        <f>IF(U199="základní",N229,0)</f>
        <v>0</v>
      </c>
      <c r="BF199" s="420">
        <f>IF(U199="snížená",N229,0)</f>
        <v>0</v>
      </c>
      <c r="BG199" s="420">
        <f>IF(U199="zákl. přenesená",N229,0)</f>
        <v>0</v>
      </c>
      <c r="BH199" s="420">
        <f>IF(U199="sníž. přenesená",N229,0)</f>
        <v>0</v>
      </c>
      <c r="BI199" s="420">
        <f>IF(U199="nulová",N229,0)</f>
        <v>0</v>
      </c>
      <c r="BJ199" s="323" t="s">
        <v>80</v>
      </c>
      <c r="BK199" s="420">
        <f>ROUND(L229*K229,2)</f>
        <v>0</v>
      </c>
      <c r="BL199" s="323" t="s">
        <v>128</v>
      </c>
      <c r="BM199" s="323" t="s">
        <v>173</v>
      </c>
    </row>
    <row r="200" spans="1:47" s="332" customFormat="1" ht="42" customHeight="1">
      <c r="A200" s="216"/>
      <c r="B200" s="216"/>
      <c r="C200" s="216"/>
      <c r="D200" s="216"/>
      <c r="E200" s="216"/>
      <c r="F200" s="956"/>
      <c r="G200" s="878"/>
      <c r="H200" s="878"/>
      <c r="I200" s="878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415"/>
      <c r="AT200" s="323" t="s">
        <v>182</v>
      </c>
      <c r="AU200" s="323" t="s">
        <v>76</v>
      </c>
    </row>
    <row r="201" spans="1:65" s="332" customFormat="1" ht="31.5" customHeight="1">
      <c r="A201" s="216"/>
      <c r="B201" s="216"/>
      <c r="C201" s="388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943"/>
      <c r="O201" s="944"/>
      <c r="P201" s="944"/>
      <c r="Q201" s="944"/>
      <c r="R201" s="216"/>
      <c r="S201" s="216"/>
      <c r="T201" s="424" t="s">
        <v>5</v>
      </c>
      <c r="U201" s="417" t="s">
        <v>36</v>
      </c>
      <c r="V201" s="418">
        <v>0</v>
      </c>
      <c r="W201" s="418">
        <f>V201*K231</f>
        <v>0</v>
      </c>
      <c r="X201" s="418">
        <v>0</v>
      </c>
      <c r="Y201" s="418">
        <f>X201*K231</f>
        <v>0</v>
      </c>
      <c r="Z201" s="418">
        <v>0</v>
      </c>
      <c r="AA201" s="419">
        <f>Z201*K231</f>
        <v>0</v>
      </c>
      <c r="AR201" s="323" t="s">
        <v>128</v>
      </c>
      <c r="AT201" s="323" t="s">
        <v>126</v>
      </c>
      <c r="AU201" s="323" t="s">
        <v>76</v>
      </c>
      <c r="AY201" s="323" t="s">
        <v>125</v>
      </c>
      <c r="BE201" s="420">
        <f>IF(U201="základní",N231,0)</f>
        <v>0</v>
      </c>
      <c r="BF201" s="420">
        <f>IF(U201="snížená",N231,0)</f>
        <v>0</v>
      </c>
      <c r="BG201" s="420">
        <f>IF(U201="zákl. přenesená",N231,0)</f>
        <v>0</v>
      </c>
      <c r="BH201" s="420">
        <f>IF(U201="sníž. přenesená",N231,0)</f>
        <v>0</v>
      </c>
      <c r="BI201" s="420">
        <f>IF(U201="nulová",N231,0)</f>
        <v>0</v>
      </c>
      <c r="BJ201" s="323" t="s">
        <v>80</v>
      </c>
      <c r="BK201" s="420">
        <f>ROUND(L231*K231,2)</f>
        <v>0</v>
      </c>
      <c r="BL201" s="323" t="s">
        <v>128</v>
      </c>
      <c r="BM201" s="323" t="s">
        <v>174</v>
      </c>
    </row>
    <row r="202" spans="1:47" s="332" customFormat="1" ht="42" customHeight="1">
      <c r="A202" s="216"/>
      <c r="B202" s="216"/>
      <c r="C202" s="425"/>
      <c r="D202" s="425"/>
      <c r="E202" s="426"/>
      <c r="F202" s="945"/>
      <c r="G202" s="945"/>
      <c r="H202" s="945"/>
      <c r="I202" s="945"/>
      <c r="J202" s="427"/>
      <c r="K202" s="428"/>
      <c r="L202" s="946"/>
      <c r="M202" s="946"/>
      <c r="N202" s="946"/>
      <c r="O202" s="946"/>
      <c r="P202" s="946"/>
      <c r="Q202" s="946"/>
      <c r="R202" s="216"/>
      <c r="S202" s="216"/>
      <c r="T202" s="216"/>
      <c r="U202" s="216"/>
      <c r="V202" s="216"/>
      <c r="W202" s="216"/>
      <c r="X202" s="216"/>
      <c r="Y202" s="216"/>
      <c r="Z202" s="216"/>
      <c r="AA202" s="415"/>
      <c r="AT202" s="323" t="s">
        <v>182</v>
      </c>
      <c r="AU202" s="323" t="s">
        <v>76</v>
      </c>
    </row>
    <row r="203" spans="1:65" s="332" customFormat="1" ht="31.5" customHeight="1">
      <c r="A203" s="216"/>
      <c r="B203" s="216"/>
      <c r="C203" s="216"/>
      <c r="D203" s="216"/>
      <c r="E203" s="216"/>
      <c r="F203" s="956"/>
      <c r="G203" s="878"/>
      <c r="H203" s="878"/>
      <c r="I203" s="878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424" t="s">
        <v>5</v>
      </c>
      <c r="U203" s="417" t="s">
        <v>36</v>
      </c>
      <c r="V203" s="418">
        <v>0</v>
      </c>
      <c r="W203" s="418">
        <f>V203*K233</f>
        <v>0</v>
      </c>
      <c r="X203" s="418">
        <v>0</v>
      </c>
      <c r="Y203" s="418">
        <f>X203*K233</f>
        <v>0</v>
      </c>
      <c r="Z203" s="418">
        <v>0</v>
      </c>
      <c r="AA203" s="419">
        <f>Z203*K233</f>
        <v>0</v>
      </c>
      <c r="AR203" s="323" t="s">
        <v>128</v>
      </c>
      <c r="AT203" s="323" t="s">
        <v>126</v>
      </c>
      <c r="AU203" s="323" t="s">
        <v>76</v>
      </c>
      <c r="AY203" s="323" t="s">
        <v>125</v>
      </c>
      <c r="BE203" s="420">
        <f>IF(U203="základní",N233,0)</f>
        <v>0</v>
      </c>
      <c r="BF203" s="420">
        <f>IF(U203="snížená",N233,0)</f>
        <v>0</v>
      </c>
      <c r="BG203" s="420">
        <f>IF(U203="zákl. přenesená",N233,0)</f>
        <v>0</v>
      </c>
      <c r="BH203" s="420">
        <f>IF(U203="sníž. přenesená",N233,0)</f>
        <v>0</v>
      </c>
      <c r="BI203" s="420">
        <f>IF(U203="nulová",N233,0)</f>
        <v>0</v>
      </c>
      <c r="BJ203" s="323" t="s">
        <v>80</v>
      </c>
      <c r="BK203" s="420">
        <f>ROUND(L233*K233,2)</f>
        <v>0</v>
      </c>
      <c r="BL203" s="323" t="s">
        <v>128</v>
      </c>
      <c r="BM203" s="323" t="s">
        <v>175</v>
      </c>
    </row>
    <row r="204" spans="1:47" s="332" customFormat="1" ht="42" customHeight="1">
      <c r="A204" s="216"/>
      <c r="B204" s="216"/>
      <c r="C204" s="425"/>
      <c r="D204" s="425"/>
      <c r="E204" s="426"/>
      <c r="F204" s="945"/>
      <c r="G204" s="945"/>
      <c r="H204" s="945"/>
      <c r="I204" s="945"/>
      <c r="J204" s="427"/>
      <c r="K204" s="428"/>
      <c r="L204" s="946"/>
      <c r="M204" s="946"/>
      <c r="N204" s="946"/>
      <c r="O204" s="946"/>
      <c r="P204" s="946"/>
      <c r="Q204" s="946"/>
      <c r="R204" s="216"/>
      <c r="S204" s="216"/>
      <c r="T204" s="216"/>
      <c r="U204" s="216"/>
      <c r="V204" s="216"/>
      <c r="W204" s="216"/>
      <c r="X204" s="216"/>
      <c r="Y204" s="216"/>
      <c r="Z204" s="216"/>
      <c r="AA204" s="415"/>
      <c r="AT204" s="323" t="s">
        <v>182</v>
      </c>
      <c r="AU204" s="323" t="s">
        <v>76</v>
      </c>
    </row>
    <row r="205" spans="1:63" s="394" customFormat="1" ht="37.35" customHeight="1">
      <c r="A205" s="388"/>
      <c r="B205" s="388"/>
      <c r="C205" s="216"/>
      <c r="D205" s="216"/>
      <c r="E205" s="216"/>
      <c r="F205" s="956"/>
      <c r="G205" s="878"/>
      <c r="H205" s="878"/>
      <c r="I205" s="878"/>
      <c r="J205" s="216"/>
      <c r="K205" s="216"/>
      <c r="L205" s="216"/>
      <c r="M205" s="216"/>
      <c r="N205" s="216"/>
      <c r="O205" s="216"/>
      <c r="P205" s="216"/>
      <c r="Q205" s="216"/>
      <c r="R205" s="388"/>
      <c r="S205" s="388"/>
      <c r="T205" s="388"/>
      <c r="U205" s="388"/>
      <c r="V205" s="388"/>
      <c r="W205" s="392">
        <f>SUM(W206:W209)</f>
        <v>0</v>
      </c>
      <c r="X205" s="388"/>
      <c r="Y205" s="392">
        <f>SUM(Y206:Y209)</f>
        <v>0</v>
      </c>
      <c r="Z205" s="388"/>
      <c r="AA205" s="393">
        <f>SUM(AA206:AA209)</f>
        <v>0</v>
      </c>
      <c r="AR205" s="396" t="s">
        <v>76</v>
      </c>
      <c r="AT205" s="395" t="s">
        <v>68</v>
      </c>
      <c r="AU205" s="395" t="s">
        <v>69</v>
      </c>
      <c r="AY205" s="396" t="s">
        <v>125</v>
      </c>
      <c r="BK205" s="397">
        <f>SUM(BK206:BK209)</f>
        <v>0</v>
      </c>
    </row>
    <row r="206" spans="1:65" s="332" customFormat="1" ht="22.5" customHeight="1">
      <c r="A206" s="216"/>
      <c r="B206" s="216"/>
      <c r="C206" s="425"/>
      <c r="D206" s="425"/>
      <c r="E206" s="426"/>
      <c r="F206" s="945"/>
      <c r="G206" s="945"/>
      <c r="H206" s="945"/>
      <c r="I206" s="945"/>
      <c r="J206" s="427"/>
      <c r="K206" s="428"/>
      <c r="L206" s="946"/>
      <c r="M206" s="946"/>
      <c r="N206" s="946"/>
      <c r="O206" s="946"/>
      <c r="P206" s="946"/>
      <c r="Q206" s="946"/>
      <c r="R206" s="216"/>
      <c r="S206" s="216"/>
      <c r="T206" s="424" t="s">
        <v>5</v>
      </c>
      <c r="U206" s="417" t="s">
        <v>36</v>
      </c>
      <c r="V206" s="418">
        <v>0</v>
      </c>
      <c r="W206" s="418">
        <f>V206*K236</f>
        <v>0</v>
      </c>
      <c r="X206" s="418">
        <v>0</v>
      </c>
      <c r="Y206" s="418">
        <f>X206*K236</f>
        <v>0</v>
      </c>
      <c r="Z206" s="418">
        <v>0</v>
      </c>
      <c r="AA206" s="419">
        <f>Z206*K236</f>
        <v>0</v>
      </c>
      <c r="AR206" s="323" t="s">
        <v>128</v>
      </c>
      <c r="AT206" s="323" t="s">
        <v>126</v>
      </c>
      <c r="AU206" s="323" t="s">
        <v>76</v>
      </c>
      <c r="AY206" s="323" t="s">
        <v>125</v>
      </c>
      <c r="BE206" s="420">
        <f>IF(U206="základní",N236,0)</f>
        <v>0</v>
      </c>
      <c r="BF206" s="420">
        <f>IF(U206="snížená",N236,0)</f>
        <v>0</v>
      </c>
      <c r="BG206" s="420">
        <f>IF(U206="zákl. přenesená",N236,0)</f>
        <v>0</v>
      </c>
      <c r="BH206" s="420">
        <f>IF(U206="sníž. přenesená",N236,0)</f>
        <v>0</v>
      </c>
      <c r="BI206" s="420">
        <f>IF(U206="nulová",N236,0)</f>
        <v>0</v>
      </c>
      <c r="BJ206" s="323" t="s">
        <v>80</v>
      </c>
      <c r="BK206" s="420">
        <f>ROUND(L236*K236,2)</f>
        <v>0</v>
      </c>
      <c r="BL206" s="323" t="s">
        <v>128</v>
      </c>
      <c r="BM206" s="323" t="s">
        <v>176</v>
      </c>
    </row>
    <row r="207" spans="1:47" s="332" customFormat="1" ht="42" customHeight="1">
      <c r="A207" s="216"/>
      <c r="B207" s="216"/>
      <c r="C207" s="216"/>
      <c r="D207" s="216"/>
      <c r="E207" s="216"/>
      <c r="F207" s="956"/>
      <c r="G207" s="878"/>
      <c r="H207" s="878"/>
      <c r="I207" s="878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415"/>
      <c r="AT207" s="323" t="s">
        <v>182</v>
      </c>
      <c r="AU207" s="323" t="s">
        <v>76</v>
      </c>
    </row>
    <row r="208" spans="1:65" s="332" customFormat="1" ht="31.5" customHeight="1">
      <c r="A208" s="216"/>
      <c r="B208" s="216"/>
      <c r="C208" s="425"/>
      <c r="D208" s="425"/>
      <c r="E208" s="426"/>
      <c r="F208" s="945"/>
      <c r="G208" s="945"/>
      <c r="H208" s="945"/>
      <c r="I208" s="945"/>
      <c r="J208" s="427"/>
      <c r="K208" s="428"/>
      <c r="L208" s="946"/>
      <c r="M208" s="946"/>
      <c r="N208" s="946"/>
      <c r="O208" s="946"/>
      <c r="P208" s="946"/>
      <c r="Q208" s="946"/>
      <c r="R208" s="216"/>
      <c r="S208" s="216"/>
      <c r="T208" s="424" t="s">
        <v>5</v>
      </c>
      <c r="U208" s="417" t="s">
        <v>36</v>
      </c>
      <c r="V208" s="418">
        <v>0</v>
      </c>
      <c r="W208" s="418">
        <f>V208*K238</f>
        <v>0</v>
      </c>
      <c r="X208" s="418">
        <v>0</v>
      </c>
      <c r="Y208" s="418">
        <f>X208*K238</f>
        <v>0</v>
      </c>
      <c r="Z208" s="418">
        <v>0</v>
      </c>
      <c r="AA208" s="419">
        <f>Z208*K238</f>
        <v>0</v>
      </c>
      <c r="AR208" s="323" t="s">
        <v>128</v>
      </c>
      <c r="AT208" s="323" t="s">
        <v>126</v>
      </c>
      <c r="AU208" s="323" t="s">
        <v>76</v>
      </c>
      <c r="AY208" s="323" t="s">
        <v>125</v>
      </c>
      <c r="BE208" s="420">
        <f>IF(U208="základní",N238,0)</f>
        <v>0</v>
      </c>
      <c r="BF208" s="420">
        <f>IF(U208="snížená",N238,0)</f>
        <v>0</v>
      </c>
      <c r="BG208" s="420">
        <f>IF(U208="zákl. přenesená",N238,0)</f>
        <v>0</v>
      </c>
      <c r="BH208" s="420">
        <f>IF(U208="sníž. přenesená",N238,0)</f>
        <v>0</v>
      </c>
      <c r="BI208" s="420">
        <f>IF(U208="nulová",N238,0)</f>
        <v>0</v>
      </c>
      <c r="BJ208" s="323" t="s">
        <v>80</v>
      </c>
      <c r="BK208" s="420">
        <f>ROUND(L238*K238,2)</f>
        <v>0</v>
      </c>
      <c r="BL208" s="323" t="s">
        <v>128</v>
      </c>
      <c r="BM208" s="323" t="s">
        <v>177</v>
      </c>
    </row>
    <row r="209" spans="1:47" s="332" customFormat="1" ht="30" customHeight="1">
      <c r="A209" s="216"/>
      <c r="B209" s="216"/>
      <c r="C209" s="216"/>
      <c r="D209" s="216"/>
      <c r="E209" s="216"/>
      <c r="F209" s="956"/>
      <c r="G209" s="878"/>
      <c r="H209" s="878"/>
      <c r="I209" s="878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415"/>
      <c r="AT209" s="323" t="s">
        <v>182</v>
      </c>
      <c r="AU209" s="323" t="s">
        <v>76</v>
      </c>
    </row>
    <row r="210" spans="1:63" s="394" customFormat="1" ht="37.35" customHeight="1">
      <c r="A210" s="388"/>
      <c r="B210" s="388"/>
      <c r="C210" s="388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943"/>
      <c r="O210" s="944"/>
      <c r="P210" s="944"/>
      <c r="Q210" s="944"/>
      <c r="R210" s="388"/>
      <c r="S210" s="388"/>
      <c r="T210" s="388"/>
      <c r="U210" s="388"/>
      <c r="V210" s="388"/>
      <c r="W210" s="392">
        <f>SUM(W211:W218)</f>
        <v>0</v>
      </c>
      <c r="X210" s="388"/>
      <c r="Y210" s="392">
        <f>SUM(Y211:Y218)</f>
        <v>0</v>
      </c>
      <c r="Z210" s="388"/>
      <c r="AA210" s="393">
        <f>SUM(AA211:AA218)</f>
        <v>0</v>
      </c>
      <c r="AR210" s="396" t="s">
        <v>76</v>
      </c>
      <c r="AT210" s="395" t="s">
        <v>68</v>
      </c>
      <c r="AU210" s="395" t="s">
        <v>69</v>
      </c>
      <c r="AY210" s="396" t="s">
        <v>125</v>
      </c>
      <c r="BK210" s="397">
        <f>SUM(BK211:BK218)</f>
        <v>0</v>
      </c>
    </row>
    <row r="211" spans="1:65" s="332" customFormat="1" ht="31.5" customHeight="1">
      <c r="A211" s="216"/>
      <c r="B211" s="216"/>
      <c r="C211" s="425"/>
      <c r="D211" s="425"/>
      <c r="E211" s="426"/>
      <c r="F211" s="945"/>
      <c r="G211" s="945"/>
      <c r="H211" s="945"/>
      <c r="I211" s="945"/>
      <c r="J211" s="427"/>
      <c r="K211" s="428"/>
      <c r="L211" s="946"/>
      <c r="M211" s="946"/>
      <c r="N211" s="946"/>
      <c r="O211" s="946"/>
      <c r="P211" s="946"/>
      <c r="Q211" s="946"/>
      <c r="R211" s="216"/>
      <c r="S211" s="216"/>
      <c r="T211" s="424" t="s">
        <v>5</v>
      </c>
      <c r="U211" s="417" t="s">
        <v>36</v>
      </c>
      <c r="V211" s="418">
        <v>0</v>
      </c>
      <c r="W211" s="418">
        <f>V211*K241</f>
        <v>0</v>
      </c>
      <c r="X211" s="418">
        <v>0</v>
      </c>
      <c r="Y211" s="418">
        <f>X211*K241</f>
        <v>0</v>
      </c>
      <c r="Z211" s="418">
        <v>0</v>
      </c>
      <c r="AA211" s="419">
        <f>Z211*K241</f>
        <v>0</v>
      </c>
      <c r="AR211" s="323" t="s">
        <v>128</v>
      </c>
      <c r="AT211" s="323" t="s">
        <v>126</v>
      </c>
      <c r="AU211" s="323" t="s">
        <v>76</v>
      </c>
      <c r="AY211" s="323" t="s">
        <v>125</v>
      </c>
      <c r="BE211" s="420">
        <f>IF(U211="základní",N241,0)</f>
        <v>0</v>
      </c>
      <c r="BF211" s="420">
        <f>IF(U211="snížená",N241,0)</f>
        <v>0</v>
      </c>
      <c r="BG211" s="420">
        <f>IF(U211="zákl. přenesená",N241,0)</f>
        <v>0</v>
      </c>
      <c r="BH211" s="420">
        <f>IF(U211="sníž. přenesená",N241,0)</f>
        <v>0</v>
      </c>
      <c r="BI211" s="420">
        <f>IF(U211="nulová",N241,0)</f>
        <v>0</v>
      </c>
      <c r="BJ211" s="323" t="s">
        <v>80</v>
      </c>
      <c r="BK211" s="420">
        <f>ROUND(L241*K241,2)</f>
        <v>0</v>
      </c>
      <c r="BL211" s="323" t="s">
        <v>128</v>
      </c>
      <c r="BM211" s="323" t="s">
        <v>178</v>
      </c>
    </row>
    <row r="212" spans="1:47" s="332" customFormat="1" ht="66" customHeight="1">
      <c r="A212" s="216"/>
      <c r="B212" s="216"/>
      <c r="C212" s="216"/>
      <c r="D212" s="216"/>
      <c r="E212" s="216"/>
      <c r="F212" s="956"/>
      <c r="G212" s="878"/>
      <c r="H212" s="878"/>
      <c r="I212" s="878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415"/>
      <c r="AT212" s="323" t="s">
        <v>182</v>
      </c>
      <c r="AU212" s="323" t="s">
        <v>76</v>
      </c>
    </row>
    <row r="213" spans="1:65" s="332" customFormat="1" ht="31.5" customHeight="1">
      <c r="A213" s="216"/>
      <c r="B213" s="216"/>
      <c r="C213" s="425"/>
      <c r="D213" s="425"/>
      <c r="E213" s="426"/>
      <c r="F213" s="945"/>
      <c r="G213" s="945"/>
      <c r="H213" s="945"/>
      <c r="I213" s="945"/>
      <c r="J213" s="427"/>
      <c r="K213" s="428"/>
      <c r="L213" s="946"/>
      <c r="M213" s="946"/>
      <c r="N213" s="946"/>
      <c r="O213" s="946"/>
      <c r="P213" s="946"/>
      <c r="Q213" s="946"/>
      <c r="R213" s="216"/>
      <c r="S213" s="216"/>
      <c r="T213" s="424" t="s">
        <v>5</v>
      </c>
      <c r="U213" s="417" t="s">
        <v>36</v>
      </c>
      <c r="V213" s="418">
        <v>0</v>
      </c>
      <c r="W213" s="418">
        <f>V213*K243</f>
        <v>0</v>
      </c>
      <c r="X213" s="418">
        <v>0</v>
      </c>
      <c r="Y213" s="418">
        <f>X213*K243</f>
        <v>0</v>
      </c>
      <c r="Z213" s="418">
        <v>0</v>
      </c>
      <c r="AA213" s="419">
        <f>Z213*K243</f>
        <v>0</v>
      </c>
      <c r="AR213" s="323" t="s">
        <v>128</v>
      </c>
      <c r="AT213" s="323" t="s">
        <v>126</v>
      </c>
      <c r="AU213" s="323" t="s">
        <v>76</v>
      </c>
      <c r="AY213" s="323" t="s">
        <v>125</v>
      </c>
      <c r="BE213" s="420">
        <f>IF(U213="základní",N243,0)</f>
        <v>0</v>
      </c>
      <c r="BF213" s="420">
        <f>IF(U213="snížená",N243,0)</f>
        <v>0</v>
      </c>
      <c r="BG213" s="420">
        <f>IF(U213="zákl. přenesená",N243,0)</f>
        <v>0</v>
      </c>
      <c r="BH213" s="420">
        <f>IF(U213="sníž. přenesená",N243,0)</f>
        <v>0</v>
      </c>
      <c r="BI213" s="420">
        <f>IF(U213="nulová",N243,0)</f>
        <v>0</v>
      </c>
      <c r="BJ213" s="323" t="s">
        <v>80</v>
      </c>
      <c r="BK213" s="420">
        <f>ROUND(L243*K243,2)</f>
        <v>0</v>
      </c>
      <c r="BL213" s="323" t="s">
        <v>128</v>
      </c>
      <c r="BM213" s="323" t="s">
        <v>179</v>
      </c>
    </row>
    <row r="214" spans="1:47" s="332" customFormat="1" ht="42" customHeight="1">
      <c r="A214" s="216"/>
      <c r="B214" s="216"/>
      <c r="C214" s="216"/>
      <c r="D214" s="216"/>
      <c r="E214" s="216"/>
      <c r="F214" s="956"/>
      <c r="G214" s="878"/>
      <c r="H214" s="878"/>
      <c r="I214" s="878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415"/>
      <c r="AT214" s="323" t="s">
        <v>182</v>
      </c>
      <c r="AU214" s="323" t="s">
        <v>76</v>
      </c>
    </row>
    <row r="215" spans="1:65" s="332" customFormat="1" ht="31.5" customHeight="1">
      <c r="A215" s="216"/>
      <c r="B215" s="216"/>
      <c r="C215" s="425"/>
      <c r="D215" s="425"/>
      <c r="E215" s="426"/>
      <c r="F215" s="945"/>
      <c r="G215" s="945"/>
      <c r="H215" s="945"/>
      <c r="I215" s="945"/>
      <c r="J215" s="427"/>
      <c r="K215" s="428"/>
      <c r="L215" s="946"/>
      <c r="M215" s="946"/>
      <c r="N215" s="946"/>
      <c r="O215" s="946"/>
      <c r="P215" s="946"/>
      <c r="Q215" s="946"/>
      <c r="R215" s="216"/>
      <c r="S215" s="216"/>
      <c r="T215" s="424" t="s">
        <v>5</v>
      </c>
      <c r="U215" s="417" t="s">
        <v>36</v>
      </c>
      <c r="V215" s="418">
        <v>0</v>
      </c>
      <c r="W215" s="418">
        <f>V215*K245</f>
        <v>0</v>
      </c>
      <c r="X215" s="418">
        <v>0</v>
      </c>
      <c r="Y215" s="418">
        <f>X215*K245</f>
        <v>0</v>
      </c>
      <c r="Z215" s="418">
        <v>0</v>
      </c>
      <c r="AA215" s="419">
        <f>Z215*K245</f>
        <v>0</v>
      </c>
      <c r="AR215" s="323" t="s">
        <v>128</v>
      </c>
      <c r="AT215" s="323" t="s">
        <v>126</v>
      </c>
      <c r="AU215" s="323" t="s">
        <v>76</v>
      </c>
      <c r="AY215" s="323" t="s">
        <v>125</v>
      </c>
      <c r="BE215" s="420">
        <f>IF(U215="základní",N245,0)</f>
        <v>0</v>
      </c>
      <c r="BF215" s="420">
        <f>IF(U215="snížená",N245,0)</f>
        <v>0</v>
      </c>
      <c r="BG215" s="420">
        <f>IF(U215="zákl. přenesená",N245,0)</f>
        <v>0</v>
      </c>
      <c r="BH215" s="420">
        <f>IF(U215="sníž. přenesená",N245,0)</f>
        <v>0</v>
      </c>
      <c r="BI215" s="420">
        <f>IF(U215="nulová",N245,0)</f>
        <v>0</v>
      </c>
      <c r="BJ215" s="323" t="s">
        <v>80</v>
      </c>
      <c r="BK215" s="420">
        <f>ROUND(L245*K245,2)</f>
        <v>0</v>
      </c>
      <c r="BL215" s="323" t="s">
        <v>128</v>
      </c>
      <c r="BM215" s="323" t="s">
        <v>180</v>
      </c>
    </row>
    <row r="216" spans="1:47" s="332" customFormat="1" ht="42" customHeight="1">
      <c r="A216" s="216"/>
      <c r="B216" s="216"/>
      <c r="C216" s="216"/>
      <c r="D216" s="216"/>
      <c r="E216" s="216"/>
      <c r="F216" s="956"/>
      <c r="G216" s="878"/>
      <c r="H216" s="878"/>
      <c r="I216" s="878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415"/>
      <c r="AT216" s="323" t="s">
        <v>182</v>
      </c>
      <c r="AU216" s="323" t="s">
        <v>76</v>
      </c>
    </row>
    <row r="217" spans="1:65" s="332" customFormat="1" ht="31.5" customHeight="1">
      <c r="A217" s="216"/>
      <c r="B217" s="216"/>
      <c r="C217" s="425"/>
      <c r="D217" s="425"/>
      <c r="E217" s="426"/>
      <c r="F217" s="945"/>
      <c r="G217" s="945"/>
      <c r="H217" s="945"/>
      <c r="I217" s="945"/>
      <c r="J217" s="427"/>
      <c r="K217" s="428"/>
      <c r="L217" s="946"/>
      <c r="M217" s="946"/>
      <c r="N217" s="946"/>
      <c r="O217" s="946"/>
      <c r="P217" s="946"/>
      <c r="Q217" s="946"/>
      <c r="R217" s="216"/>
      <c r="S217" s="216"/>
      <c r="T217" s="424" t="s">
        <v>5</v>
      </c>
      <c r="U217" s="417" t="s">
        <v>36</v>
      </c>
      <c r="V217" s="418">
        <v>0</v>
      </c>
      <c r="W217" s="418">
        <f>V217*K247</f>
        <v>0</v>
      </c>
      <c r="X217" s="418">
        <v>0</v>
      </c>
      <c r="Y217" s="418">
        <f>X217*K247</f>
        <v>0</v>
      </c>
      <c r="Z217" s="418">
        <v>0</v>
      </c>
      <c r="AA217" s="419">
        <f>Z217*K247</f>
        <v>0</v>
      </c>
      <c r="AR217" s="323" t="s">
        <v>128</v>
      </c>
      <c r="AT217" s="323" t="s">
        <v>126</v>
      </c>
      <c r="AU217" s="323" t="s">
        <v>76</v>
      </c>
      <c r="AY217" s="323" t="s">
        <v>125</v>
      </c>
      <c r="BE217" s="420">
        <f>IF(U217="základní",N247,0)</f>
        <v>0</v>
      </c>
      <c r="BF217" s="420">
        <f>IF(U217="snížená",N247,0)</f>
        <v>0</v>
      </c>
      <c r="BG217" s="420">
        <f>IF(U217="zákl. přenesená",N247,0)</f>
        <v>0</v>
      </c>
      <c r="BH217" s="420">
        <f>IF(U217="sníž. přenesená",N247,0)</f>
        <v>0</v>
      </c>
      <c r="BI217" s="420">
        <f>IF(U217="nulová",N247,0)</f>
        <v>0</v>
      </c>
      <c r="BJ217" s="323" t="s">
        <v>80</v>
      </c>
      <c r="BK217" s="420">
        <f>ROUND(L247*K247,2)</f>
        <v>0</v>
      </c>
      <c r="BL217" s="323" t="s">
        <v>128</v>
      </c>
      <c r="BM217" s="323" t="s">
        <v>181</v>
      </c>
    </row>
    <row r="218" spans="1:47" s="332" customFormat="1" ht="42" customHeight="1">
      <c r="A218" s="216"/>
      <c r="B218" s="216"/>
      <c r="C218" s="216"/>
      <c r="D218" s="216"/>
      <c r="E218" s="216"/>
      <c r="F218" s="956"/>
      <c r="G218" s="878"/>
      <c r="H218" s="878"/>
      <c r="I218" s="878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415"/>
      <c r="AT218" s="323" t="s">
        <v>182</v>
      </c>
      <c r="AU218" s="323" t="s">
        <v>76</v>
      </c>
    </row>
    <row r="219" spans="1:63" s="394" customFormat="1" ht="37.35" customHeight="1">
      <c r="A219" s="388"/>
      <c r="B219" s="388"/>
      <c r="C219" s="425"/>
      <c r="D219" s="425"/>
      <c r="E219" s="426"/>
      <c r="F219" s="945"/>
      <c r="G219" s="945"/>
      <c r="H219" s="945"/>
      <c r="I219" s="945"/>
      <c r="J219" s="427"/>
      <c r="K219" s="428"/>
      <c r="L219" s="946"/>
      <c r="M219" s="946"/>
      <c r="N219" s="946"/>
      <c r="O219" s="946"/>
      <c r="P219" s="946"/>
      <c r="Q219" s="946"/>
      <c r="R219" s="388"/>
      <c r="S219" s="388"/>
      <c r="T219" s="388"/>
      <c r="U219" s="388"/>
      <c r="V219" s="388"/>
      <c r="W219" s="392">
        <f>SUM(W220:W226)</f>
        <v>0</v>
      </c>
      <c r="X219" s="388"/>
      <c r="Y219" s="392">
        <f>SUM(Y220:Y226)</f>
        <v>0</v>
      </c>
      <c r="Z219" s="388"/>
      <c r="AA219" s="393">
        <f>SUM(AA220:AA226)</f>
        <v>0</v>
      </c>
      <c r="AR219" s="396" t="s">
        <v>76</v>
      </c>
      <c r="AT219" s="395" t="s">
        <v>68</v>
      </c>
      <c r="AU219" s="395" t="s">
        <v>69</v>
      </c>
      <c r="AY219" s="396" t="s">
        <v>125</v>
      </c>
      <c r="BK219" s="397">
        <f>SUM(BK220:BK226)</f>
        <v>0</v>
      </c>
    </row>
    <row r="220" spans="1:65" s="332" customFormat="1" ht="31.5" customHeight="1">
      <c r="A220" s="216"/>
      <c r="B220" s="216"/>
      <c r="C220" s="216"/>
      <c r="D220" s="216"/>
      <c r="E220" s="216"/>
      <c r="F220" s="956"/>
      <c r="G220" s="878"/>
      <c r="H220" s="878"/>
      <c r="I220" s="878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424" t="s">
        <v>5</v>
      </c>
      <c r="U220" s="417" t="s">
        <v>36</v>
      </c>
      <c r="V220" s="418">
        <v>0</v>
      </c>
      <c r="W220" s="418">
        <f aca="true" t="shared" si="20" ref="W220:W226">V220*K250</f>
        <v>0</v>
      </c>
      <c r="X220" s="418">
        <v>0</v>
      </c>
      <c r="Y220" s="418">
        <f aca="true" t="shared" si="21" ref="Y220:Y226">X220*K250</f>
        <v>0</v>
      </c>
      <c r="Z220" s="418">
        <v>0</v>
      </c>
      <c r="AA220" s="419">
        <f aca="true" t="shared" si="22" ref="AA220:AA226">Z220*K250</f>
        <v>0</v>
      </c>
      <c r="AR220" s="323" t="s">
        <v>128</v>
      </c>
      <c r="AT220" s="323" t="s">
        <v>126</v>
      </c>
      <c r="AU220" s="323" t="s">
        <v>76</v>
      </c>
      <c r="AY220" s="323" t="s">
        <v>125</v>
      </c>
      <c r="BE220" s="420">
        <f aca="true" t="shared" si="23" ref="BE220:BE226">IF(U220="základní",N250,0)</f>
        <v>0</v>
      </c>
      <c r="BF220" s="420">
        <f aca="true" t="shared" si="24" ref="BF220:BF226">IF(U220="snížená",N250,0)</f>
        <v>0</v>
      </c>
      <c r="BG220" s="420">
        <f aca="true" t="shared" si="25" ref="BG220:BG226">IF(U220="zákl. přenesená",N250,0)</f>
        <v>0</v>
      </c>
      <c r="BH220" s="420">
        <f aca="true" t="shared" si="26" ref="BH220:BH226">IF(U220="sníž. přenesená",N250,0)</f>
        <v>0</v>
      </c>
      <c r="BI220" s="420">
        <f aca="true" t="shared" si="27" ref="BI220:BI226">IF(U220="nulová",N250,0)</f>
        <v>0</v>
      </c>
      <c r="BJ220" s="323" t="s">
        <v>80</v>
      </c>
      <c r="BK220" s="420">
        <f aca="true" t="shared" si="28" ref="BK220:BK226">ROUND(L250*K250,2)</f>
        <v>0</v>
      </c>
      <c r="BL220" s="323" t="s">
        <v>128</v>
      </c>
      <c r="BM220" s="323" t="s">
        <v>183</v>
      </c>
    </row>
    <row r="221" spans="1:65" s="332" customFormat="1" ht="31.5" customHeight="1">
      <c r="A221" s="216"/>
      <c r="B221" s="216"/>
      <c r="C221" s="425"/>
      <c r="D221" s="425"/>
      <c r="E221" s="426"/>
      <c r="F221" s="945"/>
      <c r="G221" s="945"/>
      <c r="H221" s="945"/>
      <c r="I221" s="945"/>
      <c r="J221" s="427"/>
      <c r="K221" s="428"/>
      <c r="L221" s="946"/>
      <c r="M221" s="946"/>
      <c r="N221" s="946"/>
      <c r="O221" s="946"/>
      <c r="P221" s="946"/>
      <c r="Q221" s="946"/>
      <c r="R221" s="216"/>
      <c r="S221" s="216"/>
      <c r="T221" s="424" t="s">
        <v>5</v>
      </c>
      <c r="U221" s="417" t="s">
        <v>36</v>
      </c>
      <c r="V221" s="418">
        <v>0</v>
      </c>
      <c r="W221" s="418">
        <f t="shared" si="20"/>
        <v>0</v>
      </c>
      <c r="X221" s="418">
        <v>0</v>
      </c>
      <c r="Y221" s="418">
        <f t="shared" si="21"/>
        <v>0</v>
      </c>
      <c r="Z221" s="418">
        <v>0</v>
      </c>
      <c r="AA221" s="419">
        <f t="shared" si="22"/>
        <v>0</v>
      </c>
      <c r="AR221" s="323" t="s">
        <v>128</v>
      </c>
      <c r="AT221" s="323" t="s">
        <v>126</v>
      </c>
      <c r="AU221" s="323" t="s">
        <v>76</v>
      </c>
      <c r="AY221" s="323" t="s">
        <v>125</v>
      </c>
      <c r="BE221" s="420">
        <f t="shared" si="23"/>
        <v>0</v>
      </c>
      <c r="BF221" s="420">
        <f t="shared" si="24"/>
        <v>0</v>
      </c>
      <c r="BG221" s="420">
        <f t="shared" si="25"/>
        <v>0</v>
      </c>
      <c r="BH221" s="420">
        <f t="shared" si="26"/>
        <v>0</v>
      </c>
      <c r="BI221" s="420">
        <f t="shared" si="27"/>
        <v>0</v>
      </c>
      <c r="BJ221" s="323" t="s">
        <v>80</v>
      </c>
      <c r="BK221" s="420">
        <f t="shared" si="28"/>
        <v>0</v>
      </c>
      <c r="BL221" s="323" t="s">
        <v>128</v>
      </c>
      <c r="BM221" s="323" t="s">
        <v>184</v>
      </c>
    </row>
    <row r="222" spans="1:65" s="332" customFormat="1" ht="31.5" customHeight="1">
      <c r="A222" s="216"/>
      <c r="B222" s="216"/>
      <c r="C222" s="216"/>
      <c r="D222" s="216"/>
      <c r="E222" s="216"/>
      <c r="F222" s="956"/>
      <c r="G222" s="878"/>
      <c r="H222" s="878"/>
      <c r="I222" s="878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424" t="s">
        <v>5</v>
      </c>
      <c r="U222" s="417" t="s">
        <v>36</v>
      </c>
      <c r="V222" s="418">
        <v>0</v>
      </c>
      <c r="W222" s="418">
        <f t="shared" si="20"/>
        <v>0</v>
      </c>
      <c r="X222" s="418">
        <v>0</v>
      </c>
      <c r="Y222" s="418">
        <f t="shared" si="21"/>
        <v>0</v>
      </c>
      <c r="Z222" s="418">
        <v>0</v>
      </c>
      <c r="AA222" s="419">
        <f t="shared" si="22"/>
        <v>0</v>
      </c>
      <c r="AR222" s="323" t="s">
        <v>128</v>
      </c>
      <c r="AT222" s="323" t="s">
        <v>126</v>
      </c>
      <c r="AU222" s="323" t="s">
        <v>76</v>
      </c>
      <c r="AY222" s="323" t="s">
        <v>125</v>
      </c>
      <c r="BE222" s="420">
        <f t="shared" si="23"/>
        <v>0</v>
      </c>
      <c r="BF222" s="420">
        <f t="shared" si="24"/>
        <v>0</v>
      </c>
      <c r="BG222" s="420">
        <f t="shared" si="25"/>
        <v>0</v>
      </c>
      <c r="BH222" s="420">
        <f t="shared" si="26"/>
        <v>0</v>
      </c>
      <c r="BI222" s="420">
        <f t="shared" si="27"/>
        <v>0</v>
      </c>
      <c r="BJ222" s="323" t="s">
        <v>80</v>
      </c>
      <c r="BK222" s="420">
        <f t="shared" si="28"/>
        <v>0</v>
      </c>
      <c r="BL222" s="323" t="s">
        <v>128</v>
      </c>
      <c r="BM222" s="323" t="s">
        <v>185</v>
      </c>
    </row>
    <row r="223" spans="1:65" s="332" customFormat="1" ht="31.5" customHeight="1">
      <c r="A223" s="216"/>
      <c r="B223" s="216"/>
      <c r="C223" s="425"/>
      <c r="D223" s="425"/>
      <c r="E223" s="426"/>
      <c r="F223" s="945"/>
      <c r="G223" s="945"/>
      <c r="H223" s="945"/>
      <c r="I223" s="945"/>
      <c r="J223" s="427"/>
      <c r="K223" s="428"/>
      <c r="L223" s="946"/>
      <c r="M223" s="946"/>
      <c r="N223" s="946"/>
      <c r="O223" s="946"/>
      <c r="P223" s="946"/>
      <c r="Q223" s="946"/>
      <c r="R223" s="216"/>
      <c r="S223" s="216"/>
      <c r="T223" s="424" t="s">
        <v>5</v>
      </c>
      <c r="U223" s="417" t="s">
        <v>36</v>
      </c>
      <c r="V223" s="418">
        <v>0</v>
      </c>
      <c r="W223" s="418">
        <f t="shared" si="20"/>
        <v>0</v>
      </c>
      <c r="X223" s="418">
        <v>0</v>
      </c>
      <c r="Y223" s="418">
        <f t="shared" si="21"/>
        <v>0</v>
      </c>
      <c r="Z223" s="418">
        <v>0</v>
      </c>
      <c r="AA223" s="419">
        <f t="shared" si="22"/>
        <v>0</v>
      </c>
      <c r="AR223" s="323" t="s">
        <v>128</v>
      </c>
      <c r="AT223" s="323" t="s">
        <v>126</v>
      </c>
      <c r="AU223" s="323" t="s">
        <v>76</v>
      </c>
      <c r="AY223" s="323" t="s">
        <v>125</v>
      </c>
      <c r="BE223" s="420">
        <f t="shared" si="23"/>
        <v>0</v>
      </c>
      <c r="BF223" s="420">
        <f t="shared" si="24"/>
        <v>0</v>
      </c>
      <c r="BG223" s="420">
        <f t="shared" si="25"/>
        <v>0</v>
      </c>
      <c r="BH223" s="420">
        <f t="shared" si="26"/>
        <v>0</v>
      </c>
      <c r="BI223" s="420">
        <f t="shared" si="27"/>
        <v>0</v>
      </c>
      <c r="BJ223" s="323" t="s">
        <v>80</v>
      </c>
      <c r="BK223" s="420">
        <f t="shared" si="28"/>
        <v>0</v>
      </c>
      <c r="BL223" s="323" t="s">
        <v>128</v>
      </c>
      <c r="BM223" s="323" t="s">
        <v>186</v>
      </c>
    </row>
    <row r="224" spans="1:65" s="332" customFormat="1" ht="31.5" customHeight="1">
      <c r="A224" s="216"/>
      <c r="B224" s="216"/>
      <c r="C224" s="216"/>
      <c r="D224" s="216"/>
      <c r="E224" s="216"/>
      <c r="F224" s="956"/>
      <c r="G224" s="878"/>
      <c r="H224" s="878"/>
      <c r="I224" s="878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424" t="s">
        <v>5</v>
      </c>
      <c r="U224" s="417" t="s">
        <v>36</v>
      </c>
      <c r="V224" s="418">
        <v>0</v>
      </c>
      <c r="W224" s="418">
        <f t="shared" si="20"/>
        <v>0</v>
      </c>
      <c r="X224" s="418">
        <v>0</v>
      </c>
      <c r="Y224" s="418">
        <f t="shared" si="21"/>
        <v>0</v>
      </c>
      <c r="Z224" s="418">
        <v>0</v>
      </c>
      <c r="AA224" s="419">
        <f t="shared" si="22"/>
        <v>0</v>
      </c>
      <c r="AR224" s="323" t="s">
        <v>128</v>
      </c>
      <c r="AT224" s="323" t="s">
        <v>126</v>
      </c>
      <c r="AU224" s="323" t="s">
        <v>76</v>
      </c>
      <c r="AY224" s="323" t="s">
        <v>125</v>
      </c>
      <c r="BE224" s="420">
        <f t="shared" si="23"/>
        <v>0</v>
      </c>
      <c r="BF224" s="420">
        <f t="shared" si="24"/>
        <v>0</v>
      </c>
      <c r="BG224" s="420">
        <f t="shared" si="25"/>
        <v>0</v>
      </c>
      <c r="BH224" s="420">
        <f t="shared" si="26"/>
        <v>0</v>
      </c>
      <c r="BI224" s="420">
        <f t="shared" si="27"/>
        <v>0</v>
      </c>
      <c r="BJ224" s="323" t="s">
        <v>80</v>
      </c>
      <c r="BK224" s="420">
        <f t="shared" si="28"/>
        <v>0</v>
      </c>
      <c r="BL224" s="323" t="s">
        <v>128</v>
      </c>
      <c r="BM224" s="323" t="s">
        <v>187</v>
      </c>
    </row>
    <row r="225" spans="1:65" s="332" customFormat="1" ht="31.5" customHeight="1">
      <c r="A225" s="216"/>
      <c r="B225" s="216"/>
      <c r="C225" s="425"/>
      <c r="D225" s="425"/>
      <c r="E225" s="426"/>
      <c r="F225" s="945"/>
      <c r="G225" s="945"/>
      <c r="H225" s="945"/>
      <c r="I225" s="945"/>
      <c r="J225" s="427"/>
      <c r="K225" s="428"/>
      <c r="L225" s="946"/>
      <c r="M225" s="946"/>
      <c r="N225" s="946"/>
      <c r="O225" s="946"/>
      <c r="P225" s="946"/>
      <c r="Q225" s="946"/>
      <c r="R225" s="216"/>
      <c r="S225" s="216"/>
      <c r="T225" s="424" t="s">
        <v>5</v>
      </c>
      <c r="U225" s="417" t="s">
        <v>36</v>
      </c>
      <c r="V225" s="418">
        <v>0</v>
      </c>
      <c r="W225" s="418">
        <f t="shared" si="20"/>
        <v>0</v>
      </c>
      <c r="X225" s="418">
        <v>0</v>
      </c>
      <c r="Y225" s="418">
        <f t="shared" si="21"/>
        <v>0</v>
      </c>
      <c r="Z225" s="418">
        <v>0</v>
      </c>
      <c r="AA225" s="419">
        <f t="shared" si="22"/>
        <v>0</v>
      </c>
      <c r="AR225" s="323" t="s">
        <v>128</v>
      </c>
      <c r="AT225" s="323" t="s">
        <v>126</v>
      </c>
      <c r="AU225" s="323" t="s">
        <v>76</v>
      </c>
      <c r="AY225" s="323" t="s">
        <v>125</v>
      </c>
      <c r="BE225" s="420">
        <f t="shared" si="23"/>
        <v>0</v>
      </c>
      <c r="BF225" s="420">
        <f t="shared" si="24"/>
        <v>0</v>
      </c>
      <c r="BG225" s="420">
        <f t="shared" si="25"/>
        <v>0</v>
      </c>
      <c r="BH225" s="420">
        <f t="shared" si="26"/>
        <v>0</v>
      </c>
      <c r="BI225" s="420">
        <f t="shared" si="27"/>
        <v>0</v>
      </c>
      <c r="BJ225" s="323" t="s">
        <v>80</v>
      </c>
      <c r="BK225" s="420">
        <f t="shared" si="28"/>
        <v>0</v>
      </c>
      <c r="BL225" s="323" t="s">
        <v>128</v>
      </c>
      <c r="BM225" s="323" t="s">
        <v>188</v>
      </c>
    </row>
    <row r="226" spans="1:65" s="332" customFormat="1" ht="44.25" customHeight="1">
      <c r="A226" s="216"/>
      <c r="B226" s="216"/>
      <c r="C226" s="216"/>
      <c r="D226" s="216"/>
      <c r="E226" s="216"/>
      <c r="F226" s="956"/>
      <c r="G226" s="878"/>
      <c r="H226" s="878"/>
      <c r="I226" s="878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424" t="s">
        <v>5</v>
      </c>
      <c r="U226" s="429" t="s">
        <v>36</v>
      </c>
      <c r="V226" s="430">
        <v>0</v>
      </c>
      <c r="W226" s="430">
        <f t="shared" si="20"/>
        <v>0</v>
      </c>
      <c r="X226" s="430">
        <v>0</v>
      </c>
      <c r="Y226" s="430">
        <f t="shared" si="21"/>
        <v>0</v>
      </c>
      <c r="Z226" s="430">
        <v>0</v>
      </c>
      <c r="AA226" s="431">
        <f t="shared" si="22"/>
        <v>0</v>
      </c>
      <c r="AR226" s="323" t="s">
        <v>128</v>
      </c>
      <c r="AT226" s="323" t="s">
        <v>126</v>
      </c>
      <c r="AU226" s="323" t="s">
        <v>76</v>
      </c>
      <c r="AY226" s="323" t="s">
        <v>125</v>
      </c>
      <c r="BE226" s="420">
        <f t="shared" si="23"/>
        <v>0</v>
      </c>
      <c r="BF226" s="420">
        <f t="shared" si="24"/>
        <v>0</v>
      </c>
      <c r="BG226" s="420">
        <f t="shared" si="25"/>
        <v>0</v>
      </c>
      <c r="BH226" s="420">
        <f t="shared" si="26"/>
        <v>0</v>
      </c>
      <c r="BI226" s="420">
        <f t="shared" si="27"/>
        <v>0</v>
      </c>
      <c r="BJ226" s="323" t="s">
        <v>80</v>
      </c>
      <c r="BK226" s="420">
        <f t="shared" si="28"/>
        <v>0</v>
      </c>
      <c r="BL226" s="323" t="s">
        <v>128</v>
      </c>
      <c r="BM226" s="323" t="s">
        <v>189</v>
      </c>
    </row>
    <row r="227" spans="1:19" s="332" customFormat="1" ht="6.95" customHeight="1">
      <c r="A227" s="216"/>
      <c r="B227" s="216"/>
      <c r="C227" s="425"/>
      <c r="D227" s="425"/>
      <c r="E227" s="426"/>
      <c r="F227" s="945"/>
      <c r="G227" s="945"/>
      <c r="H227" s="945"/>
      <c r="I227" s="945"/>
      <c r="J227" s="427"/>
      <c r="K227" s="428"/>
      <c r="L227" s="946"/>
      <c r="M227" s="946"/>
      <c r="N227" s="946"/>
      <c r="O227" s="946"/>
      <c r="P227" s="946"/>
      <c r="Q227" s="946"/>
      <c r="R227" s="216"/>
      <c r="S227" s="216"/>
    </row>
    <row r="228" spans="1:19" ht="13.5">
      <c r="A228" s="330"/>
      <c r="B228" s="330"/>
      <c r="C228" s="216"/>
      <c r="D228" s="216"/>
      <c r="E228" s="216"/>
      <c r="F228" s="956"/>
      <c r="G228" s="878"/>
      <c r="H228" s="878"/>
      <c r="I228" s="878"/>
      <c r="J228" s="216"/>
      <c r="K228" s="216"/>
      <c r="L228" s="216"/>
      <c r="M228" s="216"/>
      <c r="N228" s="216"/>
      <c r="O228" s="216"/>
      <c r="P228" s="216"/>
      <c r="Q228" s="216"/>
      <c r="R228" s="330"/>
      <c r="S228" s="330"/>
    </row>
    <row r="229" spans="1:19" ht="13.5">
      <c r="A229" s="330"/>
      <c r="B229" s="330"/>
      <c r="C229" s="425"/>
      <c r="D229" s="425"/>
      <c r="E229" s="426"/>
      <c r="F229" s="945"/>
      <c r="G229" s="945"/>
      <c r="H229" s="945"/>
      <c r="I229" s="945"/>
      <c r="J229" s="427"/>
      <c r="K229" s="428"/>
      <c r="L229" s="946"/>
      <c r="M229" s="946"/>
      <c r="N229" s="946"/>
      <c r="O229" s="946"/>
      <c r="P229" s="946"/>
      <c r="Q229" s="946"/>
      <c r="R229" s="330"/>
      <c r="S229" s="330"/>
    </row>
    <row r="230" spans="1:19" ht="13.5">
      <c r="A230" s="330"/>
      <c r="B230" s="330"/>
      <c r="C230" s="216"/>
      <c r="D230" s="216"/>
      <c r="E230" s="216"/>
      <c r="F230" s="956"/>
      <c r="G230" s="878"/>
      <c r="H230" s="878"/>
      <c r="I230" s="878"/>
      <c r="J230" s="216"/>
      <c r="K230" s="216"/>
      <c r="L230" s="216"/>
      <c r="M230" s="216"/>
      <c r="N230" s="216"/>
      <c r="O230" s="216"/>
      <c r="P230" s="216"/>
      <c r="Q230" s="216"/>
      <c r="R230" s="330"/>
      <c r="S230" s="330"/>
    </row>
    <row r="231" spans="1:19" ht="13.5">
      <c r="A231" s="330"/>
      <c r="B231" s="330"/>
      <c r="C231" s="425"/>
      <c r="D231" s="425"/>
      <c r="E231" s="426"/>
      <c r="F231" s="945"/>
      <c r="G231" s="945"/>
      <c r="H231" s="945"/>
      <c r="I231" s="945"/>
      <c r="J231" s="427"/>
      <c r="K231" s="428"/>
      <c r="L231" s="946"/>
      <c r="M231" s="946"/>
      <c r="N231" s="946"/>
      <c r="O231" s="946"/>
      <c r="P231" s="946"/>
      <c r="Q231" s="946"/>
      <c r="R231" s="330"/>
      <c r="S231" s="330"/>
    </row>
    <row r="232" spans="1:19" ht="13.5">
      <c r="A232" s="330"/>
      <c r="B232" s="330"/>
      <c r="C232" s="216"/>
      <c r="D232" s="216"/>
      <c r="E232" s="216"/>
      <c r="F232" s="956"/>
      <c r="G232" s="878"/>
      <c r="H232" s="878"/>
      <c r="I232" s="878"/>
      <c r="J232" s="216"/>
      <c r="K232" s="216"/>
      <c r="L232" s="216"/>
      <c r="M232" s="216"/>
      <c r="N232" s="216"/>
      <c r="O232" s="216"/>
      <c r="P232" s="216"/>
      <c r="Q232" s="216"/>
      <c r="R232" s="330"/>
      <c r="S232" s="330"/>
    </row>
    <row r="233" spans="1:19" ht="13.5">
      <c r="A233" s="330"/>
      <c r="B233" s="330"/>
      <c r="C233" s="425"/>
      <c r="D233" s="425"/>
      <c r="E233" s="426"/>
      <c r="F233" s="945"/>
      <c r="G233" s="945"/>
      <c r="H233" s="945"/>
      <c r="I233" s="945"/>
      <c r="J233" s="427"/>
      <c r="K233" s="428"/>
      <c r="L233" s="946"/>
      <c r="M233" s="946"/>
      <c r="N233" s="946"/>
      <c r="O233" s="946"/>
      <c r="P233" s="946"/>
      <c r="Q233" s="946"/>
      <c r="R233" s="330"/>
      <c r="S233" s="330"/>
    </row>
    <row r="234" spans="1:19" ht="13.5">
      <c r="A234" s="330"/>
      <c r="B234" s="330"/>
      <c r="C234" s="216"/>
      <c r="D234" s="216"/>
      <c r="E234" s="216"/>
      <c r="F234" s="956"/>
      <c r="G234" s="878"/>
      <c r="H234" s="878"/>
      <c r="I234" s="878"/>
      <c r="J234" s="216"/>
      <c r="K234" s="216"/>
      <c r="L234" s="216"/>
      <c r="M234" s="216"/>
      <c r="N234" s="216"/>
      <c r="O234" s="216"/>
      <c r="P234" s="216"/>
      <c r="Q234" s="216"/>
      <c r="R234" s="330"/>
      <c r="S234" s="330"/>
    </row>
    <row r="235" spans="1:19" ht="18">
      <c r="A235" s="330"/>
      <c r="B235" s="330"/>
      <c r="C235" s="388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943"/>
      <c r="O235" s="944"/>
      <c r="P235" s="944"/>
      <c r="Q235" s="944"/>
      <c r="R235" s="330"/>
      <c r="S235" s="330"/>
    </row>
    <row r="236" spans="1:19" ht="13.5">
      <c r="A236" s="330"/>
      <c r="B236" s="330"/>
      <c r="C236" s="425"/>
      <c r="D236" s="425"/>
      <c r="E236" s="426"/>
      <c r="F236" s="945"/>
      <c r="G236" s="945"/>
      <c r="H236" s="945"/>
      <c r="I236" s="945"/>
      <c r="J236" s="427"/>
      <c r="K236" s="428"/>
      <c r="L236" s="946"/>
      <c r="M236" s="946"/>
      <c r="N236" s="946"/>
      <c r="O236" s="946"/>
      <c r="P236" s="946"/>
      <c r="Q236" s="946"/>
      <c r="R236" s="330"/>
      <c r="S236" s="330"/>
    </row>
    <row r="237" spans="1:19" ht="13.5">
      <c r="A237" s="330"/>
      <c r="B237" s="330"/>
      <c r="C237" s="216"/>
      <c r="D237" s="216"/>
      <c r="E237" s="216"/>
      <c r="F237" s="956"/>
      <c r="G237" s="878"/>
      <c r="H237" s="878"/>
      <c r="I237" s="878"/>
      <c r="J237" s="216"/>
      <c r="K237" s="216"/>
      <c r="L237" s="216"/>
      <c r="M237" s="216"/>
      <c r="N237" s="216"/>
      <c r="O237" s="216"/>
      <c r="P237" s="216"/>
      <c r="Q237" s="216"/>
      <c r="R237" s="330"/>
      <c r="S237" s="330"/>
    </row>
    <row r="238" spans="1:19" ht="13.5">
      <c r="A238" s="330"/>
      <c r="B238" s="330"/>
      <c r="C238" s="425"/>
      <c r="D238" s="425"/>
      <c r="E238" s="426"/>
      <c r="F238" s="945"/>
      <c r="G238" s="945"/>
      <c r="H238" s="945"/>
      <c r="I238" s="945"/>
      <c r="J238" s="427"/>
      <c r="K238" s="428"/>
      <c r="L238" s="946"/>
      <c r="M238" s="946"/>
      <c r="N238" s="946"/>
      <c r="O238" s="946"/>
      <c r="P238" s="946"/>
      <c r="Q238" s="946"/>
      <c r="R238" s="330"/>
      <c r="S238" s="330"/>
    </row>
    <row r="239" spans="1:19" ht="13.5">
      <c r="A239" s="330"/>
      <c r="B239" s="330"/>
      <c r="C239" s="216"/>
      <c r="D239" s="216"/>
      <c r="E239" s="216"/>
      <c r="F239" s="956"/>
      <c r="G239" s="878"/>
      <c r="H239" s="878"/>
      <c r="I239" s="878"/>
      <c r="J239" s="216"/>
      <c r="K239" s="216"/>
      <c r="L239" s="216"/>
      <c r="M239" s="216"/>
      <c r="N239" s="216"/>
      <c r="O239" s="216"/>
      <c r="P239" s="216"/>
      <c r="Q239" s="216"/>
      <c r="R239" s="330"/>
      <c r="S239" s="330"/>
    </row>
    <row r="240" spans="1:19" ht="18">
      <c r="A240" s="330"/>
      <c r="B240" s="330"/>
      <c r="C240" s="388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943"/>
      <c r="O240" s="944"/>
      <c r="P240" s="944"/>
      <c r="Q240" s="944"/>
      <c r="R240" s="330"/>
      <c r="S240" s="330"/>
    </row>
    <row r="241" spans="1:19" ht="13.5">
      <c r="A241" s="330"/>
      <c r="B241" s="330"/>
      <c r="C241" s="425"/>
      <c r="D241" s="425"/>
      <c r="E241" s="426"/>
      <c r="F241" s="945"/>
      <c r="G241" s="945"/>
      <c r="H241" s="945"/>
      <c r="I241" s="945"/>
      <c r="J241" s="427"/>
      <c r="K241" s="428"/>
      <c r="L241" s="946"/>
      <c r="M241" s="946"/>
      <c r="N241" s="946"/>
      <c r="O241" s="946"/>
      <c r="P241" s="946"/>
      <c r="Q241" s="946"/>
      <c r="R241" s="330"/>
      <c r="S241" s="330"/>
    </row>
    <row r="242" spans="1:19" ht="13.5">
      <c r="A242" s="330"/>
      <c r="B242" s="330"/>
      <c r="C242" s="216"/>
      <c r="D242" s="216"/>
      <c r="E242" s="216"/>
      <c r="F242" s="956"/>
      <c r="G242" s="878"/>
      <c r="H242" s="878"/>
      <c r="I242" s="878"/>
      <c r="J242" s="216"/>
      <c r="K242" s="216"/>
      <c r="L242" s="216"/>
      <c r="M242" s="216"/>
      <c r="N242" s="216"/>
      <c r="O242" s="216"/>
      <c r="P242" s="216"/>
      <c r="Q242" s="216"/>
      <c r="R242" s="330"/>
      <c r="S242" s="330"/>
    </row>
    <row r="243" spans="1:19" ht="13.5">
      <c r="A243" s="330"/>
      <c r="B243" s="330"/>
      <c r="C243" s="425"/>
      <c r="D243" s="425"/>
      <c r="E243" s="426"/>
      <c r="F243" s="945"/>
      <c r="G243" s="945"/>
      <c r="H243" s="945"/>
      <c r="I243" s="945"/>
      <c r="J243" s="427"/>
      <c r="K243" s="428"/>
      <c r="L243" s="946"/>
      <c r="M243" s="946"/>
      <c r="N243" s="946"/>
      <c r="O243" s="946"/>
      <c r="P243" s="946"/>
      <c r="Q243" s="946"/>
      <c r="R243" s="330"/>
      <c r="S243" s="330"/>
    </row>
    <row r="244" spans="1:19" ht="13.5">
      <c r="A244" s="330"/>
      <c r="B244" s="330"/>
      <c r="C244" s="216"/>
      <c r="D244" s="216"/>
      <c r="E244" s="216"/>
      <c r="F244" s="956"/>
      <c r="G244" s="878"/>
      <c r="H244" s="878"/>
      <c r="I244" s="878"/>
      <c r="J244" s="216"/>
      <c r="K244" s="216"/>
      <c r="L244" s="216"/>
      <c r="M244" s="216"/>
      <c r="N244" s="216"/>
      <c r="O244" s="216"/>
      <c r="P244" s="216"/>
      <c r="Q244" s="216"/>
      <c r="R244" s="330"/>
      <c r="S244" s="330"/>
    </row>
    <row r="245" spans="1:19" ht="13.5">
      <c r="A245" s="330"/>
      <c r="B245" s="330"/>
      <c r="C245" s="425"/>
      <c r="D245" s="425"/>
      <c r="E245" s="426"/>
      <c r="F245" s="945"/>
      <c r="G245" s="945"/>
      <c r="H245" s="945"/>
      <c r="I245" s="945"/>
      <c r="J245" s="427"/>
      <c r="K245" s="428"/>
      <c r="L245" s="946"/>
      <c r="M245" s="946"/>
      <c r="N245" s="946"/>
      <c r="O245" s="946"/>
      <c r="P245" s="946"/>
      <c r="Q245" s="946"/>
      <c r="R245" s="330"/>
      <c r="S245" s="330"/>
    </row>
    <row r="246" spans="1:19" ht="13.5">
      <c r="A246" s="330"/>
      <c r="B246" s="330"/>
      <c r="C246" s="216"/>
      <c r="D246" s="216"/>
      <c r="E246" s="216"/>
      <c r="F246" s="956"/>
      <c r="G246" s="878"/>
      <c r="H246" s="878"/>
      <c r="I246" s="878"/>
      <c r="J246" s="216"/>
      <c r="K246" s="216"/>
      <c r="L246" s="216"/>
      <c r="M246" s="216"/>
      <c r="N246" s="216"/>
      <c r="O246" s="216"/>
      <c r="P246" s="216"/>
      <c r="Q246" s="216"/>
      <c r="R246" s="330"/>
      <c r="S246" s="330"/>
    </row>
    <row r="247" spans="1:19" ht="13.5">
      <c r="A247" s="330"/>
      <c r="B247" s="330"/>
      <c r="C247" s="425"/>
      <c r="D247" s="425"/>
      <c r="E247" s="426"/>
      <c r="F247" s="945"/>
      <c r="G247" s="945"/>
      <c r="H247" s="945"/>
      <c r="I247" s="945"/>
      <c r="J247" s="427"/>
      <c r="K247" s="428"/>
      <c r="L247" s="946"/>
      <c r="M247" s="946"/>
      <c r="N247" s="946"/>
      <c r="O247" s="946"/>
      <c r="P247" s="946"/>
      <c r="Q247" s="946"/>
      <c r="R247" s="330"/>
      <c r="S247" s="330"/>
    </row>
    <row r="248" spans="1:19" ht="13.5">
      <c r="A248" s="330"/>
      <c r="B248" s="330"/>
      <c r="C248" s="216"/>
      <c r="D248" s="216"/>
      <c r="E248" s="216"/>
      <c r="F248" s="956"/>
      <c r="G248" s="878"/>
      <c r="H248" s="878"/>
      <c r="I248" s="878"/>
      <c r="J248" s="216"/>
      <c r="K248" s="216"/>
      <c r="L248" s="216"/>
      <c r="M248" s="216"/>
      <c r="N248" s="216"/>
      <c r="O248" s="216"/>
      <c r="P248" s="216"/>
      <c r="Q248" s="216"/>
      <c r="R248" s="330"/>
      <c r="S248" s="330"/>
    </row>
    <row r="249" spans="1:19" ht="18">
      <c r="A249" s="330"/>
      <c r="B249" s="330"/>
      <c r="C249" s="388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943"/>
      <c r="O249" s="944"/>
      <c r="P249" s="944"/>
      <c r="Q249" s="944"/>
      <c r="R249" s="330"/>
      <c r="S249" s="330"/>
    </row>
    <row r="250" spans="1:19" ht="13.5">
      <c r="A250" s="330"/>
      <c r="B250" s="330"/>
      <c r="C250" s="425"/>
      <c r="D250" s="425"/>
      <c r="E250" s="426"/>
      <c r="F250" s="945"/>
      <c r="G250" s="945"/>
      <c r="H250" s="945"/>
      <c r="I250" s="945"/>
      <c r="J250" s="427"/>
      <c r="K250" s="428"/>
      <c r="L250" s="946"/>
      <c r="M250" s="946"/>
      <c r="N250" s="946"/>
      <c r="O250" s="946"/>
      <c r="P250" s="946"/>
      <c r="Q250" s="946"/>
      <c r="R250" s="330"/>
      <c r="S250" s="330"/>
    </row>
    <row r="251" spans="1:19" ht="13.5">
      <c r="A251" s="330"/>
      <c r="B251" s="330"/>
      <c r="C251" s="425"/>
      <c r="D251" s="425"/>
      <c r="E251" s="426"/>
      <c r="F251" s="945"/>
      <c r="G251" s="945"/>
      <c r="H251" s="945"/>
      <c r="I251" s="945"/>
      <c r="J251" s="427"/>
      <c r="K251" s="428"/>
      <c r="L251" s="946"/>
      <c r="M251" s="946"/>
      <c r="N251" s="946"/>
      <c r="O251" s="946"/>
      <c r="P251" s="946"/>
      <c r="Q251" s="946"/>
      <c r="R251" s="330"/>
      <c r="S251" s="330"/>
    </row>
    <row r="252" spans="1:19" ht="13.5">
      <c r="A252" s="330"/>
      <c r="B252" s="330"/>
      <c r="C252" s="425"/>
      <c r="D252" s="425"/>
      <c r="E252" s="426"/>
      <c r="F252" s="945"/>
      <c r="G252" s="945"/>
      <c r="H252" s="945"/>
      <c r="I252" s="945"/>
      <c r="J252" s="427"/>
      <c r="K252" s="428"/>
      <c r="L252" s="946"/>
      <c r="M252" s="946"/>
      <c r="N252" s="946"/>
      <c r="O252" s="946"/>
      <c r="P252" s="946"/>
      <c r="Q252" s="946"/>
      <c r="R252" s="330"/>
      <c r="S252" s="330"/>
    </row>
    <row r="253" spans="1:19" ht="13.5">
      <c r="A253" s="330"/>
      <c r="B253" s="330"/>
      <c r="C253" s="425"/>
      <c r="D253" s="425"/>
      <c r="E253" s="426"/>
      <c r="F253" s="945"/>
      <c r="G253" s="945"/>
      <c r="H253" s="945"/>
      <c r="I253" s="945"/>
      <c r="J253" s="427"/>
      <c r="K253" s="428"/>
      <c r="L253" s="946"/>
      <c r="M253" s="946"/>
      <c r="N253" s="946"/>
      <c r="O253" s="946"/>
      <c r="P253" s="946"/>
      <c r="Q253" s="946"/>
      <c r="R253" s="330"/>
      <c r="S253" s="330"/>
    </row>
    <row r="254" spans="1:19" ht="13.5">
      <c r="A254" s="330"/>
      <c r="B254" s="330"/>
      <c r="C254" s="425"/>
      <c r="D254" s="425"/>
      <c r="E254" s="426"/>
      <c r="F254" s="945"/>
      <c r="G254" s="945"/>
      <c r="H254" s="945"/>
      <c r="I254" s="945"/>
      <c r="J254" s="427"/>
      <c r="K254" s="428"/>
      <c r="L254" s="946"/>
      <c r="M254" s="946"/>
      <c r="N254" s="946"/>
      <c r="O254" s="946"/>
      <c r="P254" s="946"/>
      <c r="Q254" s="946"/>
      <c r="R254" s="330"/>
      <c r="S254" s="330"/>
    </row>
    <row r="255" spans="1:19" ht="13.5">
      <c r="A255" s="330"/>
      <c r="B255" s="330"/>
      <c r="C255" s="425"/>
      <c r="D255" s="425"/>
      <c r="E255" s="426"/>
      <c r="F255" s="945"/>
      <c r="G255" s="945"/>
      <c r="H255" s="945"/>
      <c r="I255" s="945"/>
      <c r="J255" s="427"/>
      <c r="K255" s="428"/>
      <c r="L255" s="946"/>
      <c r="M255" s="946"/>
      <c r="N255" s="946"/>
      <c r="O255" s="946"/>
      <c r="P255" s="946"/>
      <c r="Q255" s="946"/>
      <c r="R255" s="330"/>
      <c r="S255" s="330"/>
    </row>
    <row r="256" spans="1:19" ht="13.5">
      <c r="A256" s="330"/>
      <c r="B256" s="330"/>
      <c r="C256" s="425"/>
      <c r="D256" s="425"/>
      <c r="E256" s="426"/>
      <c r="F256" s="945"/>
      <c r="G256" s="945"/>
      <c r="H256" s="945"/>
      <c r="I256" s="945"/>
      <c r="J256" s="427"/>
      <c r="K256" s="428"/>
      <c r="L256" s="946"/>
      <c r="M256" s="946"/>
      <c r="N256" s="946"/>
      <c r="O256" s="946"/>
      <c r="P256" s="946"/>
      <c r="Q256" s="946"/>
      <c r="R256" s="330"/>
      <c r="S256" s="330"/>
    </row>
    <row r="257" spans="1:19" ht="13.5">
      <c r="A257" s="330"/>
      <c r="B257" s="330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330"/>
      <c r="S257" s="330"/>
    </row>
    <row r="258" spans="1:19" ht="13.5">
      <c r="A258" s="330"/>
      <c r="B258" s="330"/>
      <c r="C258" s="330"/>
      <c r="D258" s="330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</row>
  </sheetData>
  <sheetProtection sheet="1" objects="1" scenarios="1"/>
  <mergeCells count="292">
    <mergeCell ref="N124:Q124"/>
    <mergeCell ref="F125:I125"/>
    <mergeCell ref="N125:Q125"/>
    <mergeCell ref="L238:M238"/>
    <mergeCell ref="F236:I236"/>
    <mergeCell ref="N251:Q251"/>
    <mergeCell ref="L250:M250"/>
    <mergeCell ref="N250:Q250"/>
    <mergeCell ref="F242:I242"/>
    <mergeCell ref="F250:I250"/>
    <mergeCell ref="F251:I251"/>
    <mergeCell ref="L251:M251"/>
    <mergeCell ref="F248:I248"/>
    <mergeCell ref="L247:M247"/>
    <mergeCell ref="F233:I233"/>
    <mergeCell ref="L233:M233"/>
    <mergeCell ref="N233:Q233"/>
    <mergeCell ref="F237:I237"/>
    <mergeCell ref="N240:Q240"/>
    <mergeCell ref="F232:I232"/>
    <mergeCell ref="F243:I243"/>
    <mergeCell ref="L243:M243"/>
    <mergeCell ref="N243:Q243"/>
    <mergeCell ref="L245:M245"/>
    <mergeCell ref="N256:Q256"/>
    <mergeCell ref="F254:I254"/>
    <mergeCell ref="L254:M254"/>
    <mergeCell ref="N254:Q254"/>
    <mergeCell ref="F255:I255"/>
    <mergeCell ref="F246:I246"/>
    <mergeCell ref="F247:I247"/>
    <mergeCell ref="F256:I256"/>
    <mergeCell ref="L256:M256"/>
    <mergeCell ref="L255:M255"/>
    <mergeCell ref="N255:Q255"/>
    <mergeCell ref="F252:I252"/>
    <mergeCell ref="L252:M252"/>
    <mergeCell ref="N252:Q252"/>
    <mergeCell ref="F253:I253"/>
    <mergeCell ref="L253:M253"/>
    <mergeCell ref="N253:Q253"/>
    <mergeCell ref="N247:Q247"/>
    <mergeCell ref="N249:Q249"/>
    <mergeCell ref="N245:Q245"/>
    <mergeCell ref="F244:I244"/>
    <mergeCell ref="F245:I245"/>
    <mergeCell ref="F241:I241"/>
    <mergeCell ref="N238:Q238"/>
    <mergeCell ref="L241:M241"/>
    <mergeCell ref="N241:Q241"/>
    <mergeCell ref="F238:I238"/>
    <mergeCell ref="F239:I239"/>
    <mergeCell ref="F234:I234"/>
    <mergeCell ref="N235:Q235"/>
    <mergeCell ref="N236:Q236"/>
    <mergeCell ref="L236:M236"/>
    <mergeCell ref="F230:I230"/>
    <mergeCell ref="F231:I231"/>
    <mergeCell ref="L231:M231"/>
    <mergeCell ref="N231:Q231"/>
    <mergeCell ref="N229:Q229"/>
    <mergeCell ref="F229:I229"/>
    <mergeCell ref="L229:M229"/>
    <mergeCell ref="F224:I224"/>
    <mergeCell ref="F225:I225"/>
    <mergeCell ref="L225:M225"/>
    <mergeCell ref="N225:Q225"/>
    <mergeCell ref="F228:I228"/>
    <mergeCell ref="F226:I226"/>
    <mergeCell ref="F227:I227"/>
    <mergeCell ref="L227:M227"/>
    <mergeCell ref="N227:Q227"/>
    <mergeCell ref="N219:Q219"/>
    <mergeCell ref="F214:I214"/>
    <mergeCell ref="N215:Q215"/>
    <mergeCell ref="N210:Q210"/>
    <mergeCell ref="F211:I211"/>
    <mergeCell ref="F222:I222"/>
    <mergeCell ref="F223:I223"/>
    <mergeCell ref="L223:M223"/>
    <mergeCell ref="N223:Q223"/>
    <mergeCell ref="F218:I218"/>
    <mergeCell ref="F219:I219"/>
    <mergeCell ref="F217:I217"/>
    <mergeCell ref="L219:M219"/>
    <mergeCell ref="F216:I216"/>
    <mergeCell ref="N213:Q213"/>
    <mergeCell ref="F220:I220"/>
    <mergeCell ref="F221:I221"/>
    <mergeCell ref="L221:M221"/>
    <mergeCell ref="N221:Q221"/>
    <mergeCell ref="F212:I212"/>
    <mergeCell ref="F213:I213"/>
    <mergeCell ref="F215:I215"/>
    <mergeCell ref="L215:M215"/>
    <mergeCell ref="L213:M213"/>
    <mergeCell ref="L217:M217"/>
    <mergeCell ref="N204:Q204"/>
    <mergeCell ref="N206:Q206"/>
    <mergeCell ref="N208:Q208"/>
    <mergeCell ref="L206:M206"/>
    <mergeCell ref="L211:M211"/>
    <mergeCell ref="N211:Q211"/>
    <mergeCell ref="N217:Q217"/>
    <mergeCell ref="F203:I203"/>
    <mergeCell ref="F207:I207"/>
    <mergeCell ref="F208:I208"/>
    <mergeCell ref="L208:M208"/>
    <mergeCell ref="F204:I204"/>
    <mergeCell ref="L204:M204"/>
    <mergeCell ref="F209:I209"/>
    <mergeCell ref="F205:I205"/>
    <mergeCell ref="F206:I206"/>
    <mergeCell ref="F195:I195"/>
    <mergeCell ref="L195:M195"/>
    <mergeCell ref="N195:Q195"/>
    <mergeCell ref="F196:I196"/>
    <mergeCell ref="F194:I194"/>
    <mergeCell ref="L202:M202"/>
    <mergeCell ref="N202:Q202"/>
    <mergeCell ref="F198:I198"/>
    <mergeCell ref="F200:I200"/>
    <mergeCell ref="N201:Q201"/>
    <mergeCell ref="F202:I202"/>
    <mergeCell ref="F197:I197"/>
    <mergeCell ref="L197:M197"/>
    <mergeCell ref="N197:Q197"/>
    <mergeCell ref="F199:I199"/>
    <mergeCell ref="L199:M199"/>
    <mergeCell ref="N199:Q199"/>
    <mergeCell ref="L187:M187"/>
    <mergeCell ref="N187:Q187"/>
    <mergeCell ref="N189:Q189"/>
    <mergeCell ref="F192:I192"/>
    <mergeCell ref="F193:I193"/>
    <mergeCell ref="L193:M193"/>
    <mergeCell ref="F190:I190"/>
    <mergeCell ref="F191:I191"/>
    <mergeCell ref="L191:M191"/>
    <mergeCell ref="N191:Q191"/>
    <mergeCell ref="N193:Q193"/>
    <mergeCell ref="F189:I189"/>
    <mergeCell ref="F184:I184"/>
    <mergeCell ref="F177:I177"/>
    <mergeCell ref="F178:I178"/>
    <mergeCell ref="F175:I175"/>
    <mergeCell ref="F176:I176"/>
    <mergeCell ref="N178:Q178"/>
    <mergeCell ref="F180:I180"/>
    <mergeCell ref="L180:M180"/>
    <mergeCell ref="L189:M189"/>
    <mergeCell ref="F188:I188"/>
    <mergeCell ref="L188:M188"/>
    <mergeCell ref="F179:I179"/>
    <mergeCell ref="L178:M178"/>
    <mergeCell ref="N182:Q182"/>
    <mergeCell ref="F181:I181"/>
    <mergeCell ref="F182:I182"/>
    <mergeCell ref="L182:M182"/>
    <mergeCell ref="L183:M183"/>
    <mergeCell ref="N188:Q188"/>
    <mergeCell ref="F185:I185"/>
    <mergeCell ref="L185:M185"/>
    <mergeCell ref="N185:Q185"/>
    <mergeCell ref="F186:I186"/>
    <mergeCell ref="F187:I187"/>
    <mergeCell ref="L176:M176"/>
    <mergeCell ref="N176:Q176"/>
    <mergeCell ref="F171:I171"/>
    <mergeCell ref="N180:Q180"/>
    <mergeCell ref="F173:I173"/>
    <mergeCell ref="F174:I174"/>
    <mergeCell ref="L174:M174"/>
    <mergeCell ref="N174:Q174"/>
    <mergeCell ref="N183:Q183"/>
    <mergeCell ref="F183:I183"/>
    <mergeCell ref="F172:I172"/>
    <mergeCell ref="L172:M172"/>
    <mergeCell ref="N172:Q172"/>
    <mergeCell ref="F170:I170"/>
    <mergeCell ref="L170:M170"/>
    <mergeCell ref="N170:Q170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3:I163"/>
    <mergeCell ref="L163:M163"/>
    <mergeCell ref="N163:Q163"/>
    <mergeCell ref="F162:I162"/>
    <mergeCell ref="L162:M162"/>
    <mergeCell ref="F167:I167"/>
    <mergeCell ref="L167:M167"/>
    <mergeCell ref="N167:Q167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N158:Q158"/>
    <mergeCell ref="F160:I160"/>
    <mergeCell ref="L160:M160"/>
    <mergeCell ref="N162:Q162"/>
    <mergeCell ref="N160:Q160"/>
    <mergeCell ref="F159:I159"/>
    <mergeCell ref="N121:Q121"/>
    <mergeCell ref="F126:I126"/>
    <mergeCell ref="N157:Q157"/>
    <mergeCell ref="F158:I158"/>
    <mergeCell ref="L158:M158"/>
    <mergeCell ref="F122:I122"/>
    <mergeCell ref="N122:Q122"/>
    <mergeCell ref="L113:M113"/>
    <mergeCell ref="N113:Q113"/>
    <mergeCell ref="N115:Q115"/>
    <mergeCell ref="N116:Q116"/>
    <mergeCell ref="F117:I117"/>
    <mergeCell ref="N117:Q117"/>
    <mergeCell ref="F113:I113"/>
    <mergeCell ref="N114:Q114"/>
    <mergeCell ref="F123:I123"/>
    <mergeCell ref="N123:Q123"/>
    <mergeCell ref="F118:I118"/>
    <mergeCell ref="N118:Q118"/>
    <mergeCell ref="F119:I119"/>
    <mergeCell ref="N119:Q119"/>
    <mergeCell ref="F120:I120"/>
    <mergeCell ref="N120:Q120"/>
    <mergeCell ref="F124:I124"/>
    <mergeCell ref="M110:Q110"/>
    <mergeCell ref="M111:Q111"/>
    <mergeCell ref="C76:Q76"/>
    <mergeCell ref="H37:J37"/>
    <mergeCell ref="M37:P37"/>
    <mergeCell ref="L39:P39"/>
    <mergeCell ref="F105:P105"/>
    <mergeCell ref="N94:Q94"/>
    <mergeCell ref="F78:P78"/>
    <mergeCell ref="F79:P79"/>
    <mergeCell ref="F80:P80"/>
    <mergeCell ref="F82:J82"/>
    <mergeCell ref="M82:P82"/>
    <mergeCell ref="L96:Q96"/>
    <mergeCell ref="C102:Q102"/>
    <mergeCell ref="F104:P104"/>
    <mergeCell ref="N87:Q87"/>
    <mergeCell ref="N89:Q89"/>
    <mergeCell ref="F84:J84"/>
    <mergeCell ref="M84:Q84"/>
    <mergeCell ref="M85:Q85"/>
    <mergeCell ref="C87:G87"/>
    <mergeCell ref="N91:Q91"/>
    <mergeCell ref="N92:Q92"/>
    <mergeCell ref="H36:J36"/>
    <mergeCell ref="M36:P36"/>
    <mergeCell ref="M33:P33"/>
    <mergeCell ref="H34:J34"/>
    <mergeCell ref="M34:P34"/>
    <mergeCell ref="M28:P28"/>
    <mergeCell ref="M29:P29"/>
    <mergeCell ref="F106:P106"/>
    <mergeCell ref="M108:P108"/>
    <mergeCell ref="N90:Q90"/>
    <mergeCell ref="O13:P13"/>
    <mergeCell ref="O15:P15"/>
    <mergeCell ref="E25:P25"/>
    <mergeCell ref="H1:K1"/>
    <mergeCell ref="C2:Q2"/>
    <mergeCell ref="C4:Q4"/>
    <mergeCell ref="F6:P6"/>
    <mergeCell ref="M31:P31"/>
    <mergeCell ref="H35:J35"/>
    <mergeCell ref="M35:P35"/>
    <mergeCell ref="H33:J33"/>
    <mergeCell ref="F7:P7"/>
    <mergeCell ref="F8:P8"/>
    <mergeCell ref="O19:P19"/>
    <mergeCell ref="O21:P21"/>
    <mergeCell ref="O10:P10"/>
    <mergeCell ref="O12:P12"/>
    <mergeCell ref="O16:P16"/>
    <mergeCell ref="O18:P18"/>
    <mergeCell ref="O22:P2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77"/>
  <sheetViews>
    <sheetView showGridLines="0" view="pageBreakPreview" zoomScaleSheetLayoutView="100" workbookViewId="0" topLeftCell="A1">
      <pane ySplit="1" topLeftCell="A111" activePane="bottomLeft" state="frozen"/>
      <selection pane="topLeft" activeCell="AE69" sqref="AE69"/>
      <selection pane="bottomLeft" activeCell="L234" sqref="L115:L234"/>
    </sheetView>
  </sheetViews>
  <sheetFormatPr defaultColWidth="9.33203125" defaultRowHeight="13.5"/>
  <cols>
    <col min="1" max="1" width="8.33203125" style="447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hidden="1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262</v>
      </c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157"/>
      <c r="R7" s="453"/>
    </row>
    <row r="8" spans="1:18" s="162" customFormat="1" ht="32.85" customHeight="1">
      <c r="A8" s="454"/>
      <c r="B8" s="455"/>
      <c r="C8" s="58"/>
      <c r="D8" s="159" t="s">
        <v>102</v>
      </c>
      <c r="E8" s="58"/>
      <c r="F8" s="923" t="s">
        <v>245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1:18" s="162" customFormat="1" ht="14.45" customHeight="1">
      <c r="A9" s="454"/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1:18" s="162" customFormat="1" ht="14.45" customHeight="1">
      <c r="A10" s="454"/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1:18" s="162" customFormat="1" ht="10.9" customHeight="1">
      <c r="A11" s="454"/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1:18" s="162" customFormat="1" ht="14.45" customHeight="1">
      <c r="A12" s="454"/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1:18" s="162" customFormat="1" ht="18" customHeight="1">
      <c r="A13" s="454"/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1:18" s="162" customFormat="1" ht="6.95" customHeight="1">
      <c r="A14" s="454"/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1:18" s="162" customFormat="1" ht="14.45" customHeight="1">
      <c r="A15" s="454"/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74"/>
      <c r="P15" s="974"/>
      <c r="Q15" s="58"/>
      <c r="R15" s="456"/>
    </row>
    <row r="16" spans="1:18" s="162" customFormat="1" ht="18" customHeight="1">
      <c r="A16" s="454"/>
      <c r="B16" s="455"/>
      <c r="C16" s="58"/>
      <c r="D16" s="58"/>
      <c r="E16" s="160" t="str">
        <f>IF('[1]Rekapitulace stavby'!E14="","",'[1]Rekapitulace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74"/>
      <c r="P16" s="974"/>
      <c r="Q16" s="58"/>
      <c r="R16" s="456"/>
    </row>
    <row r="17" spans="1:18" s="162" customFormat="1" ht="6.95" customHeight="1">
      <c r="A17" s="454"/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1:18" s="162" customFormat="1" ht="14.45" customHeight="1">
      <c r="A18" s="454"/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1:18" s="162" customFormat="1" ht="18" customHeight="1">
      <c r="A19" s="454"/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1:18" s="162" customFormat="1" ht="6.95" customHeight="1">
      <c r="A20" s="454"/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1:18" s="162" customFormat="1" ht="14.45" customHeight="1">
      <c r="A21" s="454"/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1:18" s="162" customFormat="1" ht="18" customHeight="1">
      <c r="A22" s="454"/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1:18" s="162" customFormat="1" ht="6.95" customHeight="1">
      <c r="A23" s="454"/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1:18" s="162" customFormat="1" ht="14.45" customHeight="1">
      <c r="A24" s="454"/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1:18" s="162" customFormat="1" ht="180" customHeight="1">
      <c r="A25" s="454"/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1:18" s="162" customFormat="1" ht="6.95" customHeight="1">
      <c r="A26" s="454"/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1:18" s="162" customFormat="1" ht="6.95" customHeight="1">
      <c r="A27" s="454"/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1:18" s="162" customFormat="1" ht="14.45" customHeight="1">
      <c r="A28" s="454"/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1:18" s="162" customFormat="1" ht="14.45" customHeight="1">
      <c r="A29" s="454"/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1:18" s="162" customFormat="1" ht="6.95" customHeight="1">
      <c r="A30" s="454"/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1:18" s="162" customFormat="1" ht="25.35" customHeight="1">
      <c r="A31" s="454"/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1:18" s="162" customFormat="1" ht="6.95" customHeight="1">
      <c r="A32" s="454"/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1:18" s="162" customFormat="1" ht="14.45" customHeight="1">
      <c r="A33" s="454"/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1:18" s="162" customFormat="1" ht="14.45" customHeight="1">
      <c r="A34" s="454"/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f>M31</f>
        <v>0</v>
      </c>
      <c r="I34" s="973"/>
      <c r="J34" s="973"/>
      <c r="K34" s="58"/>
      <c r="L34" s="58"/>
      <c r="M34" s="975">
        <f>H34*F34</f>
        <v>0</v>
      </c>
      <c r="N34" s="973"/>
      <c r="O34" s="973"/>
      <c r="P34" s="973"/>
      <c r="Q34" s="58"/>
      <c r="R34" s="456"/>
    </row>
    <row r="35" spans="1:18" s="162" customFormat="1" ht="14.45" customHeight="1" hidden="1">
      <c r="A35" s="454"/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>ROUND((SUM(BG92:BG93)+SUM(BG112:BG245)),2)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1:18" s="162" customFormat="1" ht="14.45" customHeight="1" hidden="1">
      <c r="A36" s="454"/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>ROUND((SUM(BH92:BH93)+SUM(BH112:BH245)),2)</f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1:18" s="162" customFormat="1" ht="14.45" customHeight="1" hidden="1">
      <c r="A37" s="454"/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>ROUND((SUM(BI92:BI93)+SUM(BI112:BI245)),2)</f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1:18" s="162" customFormat="1" ht="6.95" customHeight="1">
      <c r="A38" s="454"/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1:18" s="162" customFormat="1" ht="25.35" customHeight="1">
      <c r="A39" s="454"/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1:18" s="162" customFormat="1" ht="14.45" customHeight="1" hidden="1">
      <c r="A40" s="454"/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1:18" s="162" customFormat="1" ht="14.45" customHeight="1" hidden="1">
      <c r="A41" s="454"/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1:18" s="162" customFormat="1" ht="15">
      <c r="A50" s="454"/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1:18" s="162" customFormat="1" ht="15">
      <c r="A59" s="454"/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1:18" s="162" customFormat="1" ht="15">
      <c r="A61" s="454"/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1:18" s="162" customFormat="1" ht="15">
      <c r="A70" s="454"/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1:18" s="58" customFormat="1" ht="14.45" customHeight="1">
      <c r="A71" s="457"/>
      <c r="B71" s="455"/>
      <c r="R71" s="456"/>
    </row>
    <row r="75" spans="1:18" s="162" customFormat="1" ht="6.95" customHeight="1">
      <c r="A75" s="454"/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1:18" s="162" customFormat="1" ht="36.95" customHeight="1">
      <c r="A76" s="454"/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1:18" s="162" customFormat="1" ht="6.95" customHeight="1">
      <c r="A77" s="454"/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1:18" s="162" customFormat="1" ht="30" customHeight="1">
      <c r="A78" s="454"/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19" t="s">
        <v>262</v>
      </c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157"/>
      <c r="R79" s="453"/>
    </row>
    <row r="80" spans="1:18" s="162" customFormat="1" ht="36.95" customHeight="1">
      <c r="A80" s="454"/>
      <c r="B80" s="455"/>
      <c r="C80" s="174" t="s">
        <v>102</v>
      </c>
      <c r="D80" s="58"/>
      <c r="E80" s="58"/>
      <c r="F80" s="910" t="str">
        <f>F8</f>
        <v>01 - BOURACÍ PRÁCE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1:18" s="162" customFormat="1" ht="6.95" customHeight="1">
      <c r="A81" s="454"/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1:18" s="162" customFormat="1" ht="36.75" customHeight="1">
      <c r="A82" s="454"/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1:18" s="162" customFormat="1" ht="13.9" customHeight="1">
      <c r="A83" s="454"/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1:18" s="162" customFormat="1" ht="20.45" customHeight="1">
      <c r="A84" s="454"/>
      <c r="B84" s="455"/>
      <c r="C84" s="158" t="s">
        <v>20</v>
      </c>
      <c r="D84" s="58"/>
      <c r="E84" s="58"/>
      <c r="F84" s="978" t="str">
        <f>F12</f>
        <v>R-MOSTY, Z.S.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1:18" s="162" customFormat="1" ht="14.45" customHeight="1">
      <c r="A85" s="454"/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1:18" s="162" customFormat="1" ht="10.35" customHeight="1">
      <c r="A86" s="454"/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1:18" s="162" customFormat="1" ht="29.25" customHeight="1">
      <c r="A87" s="454"/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1:18" s="162" customFormat="1" ht="10.35" customHeight="1">
      <c r="A88" s="454"/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1:47" s="162" customFormat="1" ht="29.25" customHeight="1">
      <c r="A89" s="454"/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982"/>
      <c r="P89" s="982"/>
      <c r="Q89" s="982"/>
      <c r="R89" s="456"/>
      <c r="AU89" s="448" t="s">
        <v>109</v>
      </c>
    </row>
    <row r="90" spans="1:18" s="464" customFormat="1" ht="24.95" customHeight="1">
      <c r="A90" s="461"/>
      <c r="B90" s="462"/>
      <c r="C90" s="59"/>
      <c r="D90" s="176" t="str">
        <f>F80</f>
        <v>01 - BOURACÍ PRÁCE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1:18" s="162" customFormat="1" ht="21.75" customHeight="1">
      <c r="A91" s="454"/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1:21" s="162" customFormat="1" ht="29.25" customHeight="1">
      <c r="A92" s="454"/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2">
        <v>0</v>
      </c>
      <c r="O92" s="983"/>
      <c r="P92" s="983"/>
      <c r="Q92" s="983"/>
      <c r="R92" s="456"/>
      <c r="T92" s="465"/>
      <c r="U92" s="466" t="s">
        <v>33</v>
      </c>
    </row>
    <row r="93" spans="1:18" s="162" customFormat="1" ht="18" customHeight="1">
      <c r="A93" s="454"/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1:18" s="162" customFormat="1" ht="29.25" customHeight="1">
      <c r="A94" s="454"/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1:18" s="162" customFormat="1" ht="6.95" customHeight="1">
      <c r="A95" s="454"/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1:18" s="162" customFormat="1" ht="6.95" customHeight="1">
      <c r="A99" s="454"/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1:18" s="162" customFormat="1" ht="36.95" customHeight="1">
      <c r="A100" s="454"/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</row>
    <row r="101" spans="1:18" s="162" customFormat="1" ht="6.95" customHeight="1">
      <c r="A101" s="454"/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1:18" s="162" customFormat="1" ht="30" customHeight="1">
      <c r="A102" s="454"/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19" t="s">
        <v>262</v>
      </c>
      <c r="G103" s="922"/>
      <c r="H103" s="922"/>
      <c r="I103" s="922"/>
      <c r="J103" s="922"/>
      <c r="K103" s="922"/>
      <c r="L103" s="922"/>
      <c r="M103" s="922"/>
      <c r="N103" s="922"/>
      <c r="O103" s="922"/>
      <c r="P103" s="922"/>
      <c r="Q103" s="157"/>
      <c r="R103" s="453"/>
    </row>
    <row r="104" spans="1:18" s="162" customFormat="1" ht="36.95" customHeight="1">
      <c r="A104" s="454"/>
      <c r="B104" s="455"/>
      <c r="C104" s="174" t="s">
        <v>102</v>
      </c>
      <c r="D104" s="58"/>
      <c r="E104" s="58"/>
      <c r="F104" s="910" t="str">
        <f>F8</f>
        <v>01 - BOURACÍ PRÁCE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</row>
    <row r="105" spans="1:18" s="162" customFormat="1" ht="6.95" customHeight="1">
      <c r="A105" s="454"/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1:18" s="162" customFormat="1" ht="18" customHeight="1">
      <c r="A106" s="454"/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</row>
    <row r="107" spans="1:18" s="162" customFormat="1" ht="6.95" customHeight="1">
      <c r="A107" s="454"/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1:18" s="162" customFormat="1" ht="15">
      <c r="A108" s="454"/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</row>
    <row r="109" spans="1:18" s="162" customFormat="1" ht="14.45" customHeight="1">
      <c r="A109" s="454"/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</row>
    <row r="110" spans="1:18" s="162" customFormat="1" ht="10.35" customHeight="1">
      <c r="A110" s="454"/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1:27" s="472" customFormat="1" ht="29.25" customHeight="1">
      <c r="A111" s="469"/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1:63" s="162" customFormat="1" ht="29.25" customHeight="1">
      <c r="A112" s="454"/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W113+#REF!+#REF!+#REF!+#REF!+W173+W205+W214+#REF!+#REF!+W238</f>
        <v>#REF!</v>
      </c>
      <c r="X112" s="85"/>
      <c r="Y112" s="474" t="e">
        <f>Y113+#REF!+#REF!+#REF!+#REF!+Y173+Y205+Y214+#REF!+#REF!+Y238</f>
        <v>#REF!</v>
      </c>
      <c r="Z112" s="85"/>
      <c r="AA112" s="475" t="e">
        <f>AA113+#REF!+#REF!+#REF!+#REF!+AA173+AA205+AA214+#REF!+#REF!+AA238</f>
        <v>#REF!</v>
      </c>
      <c r="AU112" s="448" t="s">
        <v>109</v>
      </c>
      <c r="BK112" s="476" t="e">
        <f>BK113+#REF!+#REF!+#REF!+#REF!+BK173+BK205+BK214+#REF!+#REF!+BK238</f>
        <v>#REF!</v>
      </c>
    </row>
    <row r="113" spans="1:63" s="398" customFormat="1" ht="37.35" customHeight="1">
      <c r="A113" s="477"/>
      <c r="B113" s="399"/>
      <c r="C113" s="181"/>
      <c r="D113" s="105" t="str">
        <f>F104</f>
        <v>01 - BOURACÍ PRÁCE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71">
        <f>SUM(N114:Q240)</f>
        <v>0</v>
      </c>
      <c r="O113" s="926"/>
      <c r="P113" s="926"/>
      <c r="Q113" s="926"/>
      <c r="R113" s="400"/>
      <c r="S113" s="181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D113" s="478"/>
      <c r="AU113" s="405" t="s">
        <v>69</v>
      </c>
      <c r="AY113" s="404" t="s">
        <v>125</v>
      </c>
      <c r="BK113" s="406" t="e">
        <f>SUM(#REF!)</f>
        <v>#REF!</v>
      </c>
    </row>
    <row r="114" spans="1:65" s="162" customFormat="1" ht="32.25" customHeight="1">
      <c r="A114" s="457"/>
      <c r="B114" s="455"/>
      <c r="C114" s="181"/>
      <c r="D114" s="105" t="s">
        <v>764</v>
      </c>
      <c r="E114" s="105"/>
      <c r="F114" s="105"/>
      <c r="G114" s="105"/>
      <c r="H114" s="105"/>
      <c r="I114" s="105"/>
      <c r="J114" s="479"/>
      <c r="K114" s="480"/>
      <c r="L114" s="105"/>
      <c r="M114" s="105"/>
      <c r="N114" s="481"/>
      <c r="O114" s="482"/>
      <c r="P114" s="482"/>
      <c r="Q114" s="482"/>
      <c r="R114" s="456"/>
      <c r="S114" s="58"/>
      <c r="T114" s="483"/>
      <c r="U114" s="221"/>
      <c r="V114" s="408"/>
      <c r="W114" s="408"/>
      <c r="X114" s="408"/>
      <c r="Y114" s="408"/>
      <c r="Z114" s="408"/>
      <c r="AA114" s="409"/>
      <c r="AU114" s="448"/>
      <c r="AY114" s="448"/>
      <c r="BE114" s="484"/>
      <c r="BF114" s="484"/>
      <c r="BG114" s="484"/>
      <c r="BH114" s="484"/>
      <c r="BI114" s="484"/>
      <c r="BJ114" s="448"/>
      <c r="BK114" s="484"/>
      <c r="BL114" s="448"/>
      <c r="BM114" s="448"/>
    </row>
    <row r="115" spans="1:65" s="162" customFormat="1" ht="32.25" customHeight="1">
      <c r="A115" s="457"/>
      <c r="B115" s="455"/>
      <c r="C115" s="485" t="s">
        <v>207</v>
      </c>
      <c r="D115" s="486"/>
      <c r="E115" s="195" t="s">
        <v>1504</v>
      </c>
      <c r="F115" s="964" t="s">
        <v>284</v>
      </c>
      <c r="G115" s="964"/>
      <c r="H115" s="964"/>
      <c r="I115" s="964"/>
      <c r="J115" s="487" t="s">
        <v>127</v>
      </c>
      <c r="K115" s="81">
        <f>80.6*2.25+2.01*2*5+1.25*5+0.88*8</f>
        <v>214.73999999999998</v>
      </c>
      <c r="L115" s="21"/>
      <c r="M115" s="105"/>
      <c r="N115" s="948">
        <f aca="true" t="shared" si="0" ref="N115:N134">ROUND(L115*K115,2)</f>
        <v>0</v>
      </c>
      <c r="O115" s="948"/>
      <c r="P115" s="948"/>
      <c r="Q115" s="948"/>
      <c r="R115" s="456"/>
      <c r="S115" s="58"/>
      <c r="T115" s="483"/>
      <c r="U115" s="221"/>
      <c r="V115" s="408"/>
      <c r="W115" s="408"/>
      <c r="X115" s="408"/>
      <c r="Y115" s="408"/>
      <c r="Z115" s="408"/>
      <c r="AA115" s="409"/>
      <c r="AU115" s="448"/>
      <c r="AY115" s="448"/>
      <c r="BE115" s="484"/>
      <c r="BF115" s="484"/>
      <c r="BG115" s="484"/>
      <c r="BH115" s="484"/>
      <c r="BI115" s="484"/>
      <c r="BJ115" s="448"/>
      <c r="BK115" s="484"/>
      <c r="BL115" s="448"/>
      <c r="BM115" s="448"/>
    </row>
    <row r="116" spans="1:65" s="162" customFormat="1" ht="32.25" customHeight="1">
      <c r="A116" s="457"/>
      <c r="B116" s="455"/>
      <c r="C116" s="485" t="s">
        <v>208</v>
      </c>
      <c r="D116" s="486"/>
      <c r="E116" s="195" t="s">
        <v>1505</v>
      </c>
      <c r="F116" s="964" t="s">
        <v>285</v>
      </c>
      <c r="G116" s="964"/>
      <c r="H116" s="964"/>
      <c r="I116" s="964"/>
      <c r="J116" s="487" t="s">
        <v>127</v>
      </c>
      <c r="K116" s="81">
        <f>4*4.3*2.5+2.84*4.43*4+2.88*3+2.85+2.71</f>
        <v>107.52479999999998</v>
      </c>
      <c r="L116" s="21"/>
      <c r="M116" s="105"/>
      <c r="N116" s="948">
        <f t="shared" si="0"/>
        <v>0</v>
      </c>
      <c r="O116" s="948"/>
      <c r="P116" s="948"/>
      <c r="Q116" s="948"/>
      <c r="R116" s="456"/>
      <c r="S116" s="58"/>
      <c r="T116" s="483"/>
      <c r="U116" s="221"/>
      <c r="V116" s="408"/>
      <c r="W116" s="408"/>
      <c r="X116" s="408"/>
      <c r="Y116" s="408"/>
      <c r="Z116" s="408"/>
      <c r="AA116" s="409"/>
      <c r="AU116" s="448"/>
      <c r="AY116" s="448"/>
      <c r="BE116" s="484"/>
      <c r="BF116" s="484"/>
      <c r="BG116" s="484"/>
      <c r="BH116" s="484"/>
      <c r="BI116" s="484"/>
      <c r="BJ116" s="448"/>
      <c r="BK116" s="484"/>
      <c r="BL116" s="448"/>
      <c r="BM116" s="448"/>
    </row>
    <row r="117" spans="1:65" s="162" customFormat="1" ht="32.25" customHeight="1">
      <c r="A117" s="457"/>
      <c r="B117" s="455"/>
      <c r="C117" s="485" t="s">
        <v>209</v>
      </c>
      <c r="D117" s="486"/>
      <c r="E117" s="195" t="s">
        <v>1506</v>
      </c>
      <c r="F117" s="964" t="s">
        <v>288</v>
      </c>
      <c r="G117" s="964"/>
      <c r="H117" s="964"/>
      <c r="I117" s="964"/>
      <c r="J117" s="487" t="s">
        <v>129</v>
      </c>
      <c r="K117" s="81">
        <f>1.5*0.3*2.73-1.95*0.15*0.9</f>
        <v>0.9652499999999999</v>
      </c>
      <c r="L117" s="21"/>
      <c r="M117" s="105"/>
      <c r="N117" s="948">
        <f>ROUND(L117*K117,2)</f>
        <v>0</v>
      </c>
      <c r="O117" s="948"/>
      <c r="P117" s="948"/>
      <c r="Q117" s="948"/>
      <c r="R117" s="456"/>
      <c r="S117" s="58"/>
      <c r="T117" s="483"/>
      <c r="U117" s="221"/>
      <c r="V117" s="408"/>
      <c r="W117" s="408"/>
      <c r="X117" s="408"/>
      <c r="Y117" s="408"/>
      <c r="Z117" s="408"/>
      <c r="AA117" s="409"/>
      <c r="AU117" s="448"/>
      <c r="AY117" s="448"/>
      <c r="BE117" s="484"/>
      <c r="BF117" s="484"/>
      <c r="BG117" s="484"/>
      <c r="BH117" s="484"/>
      <c r="BI117" s="484"/>
      <c r="BJ117" s="448"/>
      <c r="BK117" s="484"/>
      <c r="BL117" s="448"/>
      <c r="BM117" s="448"/>
    </row>
    <row r="118" spans="1:65" s="162" customFormat="1" ht="32.25" customHeight="1">
      <c r="A118" s="457"/>
      <c r="B118" s="455"/>
      <c r="C118" s="485" t="s">
        <v>210</v>
      </c>
      <c r="D118" s="486"/>
      <c r="E118" s="195" t="s">
        <v>1507</v>
      </c>
      <c r="F118" s="964" t="s">
        <v>286</v>
      </c>
      <c r="G118" s="964"/>
      <c r="H118" s="964"/>
      <c r="I118" s="964"/>
      <c r="J118" s="487" t="s">
        <v>129</v>
      </c>
      <c r="K118" s="81">
        <f>10.4*0.195</f>
        <v>2.028</v>
      </c>
      <c r="L118" s="21"/>
      <c r="M118" s="105"/>
      <c r="N118" s="948">
        <f t="shared" si="0"/>
        <v>0</v>
      </c>
      <c r="O118" s="948"/>
      <c r="P118" s="948"/>
      <c r="Q118" s="948"/>
      <c r="R118" s="456"/>
      <c r="S118" s="58"/>
      <c r="T118" s="483"/>
      <c r="U118" s="221"/>
      <c r="V118" s="408"/>
      <c r="W118" s="408"/>
      <c r="X118" s="408"/>
      <c r="Y118" s="408"/>
      <c r="Z118" s="408"/>
      <c r="AA118" s="409"/>
      <c r="AU118" s="448"/>
      <c r="AY118" s="448"/>
      <c r="BE118" s="484"/>
      <c r="BF118" s="484"/>
      <c r="BG118" s="484"/>
      <c r="BH118" s="484"/>
      <c r="BI118" s="484"/>
      <c r="BJ118" s="448"/>
      <c r="BK118" s="484"/>
      <c r="BL118" s="448"/>
      <c r="BM118" s="448"/>
    </row>
    <row r="119" spans="1:65" s="162" customFormat="1" ht="32.25" customHeight="1">
      <c r="A119" s="457"/>
      <c r="B119" s="455"/>
      <c r="C119" s="485" t="s">
        <v>211</v>
      </c>
      <c r="D119" s="486"/>
      <c r="E119" s="195" t="s">
        <v>1508</v>
      </c>
      <c r="F119" s="964" t="s">
        <v>287</v>
      </c>
      <c r="G119" s="964"/>
      <c r="H119" s="964"/>
      <c r="I119" s="964"/>
      <c r="J119" s="487" t="s">
        <v>129</v>
      </c>
      <c r="K119" s="81">
        <f>0.82*2.58*0.15</f>
        <v>0.31734</v>
      </c>
      <c r="L119" s="21"/>
      <c r="M119" s="105"/>
      <c r="N119" s="948">
        <f t="shared" si="0"/>
        <v>0</v>
      </c>
      <c r="O119" s="948"/>
      <c r="P119" s="948"/>
      <c r="Q119" s="948"/>
      <c r="R119" s="456"/>
      <c r="S119" s="58"/>
      <c r="T119" s="483"/>
      <c r="U119" s="221"/>
      <c r="V119" s="408"/>
      <c r="W119" s="408"/>
      <c r="X119" s="408"/>
      <c r="Y119" s="408"/>
      <c r="Z119" s="408"/>
      <c r="AA119" s="409"/>
      <c r="AU119" s="448"/>
      <c r="AY119" s="448"/>
      <c r="BE119" s="484"/>
      <c r="BF119" s="484"/>
      <c r="BG119" s="484"/>
      <c r="BH119" s="484"/>
      <c r="BI119" s="484"/>
      <c r="BJ119" s="448"/>
      <c r="BK119" s="484"/>
      <c r="BL119" s="448"/>
      <c r="BM119" s="448"/>
    </row>
    <row r="120" spans="1:65" s="162" customFormat="1" ht="32.25" customHeight="1">
      <c r="A120" s="457"/>
      <c r="B120" s="455"/>
      <c r="C120" s="485" t="s">
        <v>212</v>
      </c>
      <c r="D120" s="486"/>
      <c r="E120" s="195" t="s">
        <v>1509</v>
      </c>
      <c r="F120" s="964" t="s">
        <v>451</v>
      </c>
      <c r="G120" s="964"/>
      <c r="H120" s="964"/>
      <c r="I120" s="964"/>
      <c r="J120" s="487" t="s">
        <v>129</v>
      </c>
      <c r="K120" s="81">
        <f>3.42*0.2*0.415*2+3.42*0.2*0.2*4+3.42*0.4*0.28</f>
        <v>1.4979600000000002</v>
      </c>
      <c r="L120" s="21"/>
      <c r="M120" s="105"/>
      <c r="N120" s="948">
        <f t="shared" si="0"/>
        <v>0</v>
      </c>
      <c r="O120" s="948"/>
      <c r="P120" s="948"/>
      <c r="Q120" s="948"/>
      <c r="R120" s="456"/>
      <c r="S120" s="58"/>
      <c r="T120" s="483"/>
      <c r="U120" s="221"/>
      <c r="V120" s="408"/>
      <c r="W120" s="408"/>
      <c r="X120" s="408"/>
      <c r="Y120" s="408"/>
      <c r="Z120" s="408"/>
      <c r="AA120" s="409"/>
      <c r="AU120" s="448"/>
      <c r="AY120" s="448"/>
      <c r="BE120" s="484"/>
      <c r="BF120" s="484"/>
      <c r="BG120" s="484"/>
      <c r="BH120" s="484"/>
      <c r="BI120" s="484"/>
      <c r="BJ120" s="448"/>
      <c r="BK120" s="484"/>
      <c r="BL120" s="448"/>
      <c r="BM120" s="448"/>
    </row>
    <row r="121" spans="1:65" s="162" customFormat="1" ht="32.25" customHeight="1">
      <c r="A121" s="457"/>
      <c r="B121" s="455"/>
      <c r="C121" s="485" t="s">
        <v>213</v>
      </c>
      <c r="D121" s="486"/>
      <c r="E121" s="195" t="s">
        <v>1510</v>
      </c>
      <c r="F121" s="964" t="s">
        <v>289</v>
      </c>
      <c r="G121" s="964"/>
      <c r="H121" s="964"/>
      <c r="I121" s="964"/>
      <c r="J121" s="487" t="s">
        <v>129</v>
      </c>
      <c r="K121" s="81">
        <f>1.35*1.68</f>
        <v>2.2680000000000002</v>
      </c>
      <c r="L121" s="21"/>
      <c r="M121" s="105"/>
      <c r="N121" s="948">
        <f t="shared" si="0"/>
        <v>0</v>
      </c>
      <c r="O121" s="948"/>
      <c r="P121" s="948"/>
      <c r="Q121" s="948"/>
      <c r="R121" s="456"/>
      <c r="S121" s="58"/>
      <c r="T121" s="483"/>
      <c r="U121" s="221"/>
      <c r="V121" s="408"/>
      <c r="W121" s="408"/>
      <c r="X121" s="408"/>
      <c r="Y121" s="408"/>
      <c r="Z121" s="408"/>
      <c r="AA121" s="409"/>
      <c r="AU121" s="448"/>
      <c r="AY121" s="448"/>
      <c r="BE121" s="484"/>
      <c r="BF121" s="484"/>
      <c r="BG121" s="484"/>
      <c r="BH121" s="484"/>
      <c r="BI121" s="484"/>
      <c r="BJ121" s="448"/>
      <c r="BK121" s="484"/>
      <c r="BL121" s="448"/>
      <c r="BM121" s="448"/>
    </row>
    <row r="122" spans="1:65" s="162" customFormat="1" ht="32.25" customHeight="1">
      <c r="A122" s="457"/>
      <c r="B122" s="455"/>
      <c r="C122" s="485" t="s">
        <v>214</v>
      </c>
      <c r="D122" s="486"/>
      <c r="E122" s="195" t="s">
        <v>1511</v>
      </c>
      <c r="F122" s="964" t="s">
        <v>290</v>
      </c>
      <c r="G122" s="964"/>
      <c r="H122" s="964"/>
      <c r="I122" s="964"/>
      <c r="J122" s="487" t="s">
        <v>129</v>
      </c>
      <c r="K122" s="81">
        <f>14.05*0.5</f>
        <v>7.025</v>
      </c>
      <c r="L122" s="21"/>
      <c r="M122" s="105"/>
      <c r="N122" s="948">
        <f t="shared" si="0"/>
        <v>0</v>
      </c>
      <c r="O122" s="948"/>
      <c r="P122" s="948"/>
      <c r="Q122" s="948"/>
      <c r="R122" s="456"/>
      <c r="S122" s="58"/>
      <c r="T122" s="483"/>
      <c r="U122" s="221"/>
      <c r="V122" s="408"/>
      <c r="W122" s="408"/>
      <c r="X122" s="408"/>
      <c r="Y122" s="408"/>
      <c r="Z122" s="408"/>
      <c r="AA122" s="409"/>
      <c r="AU122" s="448"/>
      <c r="AY122" s="448"/>
      <c r="BE122" s="484"/>
      <c r="BF122" s="484"/>
      <c r="BG122" s="484"/>
      <c r="BH122" s="484"/>
      <c r="BI122" s="484"/>
      <c r="BJ122" s="448"/>
      <c r="BK122" s="484"/>
      <c r="BL122" s="448"/>
      <c r="BM122" s="448"/>
    </row>
    <row r="123" spans="1:65" s="162" customFormat="1" ht="32.25" customHeight="1">
      <c r="A123" s="457"/>
      <c r="B123" s="455"/>
      <c r="C123" s="485" t="s">
        <v>215</v>
      </c>
      <c r="D123" s="486"/>
      <c r="E123" s="195" t="s">
        <v>1512</v>
      </c>
      <c r="F123" s="957" t="s">
        <v>975</v>
      </c>
      <c r="G123" s="958"/>
      <c r="H123" s="958"/>
      <c r="I123" s="959"/>
      <c r="J123" s="487" t="s">
        <v>127</v>
      </c>
      <c r="K123" s="81">
        <f>10.5</f>
        <v>10.5</v>
      </c>
      <c r="L123" s="21"/>
      <c r="M123" s="105"/>
      <c r="N123" s="948">
        <f aca="true" t="shared" si="1" ref="N123">ROUND(L123*K123,2)</f>
        <v>0</v>
      </c>
      <c r="O123" s="948"/>
      <c r="P123" s="948"/>
      <c r="Q123" s="948"/>
      <c r="R123" s="456"/>
      <c r="S123" s="58"/>
      <c r="T123" s="483"/>
      <c r="U123" s="221"/>
      <c r="V123" s="408"/>
      <c r="W123" s="408"/>
      <c r="X123" s="408"/>
      <c r="Y123" s="408"/>
      <c r="Z123" s="408"/>
      <c r="AA123" s="409"/>
      <c r="AU123" s="448"/>
      <c r="AY123" s="448"/>
      <c r="BE123" s="484"/>
      <c r="BF123" s="484"/>
      <c r="BG123" s="484"/>
      <c r="BH123" s="484"/>
      <c r="BI123" s="484"/>
      <c r="BJ123" s="448"/>
      <c r="BK123" s="484"/>
      <c r="BL123" s="448"/>
      <c r="BM123" s="448"/>
    </row>
    <row r="124" spans="1:65" s="162" customFormat="1" ht="32.25" customHeight="1">
      <c r="A124" s="457"/>
      <c r="B124" s="455"/>
      <c r="C124" s="485" t="s">
        <v>216</v>
      </c>
      <c r="D124" s="486"/>
      <c r="E124" s="195" t="s">
        <v>1513</v>
      </c>
      <c r="F124" s="964" t="s">
        <v>291</v>
      </c>
      <c r="G124" s="964"/>
      <c r="H124" s="964"/>
      <c r="I124" s="964"/>
      <c r="J124" s="487" t="s">
        <v>129</v>
      </c>
      <c r="K124" s="81">
        <f>(54.4+55.3)*0.14</f>
        <v>15.358</v>
      </c>
      <c r="L124" s="21"/>
      <c r="M124" s="105"/>
      <c r="N124" s="948">
        <f t="shared" si="0"/>
        <v>0</v>
      </c>
      <c r="O124" s="948"/>
      <c r="P124" s="948"/>
      <c r="Q124" s="948"/>
      <c r="R124" s="456"/>
      <c r="S124" s="58"/>
      <c r="T124" s="483"/>
      <c r="U124" s="221"/>
      <c r="V124" s="408"/>
      <c r="W124" s="408"/>
      <c r="X124" s="408"/>
      <c r="Y124" s="408"/>
      <c r="Z124" s="408"/>
      <c r="AA124" s="409"/>
      <c r="AU124" s="448"/>
      <c r="AY124" s="448"/>
      <c r="BE124" s="484"/>
      <c r="BF124" s="484"/>
      <c r="BG124" s="484"/>
      <c r="BH124" s="484"/>
      <c r="BI124" s="484"/>
      <c r="BJ124" s="448"/>
      <c r="BK124" s="484"/>
      <c r="BL124" s="448"/>
      <c r="BM124" s="448"/>
    </row>
    <row r="125" spans="1:65" s="162" customFormat="1" ht="32.25" customHeight="1">
      <c r="A125" s="457"/>
      <c r="B125" s="455"/>
      <c r="C125" s="485" t="s">
        <v>217</v>
      </c>
      <c r="D125" s="486"/>
      <c r="E125" s="195" t="s">
        <v>1514</v>
      </c>
      <c r="F125" s="957" t="s">
        <v>976</v>
      </c>
      <c r="G125" s="958"/>
      <c r="H125" s="958"/>
      <c r="I125" s="959"/>
      <c r="J125" s="487" t="s">
        <v>129</v>
      </c>
      <c r="K125" s="81">
        <f>7.5*0.25</f>
        <v>1.875</v>
      </c>
      <c r="L125" s="21"/>
      <c r="M125" s="105"/>
      <c r="N125" s="948">
        <f aca="true" t="shared" si="2" ref="N125">ROUND(L125*K125,2)</f>
        <v>0</v>
      </c>
      <c r="O125" s="948"/>
      <c r="P125" s="948"/>
      <c r="Q125" s="948"/>
      <c r="R125" s="456"/>
      <c r="S125" s="58"/>
      <c r="T125" s="483"/>
      <c r="U125" s="221"/>
      <c r="V125" s="408"/>
      <c r="W125" s="408"/>
      <c r="X125" s="408"/>
      <c r="Y125" s="408"/>
      <c r="Z125" s="408"/>
      <c r="AA125" s="409"/>
      <c r="AU125" s="448"/>
      <c r="AY125" s="448"/>
      <c r="BE125" s="484"/>
      <c r="BF125" s="484"/>
      <c r="BG125" s="484"/>
      <c r="BH125" s="484"/>
      <c r="BI125" s="484"/>
      <c r="BJ125" s="448"/>
      <c r="BK125" s="484"/>
      <c r="BL125" s="448"/>
      <c r="BM125" s="448"/>
    </row>
    <row r="126" spans="1:65" s="162" customFormat="1" ht="32.25" customHeight="1">
      <c r="A126" s="457"/>
      <c r="B126" s="455"/>
      <c r="C126" s="485" t="s">
        <v>218</v>
      </c>
      <c r="D126" s="486"/>
      <c r="E126" s="195" t="s">
        <v>1515</v>
      </c>
      <c r="F126" s="964" t="s">
        <v>292</v>
      </c>
      <c r="G126" s="968"/>
      <c r="H126" s="968"/>
      <c r="I126" s="968"/>
      <c r="J126" s="487" t="s">
        <v>198</v>
      </c>
      <c r="K126" s="81">
        <v>1</v>
      </c>
      <c r="L126" s="21"/>
      <c r="M126" s="105"/>
      <c r="N126" s="948">
        <f t="shared" si="0"/>
        <v>0</v>
      </c>
      <c r="O126" s="948"/>
      <c r="P126" s="948"/>
      <c r="Q126" s="948"/>
      <c r="R126" s="456"/>
      <c r="S126" s="58"/>
      <c r="T126" s="483"/>
      <c r="U126" s="221"/>
      <c r="V126" s="408"/>
      <c r="W126" s="408"/>
      <c r="X126" s="408"/>
      <c r="Y126" s="408"/>
      <c r="Z126" s="408"/>
      <c r="AA126" s="409"/>
      <c r="AU126" s="448"/>
      <c r="AY126" s="448"/>
      <c r="BE126" s="484"/>
      <c r="BF126" s="484"/>
      <c r="BG126" s="484"/>
      <c r="BH126" s="484"/>
      <c r="BI126" s="484"/>
      <c r="BJ126" s="448"/>
      <c r="BK126" s="484"/>
      <c r="BL126" s="448"/>
      <c r="BM126" s="448"/>
    </row>
    <row r="127" spans="1:65" s="162" customFormat="1" ht="32.25" customHeight="1">
      <c r="A127" s="457"/>
      <c r="B127" s="455"/>
      <c r="C127" s="485" t="s">
        <v>219</v>
      </c>
      <c r="D127" s="486"/>
      <c r="E127" s="195" t="s">
        <v>1516</v>
      </c>
      <c r="F127" s="964" t="s">
        <v>452</v>
      </c>
      <c r="G127" s="964"/>
      <c r="H127" s="964"/>
      <c r="I127" s="964"/>
      <c r="J127" s="487" t="s">
        <v>198</v>
      </c>
      <c r="K127" s="81">
        <v>1</v>
      </c>
      <c r="L127" s="21"/>
      <c r="M127" s="105"/>
      <c r="N127" s="948">
        <f t="shared" si="0"/>
        <v>0</v>
      </c>
      <c r="O127" s="948"/>
      <c r="P127" s="948"/>
      <c r="Q127" s="948"/>
      <c r="R127" s="456"/>
      <c r="S127" s="58"/>
      <c r="T127" s="483"/>
      <c r="U127" s="221"/>
      <c r="V127" s="408"/>
      <c r="W127" s="408"/>
      <c r="X127" s="408"/>
      <c r="Y127" s="408"/>
      <c r="Z127" s="408"/>
      <c r="AA127" s="409"/>
      <c r="AU127" s="448"/>
      <c r="AY127" s="448"/>
      <c r="BE127" s="484"/>
      <c r="BF127" s="484"/>
      <c r="BG127" s="484"/>
      <c r="BH127" s="484"/>
      <c r="BI127" s="484"/>
      <c r="BJ127" s="448"/>
      <c r="BK127" s="484"/>
      <c r="BL127" s="448"/>
      <c r="BM127" s="448"/>
    </row>
    <row r="128" spans="1:65" s="497" customFormat="1" ht="32.25" customHeight="1">
      <c r="A128" s="488"/>
      <c r="B128" s="489"/>
      <c r="C128" s="485" t="s">
        <v>220</v>
      </c>
      <c r="D128" s="490"/>
      <c r="E128" s="195" t="s">
        <v>1517</v>
      </c>
      <c r="F128" s="960" t="s">
        <v>243</v>
      </c>
      <c r="G128" s="965"/>
      <c r="H128" s="965"/>
      <c r="I128" s="965"/>
      <c r="J128" s="94" t="s">
        <v>129</v>
      </c>
      <c r="K128" s="82">
        <f>K129*0.05</f>
        <v>2.71263915</v>
      </c>
      <c r="L128" s="21"/>
      <c r="M128" s="105"/>
      <c r="N128" s="966">
        <f t="shared" si="0"/>
        <v>0</v>
      </c>
      <c r="O128" s="966"/>
      <c r="P128" s="966"/>
      <c r="Q128" s="966"/>
      <c r="R128" s="491"/>
      <c r="S128" s="492"/>
      <c r="T128" s="493"/>
      <c r="U128" s="494"/>
      <c r="V128" s="495"/>
      <c r="W128" s="495"/>
      <c r="X128" s="495"/>
      <c r="Y128" s="495"/>
      <c r="Z128" s="495"/>
      <c r="AA128" s="496"/>
      <c r="AC128" s="162"/>
      <c r="AD128" s="162"/>
      <c r="AE128" s="162"/>
      <c r="AU128" s="498"/>
      <c r="AY128" s="498"/>
      <c r="BE128" s="499"/>
      <c r="BF128" s="499"/>
      <c r="BG128" s="499"/>
      <c r="BH128" s="499"/>
      <c r="BI128" s="499"/>
      <c r="BJ128" s="498"/>
      <c r="BK128" s="499"/>
      <c r="BL128" s="498"/>
      <c r="BM128" s="498"/>
    </row>
    <row r="129" spans="1:65" s="497" customFormat="1" ht="32.25" customHeight="1">
      <c r="A129" s="488"/>
      <c r="B129" s="489"/>
      <c r="C129" s="485" t="s">
        <v>221</v>
      </c>
      <c r="D129" s="490"/>
      <c r="E129" s="195" t="s">
        <v>1518</v>
      </c>
      <c r="F129" s="960" t="s">
        <v>242</v>
      </c>
      <c r="G129" s="965"/>
      <c r="H129" s="965"/>
      <c r="I129" s="965"/>
      <c r="J129" s="94" t="s">
        <v>129</v>
      </c>
      <c r="K129" s="82">
        <f>K115*0.015*1.5+K116*0.015*1.5+K117*1.5+K118*1.5+K119*1.5+K120*1.5+K121*1.5+K122*1.5+K124*1.5+K125*1.5</f>
        <v>54.252783</v>
      </c>
      <c r="L129" s="21"/>
      <c r="M129" s="105"/>
      <c r="N129" s="966">
        <f t="shared" si="0"/>
        <v>0</v>
      </c>
      <c r="O129" s="966"/>
      <c r="P129" s="966"/>
      <c r="Q129" s="966"/>
      <c r="R129" s="491"/>
      <c r="S129" s="492">
        <f>1300/3</f>
        <v>433.3333333333333</v>
      </c>
      <c r="T129" s="493"/>
      <c r="U129" s="494"/>
      <c r="V129" s="495"/>
      <c r="W129" s="495"/>
      <c r="X129" s="495"/>
      <c r="Y129" s="495"/>
      <c r="Z129" s="495"/>
      <c r="AA129" s="496"/>
      <c r="AC129" s="162"/>
      <c r="AD129" s="162"/>
      <c r="AE129" s="162"/>
      <c r="AU129" s="498"/>
      <c r="AY129" s="498"/>
      <c r="BE129" s="499"/>
      <c r="BF129" s="499"/>
      <c r="BG129" s="499"/>
      <c r="BH129" s="499"/>
      <c r="BI129" s="499"/>
      <c r="BJ129" s="498"/>
      <c r="BK129" s="499"/>
      <c r="BL129" s="498"/>
      <c r="BM129" s="498"/>
    </row>
    <row r="130" spans="1:65" s="497" customFormat="1" ht="32.25" customHeight="1">
      <c r="A130" s="488"/>
      <c r="B130" s="489"/>
      <c r="C130" s="485" t="s">
        <v>222</v>
      </c>
      <c r="D130" s="490"/>
      <c r="E130" s="195" t="s">
        <v>1519</v>
      </c>
      <c r="F130" s="960" t="s">
        <v>206</v>
      </c>
      <c r="G130" s="965"/>
      <c r="H130" s="965"/>
      <c r="I130" s="965"/>
      <c r="J130" s="500" t="str">
        <f>J129</f>
        <v>m3</v>
      </c>
      <c r="K130" s="82">
        <f>K128+K129</f>
        <v>56.96542215</v>
      </c>
      <c r="L130" s="21"/>
      <c r="M130" s="105"/>
      <c r="N130" s="966">
        <f t="shared" si="0"/>
        <v>0</v>
      </c>
      <c r="O130" s="966"/>
      <c r="P130" s="966"/>
      <c r="Q130" s="966"/>
      <c r="R130" s="491"/>
      <c r="S130" s="492"/>
      <c r="T130" s="493"/>
      <c r="U130" s="494"/>
      <c r="V130" s="495"/>
      <c r="W130" s="495"/>
      <c r="X130" s="495"/>
      <c r="Y130" s="495"/>
      <c r="Z130" s="495"/>
      <c r="AA130" s="496"/>
      <c r="AC130" s="162"/>
      <c r="AD130" s="162"/>
      <c r="AE130" s="162"/>
      <c r="AU130" s="498"/>
      <c r="AY130" s="498"/>
      <c r="BE130" s="499"/>
      <c r="BF130" s="499"/>
      <c r="BG130" s="499"/>
      <c r="BH130" s="499"/>
      <c r="BI130" s="499"/>
      <c r="BJ130" s="498"/>
      <c r="BK130" s="499"/>
      <c r="BL130" s="498"/>
      <c r="BM130" s="498"/>
    </row>
    <row r="131" spans="1:65" s="162" customFormat="1" ht="32.25" customHeight="1">
      <c r="A131" s="457"/>
      <c r="B131" s="455"/>
      <c r="C131" s="181"/>
      <c r="D131" s="105" t="s">
        <v>765</v>
      </c>
      <c r="E131" s="105"/>
      <c r="F131" s="105"/>
      <c r="G131" s="105"/>
      <c r="H131" s="105"/>
      <c r="I131" s="105"/>
      <c r="J131" s="479"/>
      <c r="K131" s="83"/>
      <c r="L131" s="532"/>
      <c r="M131" s="105"/>
      <c r="N131" s="481"/>
      <c r="O131" s="482"/>
      <c r="P131" s="482"/>
      <c r="Q131" s="482"/>
      <c r="R131" s="456"/>
      <c r="S131" s="58"/>
      <c r="T131" s="483"/>
      <c r="U131" s="221"/>
      <c r="V131" s="408"/>
      <c r="W131" s="408"/>
      <c r="X131" s="408"/>
      <c r="Y131" s="408"/>
      <c r="Z131" s="408"/>
      <c r="AA131" s="409"/>
      <c r="AU131" s="448"/>
      <c r="AY131" s="448"/>
      <c r="BE131" s="484"/>
      <c r="BF131" s="484"/>
      <c r="BG131" s="484"/>
      <c r="BH131" s="484"/>
      <c r="BI131" s="484"/>
      <c r="BJ131" s="448"/>
      <c r="BK131" s="484"/>
      <c r="BL131" s="448"/>
      <c r="BM131" s="448"/>
    </row>
    <row r="132" spans="1:65" s="162" customFormat="1" ht="32.25" customHeight="1">
      <c r="A132" s="457"/>
      <c r="B132" s="455"/>
      <c r="C132" s="485" t="s">
        <v>221</v>
      </c>
      <c r="D132" s="486"/>
      <c r="E132" s="195" t="s">
        <v>1515</v>
      </c>
      <c r="F132" s="964" t="s">
        <v>280</v>
      </c>
      <c r="G132" s="968"/>
      <c r="H132" s="968"/>
      <c r="I132" s="968"/>
      <c r="J132" s="487" t="s">
        <v>198</v>
      </c>
      <c r="K132" s="66">
        <v>12</v>
      </c>
      <c r="L132" s="21"/>
      <c r="M132" s="105"/>
      <c r="N132" s="948">
        <f t="shared" si="0"/>
        <v>0</v>
      </c>
      <c r="O132" s="948"/>
      <c r="P132" s="948"/>
      <c r="Q132" s="948"/>
      <c r="R132" s="456"/>
      <c r="S132" s="58"/>
      <c r="T132" s="483"/>
      <c r="U132" s="221"/>
      <c r="V132" s="408"/>
      <c r="W132" s="408"/>
      <c r="X132" s="408"/>
      <c r="Y132" s="408"/>
      <c r="Z132" s="408"/>
      <c r="AA132" s="409"/>
      <c r="AU132" s="448"/>
      <c r="AY132" s="448"/>
      <c r="BE132" s="484"/>
      <c r="BF132" s="484"/>
      <c r="BG132" s="484"/>
      <c r="BH132" s="484"/>
      <c r="BI132" s="484"/>
      <c r="BJ132" s="448"/>
      <c r="BK132" s="484"/>
      <c r="BL132" s="448"/>
      <c r="BM132" s="448"/>
    </row>
    <row r="133" spans="1:65" s="162" customFormat="1" ht="32.25" customHeight="1">
      <c r="A133" s="457"/>
      <c r="B133" s="455"/>
      <c r="C133" s="485" t="s">
        <v>222</v>
      </c>
      <c r="D133" s="486"/>
      <c r="E133" s="195" t="s">
        <v>1516</v>
      </c>
      <c r="F133" s="964" t="s">
        <v>274</v>
      </c>
      <c r="G133" s="964"/>
      <c r="H133" s="964"/>
      <c r="I133" s="964"/>
      <c r="J133" s="487" t="s">
        <v>198</v>
      </c>
      <c r="K133" s="66">
        <v>12</v>
      </c>
      <c r="L133" s="21"/>
      <c r="M133" s="105"/>
      <c r="N133" s="948">
        <f t="shared" si="0"/>
        <v>0</v>
      </c>
      <c r="O133" s="948"/>
      <c r="P133" s="948"/>
      <c r="Q133" s="948"/>
      <c r="R133" s="456"/>
      <c r="S133" s="58"/>
      <c r="T133" s="483"/>
      <c r="U133" s="221"/>
      <c r="V133" s="408"/>
      <c r="W133" s="408"/>
      <c r="X133" s="408"/>
      <c r="Y133" s="408"/>
      <c r="Z133" s="408"/>
      <c r="AA133" s="409"/>
      <c r="AU133" s="448"/>
      <c r="AY133" s="448"/>
      <c r="BE133" s="484"/>
      <c r="BF133" s="484"/>
      <c r="BG133" s="484"/>
      <c r="BH133" s="484"/>
      <c r="BI133" s="484"/>
      <c r="BJ133" s="448"/>
      <c r="BK133" s="484"/>
      <c r="BL133" s="448"/>
      <c r="BM133" s="448"/>
    </row>
    <row r="134" spans="1:65" s="162" customFormat="1" ht="32.25" customHeight="1">
      <c r="A134" s="457"/>
      <c r="B134" s="455"/>
      <c r="C134" s="485" t="s">
        <v>223</v>
      </c>
      <c r="D134" s="486"/>
      <c r="E134" s="195" t="s">
        <v>1520</v>
      </c>
      <c r="F134" s="967" t="s">
        <v>275</v>
      </c>
      <c r="G134" s="967"/>
      <c r="H134" s="967"/>
      <c r="I134" s="967"/>
      <c r="J134" s="487" t="s">
        <v>198</v>
      </c>
      <c r="K134" s="66">
        <v>2</v>
      </c>
      <c r="L134" s="21"/>
      <c r="M134" s="105"/>
      <c r="N134" s="948">
        <f t="shared" si="0"/>
        <v>0</v>
      </c>
      <c r="O134" s="948"/>
      <c r="P134" s="948"/>
      <c r="Q134" s="948"/>
      <c r="R134" s="456"/>
      <c r="S134" s="58"/>
      <c r="T134" s="483"/>
      <c r="U134" s="221"/>
      <c r="V134" s="408"/>
      <c r="W134" s="408"/>
      <c r="X134" s="408"/>
      <c r="Y134" s="408"/>
      <c r="Z134" s="408"/>
      <c r="AA134" s="409"/>
      <c r="AU134" s="448"/>
      <c r="AY134" s="448"/>
      <c r="BE134" s="484"/>
      <c r="BF134" s="484"/>
      <c r="BG134" s="484"/>
      <c r="BH134" s="484"/>
      <c r="BI134" s="484"/>
      <c r="BJ134" s="448"/>
      <c r="BK134" s="484"/>
      <c r="BL134" s="448"/>
      <c r="BM134" s="448"/>
    </row>
    <row r="135" spans="1:65" s="162" customFormat="1" ht="32.25" customHeight="1">
      <c r="A135" s="457"/>
      <c r="B135" s="455"/>
      <c r="C135" s="485" t="s">
        <v>224</v>
      </c>
      <c r="D135" s="486"/>
      <c r="E135" s="195" t="s">
        <v>1521</v>
      </c>
      <c r="F135" s="967" t="s">
        <v>293</v>
      </c>
      <c r="G135" s="967"/>
      <c r="H135" s="967"/>
      <c r="I135" s="967"/>
      <c r="J135" s="487" t="s">
        <v>198</v>
      </c>
      <c r="K135" s="66">
        <v>7</v>
      </c>
      <c r="L135" s="21"/>
      <c r="M135" s="105"/>
      <c r="N135" s="948">
        <f aca="true" t="shared" si="3" ref="N135:N145">ROUND(L135*K135,2)</f>
        <v>0</v>
      </c>
      <c r="O135" s="948"/>
      <c r="P135" s="948"/>
      <c r="Q135" s="948"/>
      <c r="R135" s="456"/>
      <c r="S135" s="58"/>
      <c r="T135" s="483"/>
      <c r="U135" s="221"/>
      <c r="V135" s="408"/>
      <c r="W135" s="408"/>
      <c r="X135" s="408"/>
      <c r="Y135" s="408"/>
      <c r="Z135" s="408"/>
      <c r="AA135" s="409"/>
      <c r="AU135" s="448"/>
      <c r="AY135" s="448"/>
      <c r="BE135" s="484"/>
      <c r="BF135" s="484"/>
      <c r="BG135" s="484"/>
      <c r="BH135" s="484"/>
      <c r="BI135" s="484"/>
      <c r="BJ135" s="448"/>
      <c r="BK135" s="484"/>
      <c r="BL135" s="448"/>
      <c r="BM135" s="448"/>
    </row>
    <row r="136" spans="1:65" s="162" customFormat="1" ht="32.25" customHeight="1">
      <c r="A136" s="457"/>
      <c r="B136" s="455"/>
      <c r="C136" s="485" t="s">
        <v>225</v>
      </c>
      <c r="D136" s="486"/>
      <c r="E136" s="195" t="s">
        <v>1522</v>
      </c>
      <c r="F136" s="964" t="s">
        <v>276</v>
      </c>
      <c r="G136" s="968"/>
      <c r="H136" s="968"/>
      <c r="I136" s="968"/>
      <c r="J136" s="487" t="s">
        <v>198</v>
      </c>
      <c r="K136" s="66">
        <v>9</v>
      </c>
      <c r="L136" s="21"/>
      <c r="M136" s="105"/>
      <c r="N136" s="948">
        <f t="shared" si="3"/>
        <v>0</v>
      </c>
      <c r="O136" s="948"/>
      <c r="P136" s="948"/>
      <c r="Q136" s="948"/>
      <c r="R136" s="456"/>
      <c r="S136" s="58"/>
      <c r="T136" s="483"/>
      <c r="U136" s="221"/>
      <c r="V136" s="408"/>
      <c r="W136" s="408"/>
      <c r="X136" s="408"/>
      <c r="Y136" s="408"/>
      <c r="Z136" s="408"/>
      <c r="AA136" s="409"/>
      <c r="AU136" s="448"/>
      <c r="AY136" s="448"/>
      <c r="BE136" s="484"/>
      <c r="BF136" s="484"/>
      <c r="BG136" s="484"/>
      <c r="BH136" s="484"/>
      <c r="BI136" s="484"/>
      <c r="BJ136" s="448"/>
      <c r="BK136" s="484"/>
      <c r="BL136" s="448"/>
      <c r="BM136" s="448"/>
    </row>
    <row r="137" spans="1:65" s="162" customFormat="1" ht="32.25" customHeight="1">
      <c r="A137" s="457"/>
      <c r="B137" s="455"/>
      <c r="C137" s="485" t="s">
        <v>226</v>
      </c>
      <c r="D137" s="486"/>
      <c r="E137" s="195" t="s">
        <v>1523</v>
      </c>
      <c r="F137" s="957" t="s">
        <v>294</v>
      </c>
      <c r="G137" s="958"/>
      <c r="H137" s="958"/>
      <c r="I137" s="959"/>
      <c r="J137" s="487" t="s">
        <v>198</v>
      </c>
      <c r="K137" s="66">
        <v>9</v>
      </c>
      <c r="L137" s="21"/>
      <c r="M137" s="105"/>
      <c r="N137" s="948">
        <f t="shared" si="3"/>
        <v>0</v>
      </c>
      <c r="O137" s="948"/>
      <c r="P137" s="948"/>
      <c r="Q137" s="948"/>
      <c r="R137" s="456"/>
      <c r="S137" s="58"/>
      <c r="T137" s="483"/>
      <c r="U137" s="221"/>
      <c r="V137" s="408"/>
      <c r="W137" s="408"/>
      <c r="X137" s="408"/>
      <c r="Y137" s="408"/>
      <c r="Z137" s="408"/>
      <c r="AA137" s="409"/>
      <c r="AU137" s="448"/>
      <c r="AY137" s="448"/>
      <c r="BE137" s="484"/>
      <c r="BF137" s="484"/>
      <c r="BG137" s="484"/>
      <c r="BH137" s="484"/>
      <c r="BI137" s="484"/>
      <c r="BJ137" s="448"/>
      <c r="BK137" s="484"/>
      <c r="BL137" s="448"/>
      <c r="BM137" s="448"/>
    </row>
    <row r="138" spans="1:65" s="162" customFormat="1" ht="32.25" customHeight="1">
      <c r="A138" s="457"/>
      <c r="B138" s="455"/>
      <c r="C138" s="485" t="s">
        <v>227</v>
      </c>
      <c r="D138" s="486"/>
      <c r="E138" s="195" t="s">
        <v>1524</v>
      </c>
      <c r="F138" s="964" t="s">
        <v>295</v>
      </c>
      <c r="G138" s="964"/>
      <c r="H138" s="964"/>
      <c r="I138" s="964"/>
      <c r="J138" s="487" t="s">
        <v>133</v>
      </c>
      <c r="K138" s="66">
        <f>2.1+0.62+0.84+6*1.15</f>
        <v>10.459999999999999</v>
      </c>
      <c r="L138" s="21"/>
      <c r="M138" s="105"/>
      <c r="N138" s="948">
        <f t="shared" si="3"/>
        <v>0</v>
      </c>
      <c r="O138" s="948"/>
      <c r="P138" s="948"/>
      <c r="Q138" s="948"/>
      <c r="R138" s="456"/>
      <c r="S138" s="58"/>
      <c r="T138" s="483"/>
      <c r="U138" s="221"/>
      <c r="V138" s="408"/>
      <c r="W138" s="408"/>
      <c r="X138" s="408"/>
      <c r="Y138" s="408"/>
      <c r="Z138" s="408"/>
      <c r="AA138" s="409"/>
      <c r="AU138" s="448"/>
      <c r="AY138" s="448"/>
      <c r="BE138" s="484"/>
      <c r="BF138" s="484"/>
      <c r="BG138" s="484"/>
      <c r="BH138" s="484"/>
      <c r="BI138" s="484"/>
      <c r="BJ138" s="448"/>
      <c r="BK138" s="484"/>
      <c r="BL138" s="448"/>
      <c r="BM138" s="448"/>
    </row>
    <row r="139" spans="1:65" s="162" customFormat="1" ht="32.25" customHeight="1">
      <c r="A139" s="457"/>
      <c r="B139" s="455"/>
      <c r="C139" s="485" t="s">
        <v>228</v>
      </c>
      <c r="D139" s="486"/>
      <c r="E139" s="195" t="s">
        <v>1525</v>
      </c>
      <c r="F139" s="964" t="s">
        <v>309</v>
      </c>
      <c r="G139" s="964"/>
      <c r="H139" s="964"/>
      <c r="I139" s="964"/>
      <c r="J139" s="487" t="s">
        <v>133</v>
      </c>
      <c r="K139" s="66">
        <f>K138</f>
        <v>10.459999999999999</v>
      </c>
      <c r="L139" s="21"/>
      <c r="M139" s="105"/>
      <c r="N139" s="948">
        <f t="shared" si="3"/>
        <v>0</v>
      </c>
      <c r="O139" s="948"/>
      <c r="P139" s="948"/>
      <c r="Q139" s="948"/>
      <c r="R139" s="456"/>
      <c r="S139" s="58"/>
      <c r="T139" s="483"/>
      <c r="U139" s="221"/>
      <c r="V139" s="408"/>
      <c r="W139" s="408"/>
      <c r="X139" s="408"/>
      <c r="Y139" s="408"/>
      <c r="Z139" s="408"/>
      <c r="AA139" s="409"/>
      <c r="AU139" s="448"/>
      <c r="AY139" s="448"/>
      <c r="BE139" s="484"/>
      <c r="BF139" s="484"/>
      <c r="BG139" s="484"/>
      <c r="BH139" s="484"/>
      <c r="BI139" s="484"/>
      <c r="BJ139" s="448"/>
      <c r="BK139" s="484"/>
      <c r="BL139" s="448"/>
      <c r="BM139" s="448"/>
    </row>
    <row r="140" spans="1:65" s="162" customFormat="1" ht="32.25" customHeight="1">
      <c r="A140" s="457"/>
      <c r="B140" s="455"/>
      <c r="C140" s="485" t="s">
        <v>229</v>
      </c>
      <c r="D140" s="486"/>
      <c r="E140" s="195" t="s">
        <v>1526</v>
      </c>
      <c r="F140" s="964" t="s">
        <v>273</v>
      </c>
      <c r="G140" s="964"/>
      <c r="H140" s="964"/>
      <c r="I140" s="964"/>
      <c r="J140" s="487" t="s">
        <v>694</v>
      </c>
      <c r="K140" s="66">
        <f>12*2</f>
        <v>24</v>
      </c>
      <c r="L140" s="21"/>
      <c r="M140" s="105"/>
      <c r="N140" s="948">
        <f t="shared" si="3"/>
        <v>0</v>
      </c>
      <c r="O140" s="948"/>
      <c r="P140" s="948"/>
      <c r="Q140" s="948"/>
      <c r="R140" s="456"/>
      <c r="S140" s="58"/>
      <c r="T140" s="483"/>
      <c r="U140" s="221"/>
      <c r="V140" s="408"/>
      <c r="W140" s="408"/>
      <c r="X140" s="408"/>
      <c r="Y140" s="408"/>
      <c r="Z140" s="408"/>
      <c r="AA140" s="409"/>
      <c r="AU140" s="448"/>
      <c r="AY140" s="448"/>
      <c r="BE140" s="484"/>
      <c r="BF140" s="484"/>
      <c r="BG140" s="484"/>
      <c r="BH140" s="484"/>
      <c r="BI140" s="484"/>
      <c r="BJ140" s="448"/>
      <c r="BK140" s="484"/>
      <c r="BL140" s="448"/>
      <c r="BM140" s="448"/>
    </row>
    <row r="141" spans="1:65" s="162" customFormat="1" ht="32.25" customHeight="1">
      <c r="A141" s="457"/>
      <c r="B141" s="455"/>
      <c r="C141" s="485" t="s">
        <v>230</v>
      </c>
      <c r="D141" s="486"/>
      <c r="E141" s="195" t="s">
        <v>1527</v>
      </c>
      <c r="F141" s="964" t="s">
        <v>277</v>
      </c>
      <c r="G141" s="964"/>
      <c r="H141" s="964"/>
      <c r="I141" s="964"/>
      <c r="J141" s="487" t="s">
        <v>198</v>
      </c>
      <c r="K141" s="66">
        <v>8</v>
      </c>
      <c r="L141" s="21"/>
      <c r="M141" s="105"/>
      <c r="N141" s="948">
        <f t="shared" si="3"/>
        <v>0</v>
      </c>
      <c r="O141" s="948"/>
      <c r="P141" s="948"/>
      <c r="Q141" s="948"/>
      <c r="R141" s="456"/>
      <c r="S141" s="58"/>
      <c r="T141" s="483"/>
      <c r="U141" s="221"/>
      <c r="V141" s="408"/>
      <c r="W141" s="408"/>
      <c r="X141" s="408"/>
      <c r="Y141" s="408"/>
      <c r="Z141" s="408"/>
      <c r="AA141" s="409"/>
      <c r="AU141" s="448"/>
      <c r="AY141" s="448"/>
      <c r="BE141" s="484"/>
      <c r="BF141" s="484"/>
      <c r="BG141" s="484"/>
      <c r="BH141" s="484"/>
      <c r="BI141" s="484"/>
      <c r="BJ141" s="448"/>
      <c r="BK141" s="484"/>
      <c r="BL141" s="448"/>
      <c r="BM141" s="448"/>
    </row>
    <row r="142" spans="1:65" s="162" customFormat="1" ht="41.25" customHeight="1">
      <c r="A142" s="457"/>
      <c r="B142" s="455"/>
      <c r="C142" s="485" t="s">
        <v>231</v>
      </c>
      <c r="D142" s="486"/>
      <c r="E142" s="195" t="s">
        <v>1528</v>
      </c>
      <c r="F142" s="961" t="s">
        <v>2225</v>
      </c>
      <c r="G142" s="962"/>
      <c r="H142" s="962"/>
      <c r="I142" s="963"/>
      <c r="J142" s="487" t="s">
        <v>131</v>
      </c>
      <c r="K142" s="66">
        <v>1</v>
      </c>
      <c r="L142" s="21"/>
      <c r="M142" s="105"/>
      <c r="N142" s="948">
        <f t="shared" si="3"/>
        <v>0</v>
      </c>
      <c r="O142" s="948"/>
      <c r="P142" s="948"/>
      <c r="Q142" s="948"/>
      <c r="R142" s="456"/>
      <c r="S142" s="58"/>
      <c r="T142" s="483"/>
      <c r="U142" s="221"/>
      <c r="V142" s="408"/>
      <c r="W142" s="408"/>
      <c r="X142" s="408"/>
      <c r="Y142" s="408"/>
      <c r="Z142" s="408"/>
      <c r="AA142" s="409"/>
      <c r="AU142" s="448"/>
      <c r="AY142" s="448"/>
      <c r="BE142" s="484"/>
      <c r="BF142" s="484"/>
      <c r="BG142" s="484"/>
      <c r="BH142" s="484"/>
      <c r="BI142" s="484"/>
      <c r="BJ142" s="448"/>
      <c r="BK142" s="484"/>
      <c r="BL142" s="448"/>
      <c r="BM142" s="448"/>
    </row>
    <row r="143" spans="1:65" s="162" customFormat="1" ht="32.25" customHeight="1">
      <c r="A143" s="457"/>
      <c r="B143" s="455"/>
      <c r="C143" s="485" t="s">
        <v>232</v>
      </c>
      <c r="D143" s="486"/>
      <c r="E143" s="195" t="s">
        <v>1529</v>
      </c>
      <c r="F143" s="960" t="s">
        <v>305</v>
      </c>
      <c r="G143" s="960"/>
      <c r="H143" s="960"/>
      <c r="I143" s="960"/>
      <c r="J143" s="487" t="s">
        <v>127</v>
      </c>
      <c r="K143" s="66">
        <f>9+7+4+3+13+10+1.5+3.55</f>
        <v>51.05</v>
      </c>
      <c r="L143" s="21"/>
      <c r="M143" s="105"/>
      <c r="N143" s="948">
        <f t="shared" si="3"/>
        <v>0</v>
      </c>
      <c r="O143" s="948"/>
      <c r="P143" s="948"/>
      <c r="Q143" s="948"/>
      <c r="R143" s="456"/>
      <c r="S143" s="58"/>
      <c r="T143" s="483"/>
      <c r="U143" s="221"/>
      <c r="V143" s="408"/>
      <c r="W143" s="408"/>
      <c r="X143" s="408"/>
      <c r="Y143" s="408"/>
      <c r="Z143" s="408"/>
      <c r="AA143" s="409"/>
      <c r="AU143" s="448"/>
      <c r="AY143" s="448"/>
      <c r="BE143" s="484"/>
      <c r="BF143" s="484"/>
      <c r="BG143" s="484"/>
      <c r="BH143" s="484"/>
      <c r="BI143" s="484"/>
      <c r="BJ143" s="448"/>
      <c r="BK143" s="484"/>
      <c r="BL143" s="448"/>
      <c r="BM143" s="448"/>
    </row>
    <row r="144" spans="1:65" s="162" customFormat="1" ht="32.25" customHeight="1">
      <c r="A144" s="457"/>
      <c r="B144" s="455"/>
      <c r="C144" s="485" t="s">
        <v>233</v>
      </c>
      <c r="D144" s="486"/>
      <c r="E144" s="195" t="s">
        <v>1530</v>
      </c>
      <c r="F144" s="957" t="s">
        <v>278</v>
      </c>
      <c r="G144" s="958"/>
      <c r="H144" s="958"/>
      <c r="I144" s="959"/>
      <c r="J144" s="487" t="s">
        <v>127</v>
      </c>
      <c r="K144" s="66">
        <f>8.7+1.1+0.5+10.3+2.3+8.3+0.9+1+9.8</f>
        <v>42.900000000000006</v>
      </c>
      <c r="L144" s="21"/>
      <c r="M144" s="105"/>
      <c r="N144" s="948">
        <f t="shared" si="3"/>
        <v>0</v>
      </c>
      <c r="O144" s="948"/>
      <c r="P144" s="948"/>
      <c r="Q144" s="948"/>
      <c r="R144" s="456"/>
      <c r="S144" s="58"/>
      <c r="T144" s="483"/>
      <c r="U144" s="221"/>
      <c r="V144" s="408"/>
      <c r="W144" s="408"/>
      <c r="X144" s="408"/>
      <c r="Y144" s="408"/>
      <c r="Z144" s="408"/>
      <c r="AA144" s="409"/>
      <c r="AU144" s="448"/>
      <c r="AY144" s="448"/>
      <c r="BE144" s="484"/>
      <c r="BF144" s="484"/>
      <c r="BG144" s="484"/>
      <c r="BH144" s="484"/>
      <c r="BI144" s="484"/>
      <c r="BJ144" s="448"/>
      <c r="BK144" s="484"/>
      <c r="BL144" s="448"/>
      <c r="BM144" s="448"/>
    </row>
    <row r="145" spans="1:65" s="162" customFormat="1" ht="32.25" customHeight="1">
      <c r="A145" s="457"/>
      <c r="B145" s="455"/>
      <c r="C145" s="485" t="s">
        <v>234</v>
      </c>
      <c r="D145" s="486"/>
      <c r="E145" s="195" t="s">
        <v>1531</v>
      </c>
      <c r="F145" s="957" t="s">
        <v>303</v>
      </c>
      <c r="G145" s="958"/>
      <c r="H145" s="958"/>
      <c r="I145" s="959"/>
      <c r="J145" s="487" t="s">
        <v>133</v>
      </c>
      <c r="K145" s="66">
        <f>13.6+2*3.94+11.6+6.8+5.4+9.4+22.1-13*0.8</f>
        <v>66.38</v>
      </c>
      <c r="L145" s="21"/>
      <c r="M145" s="105"/>
      <c r="N145" s="948">
        <f t="shared" si="3"/>
        <v>0</v>
      </c>
      <c r="O145" s="948"/>
      <c r="P145" s="948"/>
      <c r="Q145" s="948"/>
      <c r="R145" s="456"/>
      <c r="S145" s="58"/>
      <c r="T145" s="483"/>
      <c r="U145" s="221"/>
      <c r="V145" s="408"/>
      <c r="W145" s="408"/>
      <c r="X145" s="408"/>
      <c r="Y145" s="408"/>
      <c r="Z145" s="408"/>
      <c r="AA145" s="409"/>
      <c r="AU145" s="448"/>
      <c r="AY145" s="448"/>
      <c r="BE145" s="484"/>
      <c r="BF145" s="484"/>
      <c r="BG145" s="484"/>
      <c r="BH145" s="484"/>
      <c r="BI145" s="484"/>
      <c r="BJ145" s="448"/>
      <c r="BK145" s="484"/>
      <c r="BL145" s="448"/>
      <c r="BM145" s="448"/>
    </row>
    <row r="146" spans="1:65" s="162" customFormat="1" ht="32.25" customHeight="1">
      <c r="A146" s="457"/>
      <c r="B146" s="455"/>
      <c r="C146" s="485" t="s">
        <v>235</v>
      </c>
      <c r="D146" s="486"/>
      <c r="E146" s="195" t="s">
        <v>1532</v>
      </c>
      <c r="F146" s="957" t="s">
        <v>304</v>
      </c>
      <c r="G146" s="958"/>
      <c r="H146" s="958"/>
      <c r="I146" s="959"/>
      <c r="J146" s="487" t="s">
        <v>127</v>
      </c>
      <c r="K146" s="66">
        <f>20.8+25.3+15.5+19.7</f>
        <v>81.3</v>
      </c>
      <c r="L146" s="21"/>
      <c r="M146" s="105"/>
      <c r="N146" s="948">
        <f aca="true" t="shared" si="4" ref="N146:N152">ROUND(L146*K146,2)</f>
        <v>0</v>
      </c>
      <c r="O146" s="948"/>
      <c r="P146" s="948"/>
      <c r="Q146" s="948"/>
      <c r="R146" s="456"/>
      <c r="S146" s="58"/>
      <c r="T146" s="483"/>
      <c r="U146" s="221"/>
      <c r="V146" s="408"/>
      <c r="W146" s="408"/>
      <c r="X146" s="408"/>
      <c r="Y146" s="408"/>
      <c r="Z146" s="408"/>
      <c r="AA146" s="409"/>
      <c r="AU146" s="448"/>
      <c r="AY146" s="448"/>
      <c r="BE146" s="484"/>
      <c r="BF146" s="484"/>
      <c r="BG146" s="484"/>
      <c r="BH146" s="484"/>
      <c r="BI146" s="484"/>
      <c r="BJ146" s="448"/>
      <c r="BK146" s="484"/>
      <c r="BL146" s="448"/>
      <c r="BM146" s="448"/>
    </row>
    <row r="147" spans="1:65" s="162" customFormat="1" ht="32.25" customHeight="1">
      <c r="A147" s="457"/>
      <c r="B147" s="455"/>
      <c r="C147" s="485" t="s">
        <v>769</v>
      </c>
      <c r="D147" s="486"/>
      <c r="E147" s="195" t="s">
        <v>1533</v>
      </c>
      <c r="F147" s="957" t="s">
        <v>279</v>
      </c>
      <c r="G147" s="958"/>
      <c r="H147" s="958"/>
      <c r="I147" s="959"/>
      <c r="J147" s="487" t="s">
        <v>198</v>
      </c>
      <c r="K147" s="66">
        <v>12</v>
      </c>
      <c r="L147" s="21"/>
      <c r="M147" s="105"/>
      <c r="N147" s="948">
        <f t="shared" si="4"/>
        <v>0</v>
      </c>
      <c r="O147" s="948"/>
      <c r="P147" s="948"/>
      <c r="Q147" s="948"/>
      <c r="R147" s="456"/>
      <c r="S147" s="58"/>
      <c r="T147" s="483"/>
      <c r="U147" s="221"/>
      <c r="V147" s="408"/>
      <c r="W147" s="408"/>
      <c r="X147" s="408"/>
      <c r="Y147" s="408"/>
      <c r="Z147" s="408"/>
      <c r="AA147" s="409"/>
      <c r="AU147" s="448"/>
      <c r="AY147" s="448"/>
      <c r="BE147" s="484"/>
      <c r="BF147" s="484"/>
      <c r="BG147" s="484"/>
      <c r="BH147" s="484"/>
      <c r="BI147" s="484"/>
      <c r="BJ147" s="448"/>
      <c r="BK147" s="484"/>
      <c r="BL147" s="448"/>
      <c r="BM147" s="448"/>
    </row>
    <row r="148" spans="1:65" s="162" customFormat="1" ht="32.25" customHeight="1">
      <c r="A148" s="457"/>
      <c r="B148" s="455"/>
      <c r="C148" s="485" t="s">
        <v>770</v>
      </c>
      <c r="D148" s="486"/>
      <c r="E148" s="195" t="s">
        <v>1506</v>
      </c>
      <c r="F148" s="964" t="s">
        <v>296</v>
      </c>
      <c r="G148" s="964"/>
      <c r="H148" s="964"/>
      <c r="I148" s="964"/>
      <c r="J148" s="487" t="s">
        <v>129</v>
      </c>
      <c r="K148" s="66">
        <f>3.25*4.66*0.32</f>
        <v>4.8464</v>
      </c>
      <c r="L148" s="21"/>
      <c r="M148" s="105"/>
      <c r="N148" s="948">
        <f t="shared" si="4"/>
        <v>0</v>
      </c>
      <c r="O148" s="948"/>
      <c r="P148" s="948"/>
      <c r="Q148" s="948"/>
      <c r="R148" s="456"/>
      <c r="S148" s="58"/>
      <c r="T148" s="483"/>
      <c r="U148" s="221"/>
      <c r="V148" s="408"/>
      <c r="W148" s="408"/>
      <c r="X148" s="408"/>
      <c r="Y148" s="408"/>
      <c r="Z148" s="408"/>
      <c r="AA148" s="409"/>
      <c r="AU148" s="448"/>
      <c r="AY148" s="448"/>
      <c r="BE148" s="484"/>
      <c r="BF148" s="484"/>
      <c r="BG148" s="484"/>
      <c r="BH148" s="484"/>
      <c r="BI148" s="484"/>
      <c r="BJ148" s="448"/>
      <c r="BK148" s="484"/>
      <c r="BL148" s="448"/>
      <c r="BM148" s="448"/>
    </row>
    <row r="149" spans="1:65" s="162" customFormat="1" ht="32.25" customHeight="1">
      <c r="A149" s="457"/>
      <c r="B149" s="455"/>
      <c r="C149" s="485" t="s">
        <v>771</v>
      </c>
      <c r="D149" s="486"/>
      <c r="E149" s="195" t="s">
        <v>1533</v>
      </c>
      <c r="F149" s="964" t="s">
        <v>297</v>
      </c>
      <c r="G149" s="964"/>
      <c r="H149" s="964"/>
      <c r="I149" s="964"/>
      <c r="J149" s="487" t="s">
        <v>129</v>
      </c>
      <c r="K149" s="66">
        <f>3.25*0.58*0.36</f>
        <v>0.6785999999999999</v>
      </c>
      <c r="L149" s="21"/>
      <c r="M149" s="105"/>
      <c r="N149" s="948">
        <f t="shared" si="4"/>
        <v>0</v>
      </c>
      <c r="O149" s="948"/>
      <c r="P149" s="948"/>
      <c r="Q149" s="948"/>
      <c r="R149" s="456"/>
      <c r="S149" s="58"/>
      <c r="T149" s="483"/>
      <c r="U149" s="221"/>
      <c r="V149" s="408"/>
      <c r="W149" s="408"/>
      <c r="X149" s="408"/>
      <c r="Y149" s="408"/>
      <c r="Z149" s="408"/>
      <c r="AA149" s="409"/>
      <c r="AU149" s="448"/>
      <c r="AY149" s="448"/>
      <c r="BE149" s="484"/>
      <c r="BF149" s="484"/>
      <c r="BG149" s="484"/>
      <c r="BH149" s="484"/>
      <c r="BI149" s="484"/>
      <c r="BJ149" s="448"/>
      <c r="BK149" s="484"/>
      <c r="BL149" s="448"/>
      <c r="BM149" s="448"/>
    </row>
    <row r="150" spans="1:65" s="162" customFormat="1" ht="32.25" customHeight="1">
      <c r="A150" s="457"/>
      <c r="B150" s="455"/>
      <c r="C150" s="485" t="s">
        <v>772</v>
      </c>
      <c r="D150" s="486"/>
      <c r="E150" s="195" t="s">
        <v>1534</v>
      </c>
      <c r="F150" s="964" t="s">
        <v>298</v>
      </c>
      <c r="G150" s="964"/>
      <c r="H150" s="964"/>
      <c r="I150" s="964"/>
      <c r="J150" s="487" t="s">
        <v>129</v>
      </c>
      <c r="K150" s="66">
        <f>(1.15*2.05+0.14*2.05+1.15*1.95+0.3*2.1+1.42*3.25+0.77*3.03+0.95*2.25)*0.7</f>
        <v>10.221819999999997</v>
      </c>
      <c r="L150" s="21"/>
      <c r="M150" s="105"/>
      <c r="N150" s="948">
        <f t="shared" si="4"/>
        <v>0</v>
      </c>
      <c r="O150" s="948"/>
      <c r="P150" s="948"/>
      <c r="Q150" s="948"/>
      <c r="R150" s="456"/>
      <c r="S150" s="58"/>
      <c r="T150" s="483"/>
      <c r="U150" s="221"/>
      <c r="V150" s="408"/>
      <c r="W150" s="408"/>
      <c r="X150" s="408"/>
      <c r="Y150" s="408"/>
      <c r="Z150" s="408"/>
      <c r="AA150" s="409"/>
      <c r="AU150" s="448"/>
      <c r="AY150" s="448"/>
      <c r="BE150" s="484"/>
      <c r="BF150" s="484"/>
      <c r="BG150" s="484"/>
      <c r="BH150" s="484"/>
      <c r="BI150" s="484"/>
      <c r="BJ150" s="448"/>
      <c r="BK150" s="484"/>
      <c r="BL150" s="448"/>
      <c r="BM150" s="448"/>
    </row>
    <row r="151" spans="1:65" s="162" customFormat="1" ht="32.25" customHeight="1">
      <c r="A151" s="457"/>
      <c r="B151" s="455"/>
      <c r="C151" s="485" t="s">
        <v>773</v>
      </c>
      <c r="D151" s="486"/>
      <c r="E151" s="195" t="s">
        <v>1535</v>
      </c>
      <c r="F151" s="964" t="s">
        <v>299</v>
      </c>
      <c r="G151" s="964"/>
      <c r="H151" s="964"/>
      <c r="I151" s="964"/>
      <c r="J151" s="487" t="s">
        <v>129</v>
      </c>
      <c r="K151" s="66">
        <f>4.79*3.25*0.18+0.9*2.2*0.18</f>
        <v>3.15855</v>
      </c>
      <c r="L151" s="21"/>
      <c r="M151" s="105"/>
      <c r="N151" s="948">
        <f t="shared" si="4"/>
        <v>0</v>
      </c>
      <c r="O151" s="948"/>
      <c r="P151" s="948"/>
      <c r="Q151" s="948"/>
      <c r="R151" s="456"/>
      <c r="S151" s="58"/>
      <c r="T151" s="483"/>
      <c r="U151" s="221"/>
      <c r="V151" s="408"/>
      <c r="W151" s="408"/>
      <c r="X151" s="408"/>
      <c r="Y151" s="408"/>
      <c r="Z151" s="408"/>
      <c r="AA151" s="409"/>
      <c r="AU151" s="448"/>
      <c r="AY151" s="448"/>
      <c r="BE151" s="484"/>
      <c r="BF151" s="484"/>
      <c r="BG151" s="484"/>
      <c r="BH151" s="484"/>
      <c r="BI151" s="484"/>
      <c r="BJ151" s="448"/>
      <c r="BK151" s="484"/>
      <c r="BL151" s="448"/>
      <c r="BM151" s="448"/>
    </row>
    <row r="152" spans="1:65" s="162" customFormat="1" ht="32.25" customHeight="1">
      <c r="A152" s="457"/>
      <c r="B152" s="455"/>
      <c r="C152" s="485" t="s">
        <v>774</v>
      </c>
      <c r="D152" s="486"/>
      <c r="E152" s="195" t="s">
        <v>1536</v>
      </c>
      <c r="F152" s="964" t="s">
        <v>300</v>
      </c>
      <c r="G152" s="964"/>
      <c r="H152" s="964"/>
      <c r="I152" s="964"/>
      <c r="J152" s="487" t="s">
        <v>129</v>
      </c>
      <c r="K152" s="66">
        <f>3.25*2.05*0.16</f>
        <v>1.066</v>
      </c>
      <c r="L152" s="21"/>
      <c r="M152" s="105"/>
      <c r="N152" s="948">
        <f t="shared" si="4"/>
        <v>0</v>
      </c>
      <c r="O152" s="948"/>
      <c r="P152" s="948"/>
      <c r="Q152" s="948"/>
      <c r="R152" s="456"/>
      <c r="S152" s="58"/>
      <c r="T152" s="483"/>
      <c r="U152" s="221"/>
      <c r="V152" s="408"/>
      <c r="W152" s="408"/>
      <c r="X152" s="408"/>
      <c r="Y152" s="408"/>
      <c r="Z152" s="408"/>
      <c r="AA152" s="409"/>
      <c r="AU152" s="448"/>
      <c r="AY152" s="448"/>
      <c r="BE152" s="484"/>
      <c r="BF152" s="484"/>
      <c r="BG152" s="484"/>
      <c r="BH152" s="484"/>
      <c r="BI152" s="484"/>
      <c r="BJ152" s="448"/>
      <c r="BK152" s="484"/>
      <c r="BL152" s="448"/>
      <c r="BM152" s="448"/>
    </row>
    <row r="153" spans="1:65" s="162" customFormat="1" ht="32.25" customHeight="1">
      <c r="A153" s="457"/>
      <c r="B153" s="455"/>
      <c r="C153" s="485" t="s">
        <v>775</v>
      </c>
      <c r="D153" s="486"/>
      <c r="E153" s="195" t="s">
        <v>1537</v>
      </c>
      <c r="F153" s="964" t="s">
        <v>301</v>
      </c>
      <c r="G153" s="964"/>
      <c r="H153" s="964"/>
      <c r="I153" s="964"/>
      <c r="J153" s="487" t="s">
        <v>129</v>
      </c>
      <c r="K153" s="66">
        <f>(1.02+1.02+0.35+2.11+1.08+2.5+0.95+1.27+4.8)*0.1*3.25-8*0.1</f>
        <v>4.107499999999999</v>
      </c>
      <c r="L153" s="21"/>
      <c r="M153" s="105"/>
      <c r="N153" s="948">
        <f aca="true" t="shared" si="5" ref="N153:N159">ROUND(L153*K153,2)</f>
        <v>0</v>
      </c>
      <c r="O153" s="948"/>
      <c r="P153" s="948"/>
      <c r="Q153" s="948"/>
      <c r="R153" s="456"/>
      <c r="S153" s="58"/>
      <c r="T153" s="483"/>
      <c r="U153" s="221"/>
      <c r="V153" s="408"/>
      <c r="W153" s="408"/>
      <c r="X153" s="408"/>
      <c r="Y153" s="408"/>
      <c r="Z153" s="408"/>
      <c r="AA153" s="409"/>
      <c r="AU153" s="448"/>
      <c r="AY153" s="448"/>
      <c r="BE153" s="484"/>
      <c r="BF153" s="484"/>
      <c r="BG153" s="484"/>
      <c r="BH153" s="484"/>
      <c r="BI153" s="484"/>
      <c r="BJ153" s="448"/>
      <c r="BK153" s="484"/>
      <c r="BL153" s="448"/>
      <c r="BM153" s="448"/>
    </row>
    <row r="154" spans="1:65" s="162" customFormat="1" ht="32.25" customHeight="1">
      <c r="A154" s="457"/>
      <c r="B154" s="455"/>
      <c r="C154" s="485" t="s">
        <v>776</v>
      </c>
      <c r="D154" s="486"/>
      <c r="E154" s="195" t="s">
        <v>1538</v>
      </c>
      <c r="F154" s="964" t="s">
        <v>302</v>
      </c>
      <c r="G154" s="964"/>
      <c r="H154" s="964"/>
      <c r="I154" s="964"/>
      <c r="J154" s="487" t="s">
        <v>129</v>
      </c>
      <c r="K154" s="66">
        <f>(1.65+1.7+0.92+0.55+1.5+0.9)*3.25*0.12-3*1.6*0.1</f>
        <v>2.3358</v>
      </c>
      <c r="L154" s="21"/>
      <c r="M154" s="105"/>
      <c r="N154" s="948">
        <f t="shared" si="5"/>
        <v>0</v>
      </c>
      <c r="O154" s="948"/>
      <c r="P154" s="948"/>
      <c r="Q154" s="948"/>
      <c r="R154" s="456"/>
      <c r="S154" s="58"/>
      <c r="T154" s="483"/>
      <c r="U154" s="221"/>
      <c r="V154" s="408"/>
      <c r="W154" s="408"/>
      <c r="X154" s="408"/>
      <c r="Y154" s="408"/>
      <c r="Z154" s="408"/>
      <c r="AA154" s="409"/>
      <c r="AU154" s="448"/>
      <c r="AY154" s="448"/>
      <c r="BE154" s="484"/>
      <c r="BF154" s="484"/>
      <c r="BG154" s="484"/>
      <c r="BH154" s="484"/>
      <c r="BI154" s="484"/>
      <c r="BJ154" s="448"/>
      <c r="BK154" s="484"/>
      <c r="BL154" s="448"/>
      <c r="BM154" s="448"/>
    </row>
    <row r="155" spans="1:65" s="162" customFormat="1" ht="32.25" customHeight="1">
      <c r="A155" s="457"/>
      <c r="B155" s="455"/>
      <c r="C155" s="485" t="s">
        <v>777</v>
      </c>
      <c r="D155" s="486"/>
      <c r="E155" s="195" t="s">
        <v>1539</v>
      </c>
      <c r="F155" s="964" t="s">
        <v>306</v>
      </c>
      <c r="G155" s="964"/>
      <c r="H155" s="964"/>
      <c r="I155" s="964"/>
      <c r="J155" s="487" t="s">
        <v>129</v>
      </c>
      <c r="K155" s="66">
        <f>(9.73+1.6+1.6+4.8+3.2+1.1+1.6+4.7+1.6)*0.2*0.1</f>
        <v>0.5986000000000001</v>
      </c>
      <c r="L155" s="21"/>
      <c r="M155" s="105"/>
      <c r="N155" s="948">
        <f t="shared" si="5"/>
        <v>0</v>
      </c>
      <c r="O155" s="948"/>
      <c r="P155" s="948"/>
      <c r="Q155" s="948"/>
      <c r="R155" s="456"/>
      <c r="S155" s="58"/>
      <c r="T155" s="483"/>
      <c r="U155" s="221"/>
      <c r="V155" s="408"/>
      <c r="W155" s="408"/>
      <c r="X155" s="408"/>
      <c r="Y155" s="408"/>
      <c r="Z155" s="408"/>
      <c r="AA155" s="409"/>
      <c r="AU155" s="448"/>
      <c r="AY155" s="448"/>
      <c r="BE155" s="484"/>
      <c r="BF155" s="484"/>
      <c r="BG155" s="484"/>
      <c r="BH155" s="484"/>
      <c r="BI155" s="484"/>
      <c r="BJ155" s="448"/>
      <c r="BK155" s="484"/>
      <c r="BL155" s="448"/>
      <c r="BM155" s="448"/>
    </row>
    <row r="156" spans="1:65" s="162" customFormat="1" ht="32.25" customHeight="1">
      <c r="A156" s="457"/>
      <c r="B156" s="455"/>
      <c r="C156" s="485" t="s">
        <v>778</v>
      </c>
      <c r="D156" s="486"/>
      <c r="E156" s="195" t="s">
        <v>1540</v>
      </c>
      <c r="F156" s="957" t="s">
        <v>453</v>
      </c>
      <c r="G156" s="958"/>
      <c r="H156" s="958"/>
      <c r="I156" s="959"/>
      <c r="J156" s="487" t="s">
        <v>127</v>
      </c>
      <c r="K156" s="66">
        <f>8.7+1.1+0.5+10.3+2.3+8.3+0.9+1+9.8+20.8+25.3+15.5+19.7</f>
        <v>124.2</v>
      </c>
      <c r="L156" s="21"/>
      <c r="M156" s="105"/>
      <c r="N156" s="948">
        <f t="shared" si="5"/>
        <v>0</v>
      </c>
      <c r="O156" s="948"/>
      <c r="P156" s="948"/>
      <c r="Q156" s="948"/>
      <c r="R156" s="456"/>
      <c r="S156" s="58"/>
      <c r="T156" s="89"/>
      <c r="U156" s="221"/>
      <c r="V156" s="408"/>
      <c r="W156" s="408"/>
      <c r="X156" s="408"/>
      <c r="Y156" s="408"/>
      <c r="Z156" s="408"/>
      <c r="AA156" s="409"/>
      <c r="AU156" s="448"/>
      <c r="AY156" s="448"/>
      <c r="BE156" s="484"/>
      <c r="BF156" s="484"/>
      <c r="BG156" s="484"/>
      <c r="BH156" s="484"/>
      <c r="BI156" s="484"/>
      <c r="BJ156" s="448"/>
      <c r="BK156" s="484"/>
      <c r="BL156" s="448"/>
      <c r="BM156" s="448"/>
    </row>
    <row r="157" spans="1:65" s="497" customFormat="1" ht="32.25" customHeight="1">
      <c r="A157" s="488"/>
      <c r="B157" s="489"/>
      <c r="C157" s="485" t="s">
        <v>779</v>
      </c>
      <c r="D157" s="490"/>
      <c r="E157" s="195" t="s">
        <v>1517</v>
      </c>
      <c r="F157" s="960" t="s">
        <v>243</v>
      </c>
      <c r="G157" s="965"/>
      <c r="H157" s="965"/>
      <c r="I157" s="965"/>
      <c r="J157" s="94" t="s">
        <v>129</v>
      </c>
      <c r="K157" s="39">
        <f>K158*0.05</f>
        <v>4.27361925</v>
      </c>
      <c r="L157" s="21"/>
      <c r="M157" s="105"/>
      <c r="N157" s="966">
        <f t="shared" si="5"/>
        <v>0</v>
      </c>
      <c r="O157" s="966"/>
      <c r="P157" s="966"/>
      <c r="Q157" s="966"/>
      <c r="R157" s="491"/>
      <c r="S157" s="492"/>
      <c r="T157" s="493"/>
      <c r="U157" s="494"/>
      <c r="V157" s="495"/>
      <c r="W157" s="495"/>
      <c r="X157" s="495"/>
      <c r="Y157" s="495"/>
      <c r="Z157" s="495"/>
      <c r="AA157" s="496"/>
      <c r="AC157" s="162"/>
      <c r="AD157" s="162"/>
      <c r="AE157" s="162"/>
      <c r="AU157" s="498"/>
      <c r="AY157" s="498"/>
      <c r="BE157" s="499"/>
      <c r="BF157" s="499"/>
      <c r="BG157" s="499"/>
      <c r="BH157" s="499"/>
      <c r="BI157" s="499"/>
      <c r="BJ157" s="498"/>
      <c r="BK157" s="499"/>
      <c r="BL157" s="498"/>
      <c r="BM157" s="498"/>
    </row>
    <row r="158" spans="1:65" s="497" customFormat="1" ht="32.25" customHeight="1">
      <c r="A158" s="488"/>
      <c r="B158" s="489"/>
      <c r="C158" s="485" t="s">
        <v>780</v>
      </c>
      <c r="D158" s="490"/>
      <c r="E158" s="195" t="s">
        <v>1518</v>
      </c>
      <c r="F158" s="960" t="s">
        <v>242</v>
      </c>
      <c r="G158" s="965"/>
      <c r="H158" s="965"/>
      <c r="I158" s="965"/>
      <c r="J158" s="94" t="s">
        <v>129</v>
      </c>
      <c r="K158" s="39">
        <f>K143*0.015*1.5+K144*0.015*1.5+K145*0.1*0.015*1.5+K146*0.015*1.5+K147*0.3+K148*1.5+K149*1.5+K150*1.5+K151*1.5+K152*1.5+K153*1.5+K154*1.5+K155*1.5+K156*0.2*1.5</f>
        <v>85.472385</v>
      </c>
      <c r="L158" s="21"/>
      <c r="M158" s="105"/>
      <c r="N158" s="966">
        <f t="shared" si="5"/>
        <v>0</v>
      </c>
      <c r="O158" s="966"/>
      <c r="P158" s="966"/>
      <c r="Q158" s="966"/>
      <c r="R158" s="491"/>
      <c r="S158" s="492"/>
      <c r="T158" s="493"/>
      <c r="U158" s="494"/>
      <c r="V158" s="495"/>
      <c r="W158" s="495"/>
      <c r="X158" s="495"/>
      <c r="Y158" s="495"/>
      <c r="Z158" s="495"/>
      <c r="AA158" s="496"/>
      <c r="AC158" s="162"/>
      <c r="AD158" s="162"/>
      <c r="AE158" s="162"/>
      <c r="AU158" s="498"/>
      <c r="AY158" s="498"/>
      <c r="BE158" s="499"/>
      <c r="BF158" s="499"/>
      <c r="BG158" s="499"/>
      <c r="BH158" s="499"/>
      <c r="BI158" s="499"/>
      <c r="BJ158" s="498"/>
      <c r="BK158" s="499"/>
      <c r="BL158" s="498"/>
      <c r="BM158" s="498"/>
    </row>
    <row r="159" spans="1:65" s="497" customFormat="1" ht="32.25" customHeight="1">
      <c r="A159" s="488"/>
      <c r="B159" s="489"/>
      <c r="C159" s="485" t="s">
        <v>781</v>
      </c>
      <c r="D159" s="490"/>
      <c r="E159" s="195" t="s">
        <v>1562</v>
      </c>
      <c r="F159" s="960" t="s">
        <v>206</v>
      </c>
      <c r="G159" s="965"/>
      <c r="H159" s="965"/>
      <c r="I159" s="965"/>
      <c r="J159" s="500" t="str">
        <f>J158</f>
        <v>m3</v>
      </c>
      <c r="K159" s="39">
        <f>K157+K158</f>
        <v>89.74600425</v>
      </c>
      <c r="L159" s="21"/>
      <c r="M159" s="105"/>
      <c r="N159" s="966">
        <f t="shared" si="5"/>
        <v>0</v>
      </c>
      <c r="O159" s="966"/>
      <c r="P159" s="966"/>
      <c r="Q159" s="966"/>
      <c r="R159" s="491"/>
      <c r="S159" s="492"/>
      <c r="T159" s="493"/>
      <c r="U159" s="494"/>
      <c r="V159" s="495"/>
      <c r="W159" s="495"/>
      <c r="X159" s="495"/>
      <c r="Y159" s="495"/>
      <c r="Z159" s="495"/>
      <c r="AA159" s="496"/>
      <c r="AC159" s="162"/>
      <c r="AD159" s="162"/>
      <c r="AE159" s="162"/>
      <c r="AU159" s="498"/>
      <c r="AY159" s="498"/>
      <c r="BE159" s="499"/>
      <c r="BF159" s="499"/>
      <c r="BG159" s="499"/>
      <c r="BH159" s="499"/>
      <c r="BI159" s="499"/>
      <c r="BJ159" s="498"/>
      <c r="BK159" s="499"/>
      <c r="BL159" s="498"/>
      <c r="BM159" s="498"/>
    </row>
    <row r="160" spans="1:65" s="497" customFormat="1" ht="32.25" customHeight="1">
      <c r="A160" s="488"/>
      <c r="B160" s="489"/>
      <c r="C160" s="501"/>
      <c r="D160" s="105" t="s">
        <v>766</v>
      </c>
      <c r="E160" s="502"/>
      <c r="J160" s="503"/>
      <c r="K160" s="84"/>
      <c r="L160" s="23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62"/>
      <c r="AU160" s="498"/>
      <c r="AY160" s="498"/>
      <c r="BE160" s="499"/>
      <c r="BF160" s="499"/>
      <c r="BG160" s="499"/>
      <c r="BH160" s="499"/>
      <c r="BI160" s="499"/>
      <c r="BJ160" s="498"/>
      <c r="BK160" s="499"/>
      <c r="BL160" s="498"/>
      <c r="BM160" s="498"/>
    </row>
    <row r="161" spans="1:65" s="162" customFormat="1" ht="32.25" customHeight="1">
      <c r="A161" s="454"/>
      <c r="C161" s="485" t="s">
        <v>782</v>
      </c>
      <c r="D161" s="486"/>
      <c r="E161" s="195" t="s">
        <v>1515</v>
      </c>
      <c r="F161" s="964" t="s">
        <v>280</v>
      </c>
      <c r="G161" s="968"/>
      <c r="H161" s="968"/>
      <c r="I161" s="968"/>
      <c r="J161" s="487" t="s">
        <v>198</v>
      </c>
      <c r="K161" s="66">
        <v>8</v>
      </c>
      <c r="L161" s="21"/>
      <c r="M161" s="105"/>
      <c r="N161" s="948">
        <f aca="true" t="shared" si="6" ref="N161:N169">ROUND(L161*K161,2)</f>
        <v>0</v>
      </c>
      <c r="O161" s="948"/>
      <c r="P161" s="948"/>
      <c r="Q161" s="948"/>
      <c r="T161" s="407" t="s">
        <v>5</v>
      </c>
      <c r="U161" s="221" t="s">
        <v>36</v>
      </c>
      <c r="V161" s="408">
        <v>0</v>
      </c>
      <c r="W161" s="408" t="e">
        <f>V161*#REF!</f>
        <v>#REF!</v>
      </c>
      <c r="X161" s="408">
        <v>0</v>
      </c>
      <c r="Y161" s="408" t="e">
        <f>X161*#REF!</f>
        <v>#REF!</v>
      </c>
      <c r="Z161" s="408">
        <v>0</v>
      </c>
      <c r="AA161" s="409" t="e">
        <f>Z161*#REF!</f>
        <v>#REF!</v>
      </c>
      <c r="AU161" s="448" t="s">
        <v>76</v>
      </c>
      <c r="AY161" s="448" t="s">
        <v>125</v>
      </c>
      <c r="BE161" s="484">
        <f>IF(U161="základní",#REF!,0)</f>
        <v>0</v>
      </c>
      <c r="BF161" s="484" t="e">
        <f>IF(U161="snížená",#REF!,0)</f>
        <v>#REF!</v>
      </c>
      <c r="BG161" s="484">
        <f>IF(U161="zákl. přenesená",#REF!,0)</f>
        <v>0</v>
      </c>
      <c r="BH161" s="484">
        <f>IF(U161="sníž. přenesená",#REF!,0)</f>
        <v>0</v>
      </c>
      <c r="BI161" s="484">
        <f>IF(U161="nulová",#REF!,0)</f>
        <v>0</v>
      </c>
      <c r="BJ161" s="448" t="s">
        <v>80</v>
      </c>
      <c r="BK161" s="484" t="e">
        <f>ROUND(#REF!*#REF!,2)</f>
        <v>#REF!</v>
      </c>
      <c r="BL161" s="448" t="s">
        <v>128</v>
      </c>
      <c r="BM161" s="448" t="s">
        <v>140</v>
      </c>
    </row>
    <row r="162" spans="1:65" s="162" customFormat="1" ht="32.25" customHeight="1">
      <c r="A162" s="454"/>
      <c r="C162" s="485" t="s">
        <v>783</v>
      </c>
      <c r="D162" s="486"/>
      <c r="E162" s="195" t="s">
        <v>1541</v>
      </c>
      <c r="F162" s="964" t="s">
        <v>307</v>
      </c>
      <c r="G162" s="968"/>
      <c r="H162" s="968"/>
      <c r="I162" s="968"/>
      <c r="J162" s="487" t="s">
        <v>198</v>
      </c>
      <c r="K162" s="66">
        <v>2</v>
      </c>
      <c r="L162" s="21"/>
      <c r="M162" s="105"/>
      <c r="N162" s="948">
        <f>ROUND(L162*K162,2)</f>
        <v>0</v>
      </c>
      <c r="O162" s="948"/>
      <c r="P162" s="948"/>
      <c r="Q162" s="948"/>
      <c r="T162" s="505"/>
      <c r="U162" s="221"/>
      <c r="V162" s="408"/>
      <c r="W162" s="408"/>
      <c r="X162" s="408"/>
      <c r="Y162" s="408"/>
      <c r="Z162" s="408"/>
      <c r="AA162" s="409"/>
      <c r="AU162" s="448"/>
      <c r="AY162" s="448"/>
      <c r="BE162" s="484"/>
      <c r="BF162" s="484"/>
      <c r="BG162" s="484"/>
      <c r="BH162" s="484"/>
      <c r="BI162" s="484"/>
      <c r="BJ162" s="448"/>
      <c r="BK162" s="484"/>
      <c r="BL162" s="448"/>
      <c r="BM162" s="448"/>
    </row>
    <row r="163" spans="1:47" s="162" customFormat="1" ht="32.25" customHeight="1">
      <c r="A163" s="454"/>
      <c r="C163" s="485" t="s">
        <v>784</v>
      </c>
      <c r="D163" s="486"/>
      <c r="E163" s="195" t="s">
        <v>1516</v>
      </c>
      <c r="F163" s="964" t="s">
        <v>274</v>
      </c>
      <c r="G163" s="964"/>
      <c r="H163" s="964"/>
      <c r="I163" s="964"/>
      <c r="J163" s="487" t="s">
        <v>198</v>
      </c>
      <c r="K163" s="66">
        <f>K161+K162</f>
        <v>10</v>
      </c>
      <c r="L163" s="21"/>
      <c r="M163" s="105"/>
      <c r="N163" s="948">
        <f t="shared" si="6"/>
        <v>0</v>
      </c>
      <c r="O163" s="948"/>
      <c r="P163" s="948"/>
      <c r="Q163" s="948"/>
      <c r="T163" s="506"/>
      <c r="U163" s="58"/>
      <c r="V163" s="58"/>
      <c r="W163" s="58"/>
      <c r="X163" s="58"/>
      <c r="Y163" s="58"/>
      <c r="Z163" s="58"/>
      <c r="AA163" s="507"/>
      <c r="AU163" s="448" t="s">
        <v>76</v>
      </c>
    </row>
    <row r="164" spans="1:47" s="162" customFormat="1" ht="32.25" customHeight="1">
      <c r="A164" s="454"/>
      <c r="C164" s="485" t="s">
        <v>785</v>
      </c>
      <c r="D164" s="486"/>
      <c r="E164" s="195" t="s">
        <v>1520</v>
      </c>
      <c r="F164" s="967" t="s">
        <v>275</v>
      </c>
      <c r="G164" s="967"/>
      <c r="H164" s="967"/>
      <c r="I164" s="967"/>
      <c r="J164" s="487" t="s">
        <v>198</v>
      </c>
      <c r="K164" s="66">
        <v>1</v>
      </c>
      <c r="L164" s="21"/>
      <c r="M164" s="105"/>
      <c r="N164" s="948">
        <f t="shared" si="6"/>
        <v>0</v>
      </c>
      <c r="O164" s="948"/>
      <c r="P164" s="948"/>
      <c r="Q164" s="948"/>
      <c r="T164" s="506"/>
      <c r="U164" s="58"/>
      <c r="V164" s="58"/>
      <c r="W164" s="58"/>
      <c r="X164" s="58"/>
      <c r="Y164" s="58"/>
      <c r="Z164" s="58"/>
      <c r="AA164" s="507"/>
      <c r="AU164" s="448" t="s">
        <v>76</v>
      </c>
    </row>
    <row r="165" spans="1:65" s="162" customFormat="1" ht="32.25" customHeight="1">
      <c r="A165" s="454"/>
      <c r="C165" s="485" t="s">
        <v>786</v>
      </c>
      <c r="D165" s="486"/>
      <c r="E165" s="195" t="s">
        <v>1521</v>
      </c>
      <c r="F165" s="967" t="s">
        <v>308</v>
      </c>
      <c r="G165" s="967"/>
      <c r="H165" s="967"/>
      <c r="I165" s="967"/>
      <c r="J165" s="487" t="s">
        <v>198</v>
      </c>
      <c r="K165" s="66">
        <v>11</v>
      </c>
      <c r="L165" s="21"/>
      <c r="M165" s="105"/>
      <c r="N165" s="948">
        <f t="shared" si="6"/>
        <v>0</v>
      </c>
      <c r="O165" s="948"/>
      <c r="P165" s="948"/>
      <c r="Q165" s="948"/>
      <c r="T165" s="407" t="s">
        <v>5</v>
      </c>
      <c r="U165" s="221" t="s">
        <v>36</v>
      </c>
      <c r="V165" s="408">
        <v>0</v>
      </c>
      <c r="W165" s="408" t="e">
        <f>V165*#REF!</f>
        <v>#REF!</v>
      </c>
      <c r="X165" s="408">
        <v>0</v>
      </c>
      <c r="Y165" s="408" t="e">
        <f>X165*#REF!</f>
        <v>#REF!</v>
      </c>
      <c r="Z165" s="408">
        <v>0</v>
      </c>
      <c r="AA165" s="409" t="e">
        <f>Z165*#REF!</f>
        <v>#REF!</v>
      </c>
      <c r="AU165" s="448" t="s">
        <v>76</v>
      </c>
      <c r="AY165" s="448" t="s">
        <v>125</v>
      </c>
      <c r="BE165" s="484">
        <f>IF(U165="základní",#REF!,0)</f>
        <v>0</v>
      </c>
      <c r="BF165" s="484" t="e">
        <f>IF(U165="snížená",#REF!,0)</f>
        <v>#REF!</v>
      </c>
      <c r="BG165" s="484">
        <f>IF(U165="zákl. přenesená",#REF!,0)</f>
        <v>0</v>
      </c>
      <c r="BH165" s="484">
        <f>IF(U165="sníž. přenesená",#REF!,0)</f>
        <v>0</v>
      </c>
      <c r="BI165" s="484">
        <f>IF(U165="nulová",#REF!,0)</f>
        <v>0</v>
      </c>
      <c r="BJ165" s="448" t="s">
        <v>80</v>
      </c>
      <c r="BK165" s="484" t="e">
        <f>ROUND(#REF!*#REF!,2)</f>
        <v>#REF!</v>
      </c>
      <c r="BL165" s="448" t="s">
        <v>128</v>
      </c>
      <c r="BM165" s="448" t="s">
        <v>142</v>
      </c>
    </row>
    <row r="166" spans="1:47" s="162" customFormat="1" ht="32.25" customHeight="1">
      <c r="A166" s="454"/>
      <c r="C166" s="485" t="s">
        <v>787</v>
      </c>
      <c r="D166" s="486"/>
      <c r="E166" s="195" t="s">
        <v>1522</v>
      </c>
      <c r="F166" s="964" t="s">
        <v>276</v>
      </c>
      <c r="G166" s="968"/>
      <c r="H166" s="968"/>
      <c r="I166" s="968"/>
      <c r="J166" s="487" t="s">
        <v>198</v>
      </c>
      <c r="K166" s="66">
        <f>K164+K165</f>
        <v>12</v>
      </c>
      <c r="L166" s="21"/>
      <c r="M166" s="105"/>
      <c r="N166" s="948">
        <f t="shared" si="6"/>
        <v>0</v>
      </c>
      <c r="O166" s="948"/>
      <c r="P166" s="948"/>
      <c r="Q166" s="948"/>
      <c r="T166" s="506"/>
      <c r="U166" s="58"/>
      <c r="V166" s="58"/>
      <c r="W166" s="58"/>
      <c r="X166" s="58"/>
      <c r="Y166" s="58"/>
      <c r="Z166" s="58"/>
      <c r="AA166" s="507"/>
      <c r="AU166" s="448" t="s">
        <v>76</v>
      </c>
    </row>
    <row r="167" spans="1:47" s="162" customFormat="1" ht="32.25" customHeight="1">
      <c r="A167" s="454"/>
      <c r="C167" s="485" t="s">
        <v>788</v>
      </c>
      <c r="D167" s="486"/>
      <c r="E167" s="195" t="s">
        <v>1524</v>
      </c>
      <c r="F167" s="964" t="s">
        <v>295</v>
      </c>
      <c r="G167" s="964"/>
      <c r="H167" s="964"/>
      <c r="I167" s="964"/>
      <c r="J167" s="487" t="s">
        <v>133</v>
      </c>
      <c r="K167" s="66">
        <f>0.62+11*1.15</f>
        <v>13.269999999999998</v>
      </c>
      <c r="L167" s="21"/>
      <c r="M167" s="105"/>
      <c r="N167" s="948">
        <f t="shared" si="6"/>
        <v>0</v>
      </c>
      <c r="O167" s="948"/>
      <c r="P167" s="948"/>
      <c r="Q167" s="948"/>
      <c r="T167" s="506"/>
      <c r="U167" s="58"/>
      <c r="V167" s="58"/>
      <c r="W167" s="58"/>
      <c r="X167" s="58"/>
      <c r="Y167" s="58"/>
      <c r="Z167" s="58"/>
      <c r="AA167" s="507"/>
      <c r="AC167" s="172"/>
      <c r="AU167" s="448" t="s">
        <v>76</v>
      </c>
    </row>
    <row r="168" spans="1:47" s="162" customFormat="1" ht="32.25" customHeight="1">
      <c r="A168" s="454"/>
      <c r="C168" s="485" t="s">
        <v>789</v>
      </c>
      <c r="D168" s="486"/>
      <c r="E168" s="195" t="s">
        <v>1525</v>
      </c>
      <c r="F168" s="964" t="s">
        <v>309</v>
      </c>
      <c r="G168" s="964"/>
      <c r="H168" s="964"/>
      <c r="I168" s="964"/>
      <c r="J168" s="487" t="s">
        <v>133</v>
      </c>
      <c r="K168" s="66">
        <f>K167</f>
        <v>13.269999999999998</v>
      </c>
      <c r="L168" s="21"/>
      <c r="M168" s="105"/>
      <c r="N168" s="948">
        <f t="shared" si="6"/>
        <v>0</v>
      </c>
      <c r="O168" s="948"/>
      <c r="P168" s="948"/>
      <c r="Q168" s="948"/>
      <c r="T168" s="506"/>
      <c r="U168" s="58"/>
      <c r="V168" s="58"/>
      <c r="W168" s="58"/>
      <c r="X168" s="58"/>
      <c r="Y168" s="58"/>
      <c r="Z168" s="58"/>
      <c r="AA168" s="507"/>
      <c r="AU168" s="448"/>
    </row>
    <row r="169" spans="1:47" s="162" customFormat="1" ht="32.25" customHeight="1">
      <c r="A169" s="454"/>
      <c r="C169" s="485" t="s">
        <v>790</v>
      </c>
      <c r="D169" s="486"/>
      <c r="E169" s="195" t="s">
        <v>1526</v>
      </c>
      <c r="F169" s="964" t="s">
        <v>273</v>
      </c>
      <c r="G169" s="964"/>
      <c r="H169" s="964"/>
      <c r="I169" s="964"/>
      <c r="J169" s="487" t="s">
        <v>694</v>
      </c>
      <c r="K169" s="66">
        <f>12*2</f>
        <v>24</v>
      </c>
      <c r="L169" s="21"/>
      <c r="M169" s="105"/>
      <c r="N169" s="948">
        <f t="shared" si="6"/>
        <v>0</v>
      </c>
      <c r="O169" s="948"/>
      <c r="P169" s="948"/>
      <c r="Q169" s="948"/>
      <c r="T169" s="506"/>
      <c r="U169" s="58"/>
      <c r="V169" s="58"/>
      <c r="W169" s="58"/>
      <c r="X169" s="58"/>
      <c r="Y169" s="58"/>
      <c r="Z169" s="58"/>
      <c r="AA169" s="507"/>
      <c r="AU169" s="448"/>
    </row>
    <row r="170" spans="1:47" s="162" customFormat="1" ht="32.25" customHeight="1">
      <c r="A170" s="454"/>
      <c r="C170" s="485" t="s">
        <v>791</v>
      </c>
      <c r="D170" s="486"/>
      <c r="E170" s="195" t="s">
        <v>1527</v>
      </c>
      <c r="F170" s="964" t="s">
        <v>277</v>
      </c>
      <c r="G170" s="964"/>
      <c r="H170" s="964"/>
      <c r="I170" s="964"/>
      <c r="J170" s="487" t="s">
        <v>198</v>
      </c>
      <c r="K170" s="66">
        <v>5</v>
      </c>
      <c r="L170" s="21"/>
      <c r="M170" s="105"/>
      <c r="N170" s="948">
        <f aca="true" t="shared" si="7" ref="N170:N189">ROUND(L170*K170,2)</f>
        <v>0</v>
      </c>
      <c r="O170" s="948"/>
      <c r="P170" s="948"/>
      <c r="Q170" s="948"/>
      <c r="T170" s="506"/>
      <c r="U170" s="58"/>
      <c r="V170" s="58"/>
      <c r="W170" s="58"/>
      <c r="X170" s="58"/>
      <c r="Y170" s="58"/>
      <c r="Z170" s="58"/>
      <c r="AA170" s="507"/>
      <c r="AU170" s="448"/>
    </row>
    <row r="171" spans="1:65" s="162" customFormat="1" ht="43.5" customHeight="1">
      <c r="A171" s="454"/>
      <c r="C171" s="485" t="s">
        <v>792</v>
      </c>
      <c r="D171" s="486"/>
      <c r="E171" s="195" t="s">
        <v>1528</v>
      </c>
      <c r="F171" s="961" t="s">
        <v>2225</v>
      </c>
      <c r="G171" s="962"/>
      <c r="H171" s="962"/>
      <c r="I171" s="963"/>
      <c r="J171" s="487" t="s">
        <v>131</v>
      </c>
      <c r="K171" s="66">
        <v>1</v>
      </c>
      <c r="L171" s="21"/>
      <c r="M171" s="105"/>
      <c r="N171" s="948">
        <f t="shared" si="7"/>
        <v>0</v>
      </c>
      <c r="O171" s="948"/>
      <c r="P171" s="948"/>
      <c r="Q171" s="948"/>
      <c r="T171" s="407" t="s">
        <v>5</v>
      </c>
      <c r="U171" s="221" t="s">
        <v>36</v>
      </c>
      <c r="V171" s="408">
        <v>0</v>
      </c>
      <c r="W171" s="408" t="e">
        <f>V171*#REF!</f>
        <v>#REF!</v>
      </c>
      <c r="X171" s="408">
        <v>0</v>
      </c>
      <c r="Y171" s="408" t="e">
        <f>X171*#REF!</f>
        <v>#REF!</v>
      </c>
      <c r="Z171" s="408">
        <v>0</v>
      </c>
      <c r="AA171" s="409" t="e">
        <f>Z171*#REF!</f>
        <v>#REF!</v>
      </c>
      <c r="AU171" s="448" t="s">
        <v>76</v>
      </c>
      <c r="AY171" s="448" t="s">
        <v>125</v>
      </c>
      <c r="BE171" s="484">
        <f>IF(U171="základní",#REF!,0)</f>
        <v>0</v>
      </c>
      <c r="BF171" s="484" t="e">
        <f>IF(U171="snížená",#REF!,0)</f>
        <v>#REF!</v>
      </c>
      <c r="BG171" s="484">
        <f>IF(U171="zákl. přenesená",#REF!,0)</f>
        <v>0</v>
      </c>
      <c r="BH171" s="484">
        <f>IF(U171="sníž. přenesená",#REF!,0)</f>
        <v>0</v>
      </c>
      <c r="BI171" s="484">
        <f>IF(U171="nulová",#REF!,0)</f>
        <v>0</v>
      </c>
      <c r="BJ171" s="448" t="s">
        <v>80</v>
      </c>
      <c r="BK171" s="484" t="e">
        <f>ROUND(#REF!*#REF!,2)</f>
        <v>#REF!</v>
      </c>
      <c r="BL171" s="448" t="s">
        <v>128</v>
      </c>
      <c r="BM171" s="448" t="s">
        <v>144</v>
      </c>
    </row>
    <row r="172" spans="1:47" s="162" customFormat="1" ht="32.25" customHeight="1">
      <c r="A172" s="454"/>
      <c r="C172" s="485" t="s">
        <v>793</v>
      </c>
      <c r="D172" s="486"/>
      <c r="E172" s="195" t="s">
        <v>1529</v>
      </c>
      <c r="F172" s="960" t="s">
        <v>305</v>
      </c>
      <c r="G172" s="960"/>
      <c r="H172" s="960"/>
      <c r="I172" s="960"/>
      <c r="J172" s="487" t="s">
        <v>127</v>
      </c>
      <c r="K172" s="66">
        <f>6.2*2.1+1.5+2*3.5*1.5+1.6*1.5+2.5</f>
        <v>29.92</v>
      </c>
      <c r="L172" s="21"/>
      <c r="M172" s="105"/>
      <c r="N172" s="948">
        <f t="shared" si="7"/>
        <v>0</v>
      </c>
      <c r="O172" s="948"/>
      <c r="P172" s="948"/>
      <c r="Q172" s="948"/>
      <c r="T172" s="506"/>
      <c r="U172" s="58"/>
      <c r="V172" s="58"/>
      <c r="W172" s="58"/>
      <c r="X172" s="58"/>
      <c r="Y172" s="58"/>
      <c r="Z172" s="58"/>
      <c r="AA172" s="507"/>
      <c r="AU172" s="448" t="s">
        <v>76</v>
      </c>
    </row>
    <row r="173" spans="1:63" s="398" customFormat="1" ht="32.25" customHeight="1">
      <c r="A173" s="508"/>
      <c r="C173" s="485" t="s">
        <v>794</v>
      </c>
      <c r="D173" s="486"/>
      <c r="E173" s="195" t="s">
        <v>1530</v>
      </c>
      <c r="F173" s="957" t="s">
        <v>278</v>
      </c>
      <c r="G173" s="958"/>
      <c r="H173" s="958"/>
      <c r="I173" s="959"/>
      <c r="J173" s="487" t="s">
        <v>127</v>
      </c>
      <c r="K173" s="66">
        <f>2.4+1.5+1.2+1.2</f>
        <v>6.3</v>
      </c>
      <c r="L173" s="21"/>
      <c r="M173" s="105"/>
      <c r="N173" s="948">
        <f t="shared" si="7"/>
        <v>0</v>
      </c>
      <c r="O173" s="948"/>
      <c r="P173" s="948"/>
      <c r="Q173" s="948"/>
      <c r="T173" s="401"/>
      <c r="U173" s="181"/>
      <c r="V173" s="181"/>
      <c r="W173" s="402" t="e">
        <f>SUM(W174:W204)</f>
        <v>#REF!</v>
      </c>
      <c r="X173" s="181"/>
      <c r="Y173" s="402" t="e">
        <f>SUM(Y174:Y204)</f>
        <v>#REF!</v>
      </c>
      <c r="Z173" s="181"/>
      <c r="AA173" s="403" t="e">
        <f>SUM(AA174:AA204)</f>
        <v>#REF!</v>
      </c>
      <c r="AD173" s="162"/>
      <c r="AE173" s="162"/>
      <c r="AU173" s="405" t="s">
        <v>69</v>
      </c>
      <c r="AY173" s="404" t="s">
        <v>125</v>
      </c>
      <c r="BK173" s="406" t="e">
        <f>SUM(BK174:BK204)</f>
        <v>#REF!</v>
      </c>
    </row>
    <row r="174" spans="1:65" s="162" customFormat="1" ht="32.25" customHeight="1">
      <c r="A174" s="454"/>
      <c r="C174" s="485" t="s">
        <v>795</v>
      </c>
      <c r="D174" s="486"/>
      <c r="E174" s="195" t="s">
        <v>1531</v>
      </c>
      <c r="F174" s="957" t="s">
        <v>303</v>
      </c>
      <c r="G174" s="958"/>
      <c r="H174" s="958"/>
      <c r="I174" s="959"/>
      <c r="J174" s="487" t="s">
        <v>133</v>
      </c>
      <c r="K174" s="66">
        <f>6.2+5.25+4.54+4.54-6*0.8</f>
        <v>15.729999999999997</v>
      </c>
      <c r="L174" s="21"/>
      <c r="M174" s="105"/>
      <c r="N174" s="948">
        <f t="shared" si="7"/>
        <v>0</v>
      </c>
      <c r="O174" s="948"/>
      <c r="P174" s="948"/>
      <c r="Q174" s="948"/>
      <c r="T174" s="407" t="s">
        <v>5</v>
      </c>
      <c r="U174" s="221" t="s">
        <v>36</v>
      </c>
      <c r="V174" s="408">
        <v>0</v>
      </c>
      <c r="W174" s="408">
        <f>V174*K192</f>
        <v>0</v>
      </c>
      <c r="X174" s="408">
        <v>0</v>
      </c>
      <c r="Y174" s="408">
        <f>X174*K192</f>
        <v>0</v>
      </c>
      <c r="Z174" s="408">
        <v>0</v>
      </c>
      <c r="AA174" s="409">
        <f>Z174*K192</f>
        <v>0</v>
      </c>
      <c r="AR174" s="448" t="s">
        <v>128</v>
      </c>
      <c r="AT174" s="448" t="s">
        <v>126</v>
      </c>
      <c r="AU174" s="448" t="s">
        <v>76</v>
      </c>
      <c r="AY174" s="448" t="s">
        <v>125</v>
      </c>
      <c r="BE174" s="484">
        <f>IF(U174="základní",N192,0)</f>
        <v>0</v>
      </c>
      <c r="BF174" s="484">
        <f>IF(U174="snížená",N192,0)</f>
        <v>0</v>
      </c>
      <c r="BG174" s="484">
        <f>IF(U174="zákl. přenesená",N192,0)</f>
        <v>0</v>
      </c>
      <c r="BH174" s="484">
        <f>IF(U174="sníž. přenesená",N192,0)</f>
        <v>0</v>
      </c>
      <c r="BI174" s="484">
        <f>IF(U174="nulová",N192,0)</f>
        <v>0</v>
      </c>
      <c r="BJ174" s="448" t="s">
        <v>80</v>
      </c>
      <c r="BK174" s="484">
        <f>ROUND(L192*K192,2)</f>
        <v>0</v>
      </c>
      <c r="BL174" s="448" t="s">
        <v>128</v>
      </c>
      <c r="BM174" s="448" t="s">
        <v>145</v>
      </c>
    </row>
    <row r="175" spans="1:47" s="162" customFormat="1" ht="32.25" customHeight="1">
      <c r="A175" s="454"/>
      <c r="C175" s="485" t="s">
        <v>796</v>
      </c>
      <c r="D175" s="486"/>
      <c r="E175" s="195" t="s">
        <v>1542</v>
      </c>
      <c r="F175" s="957" t="s">
        <v>311</v>
      </c>
      <c r="G175" s="958"/>
      <c r="H175" s="958"/>
      <c r="I175" s="959"/>
      <c r="J175" s="487" t="s">
        <v>127</v>
      </c>
      <c r="K175" s="66">
        <f>23.6+26.8+16.1</f>
        <v>66.5</v>
      </c>
      <c r="L175" s="21"/>
      <c r="M175" s="105"/>
      <c r="N175" s="948">
        <f t="shared" si="7"/>
        <v>0</v>
      </c>
      <c r="O175" s="948"/>
      <c r="P175" s="948"/>
      <c r="Q175" s="948"/>
      <c r="T175" s="506"/>
      <c r="U175" s="58"/>
      <c r="V175" s="58"/>
      <c r="W175" s="58"/>
      <c r="X175" s="58"/>
      <c r="Y175" s="58"/>
      <c r="Z175" s="58"/>
      <c r="AA175" s="507"/>
      <c r="AT175" s="448" t="s">
        <v>182</v>
      </c>
      <c r="AU175" s="448" t="s">
        <v>76</v>
      </c>
    </row>
    <row r="176" spans="1:47" s="162" customFormat="1" ht="32.25" customHeight="1">
      <c r="A176" s="454"/>
      <c r="C176" s="485" t="s">
        <v>797</v>
      </c>
      <c r="D176" s="486"/>
      <c r="E176" s="195" t="s">
        <v>1543</v>
      </c>
      <c r="F176" s="957" t="s">
        <v>312</v>
      </c>
      <c r="G176" s="958"/>
      <c r="H176" s="958"/>
      <c r="I176" s="959"/>
      <c r="J176" s="487" t="s">
        <v>127</v>
      </c>
      <c r="K176" s="66">
        <f>16+11.5+15+15.7</f>
        <v>58.2</v>
      </c>
      <c r="L176" s="21"/>
      <c r="M176" s="105"/>
      <c r="N176" s="948">
        <f>ROUND(L176*K176,2)</f>
        <v>0</v>
      </c>
      <c r="O176" s="948"/>
      <c r="P176" s="948"/>
      <c r="Q176" s="948"/>
      <c r="T176" s="506"/>
      <c r="U176" s="58"/>
      <c r="V176" s="58"/>
      <c r="W176" s="58"/>
      <c r="X176" s="58"/>
      <c r="Y176" s="58"/>
      <c r="Z176" s="58"/>
      <c r="AA176" s="507"/>
      <c r="AT176" s="448"/>
      <c r="AU176" s="448"/>
    </row>
    <row r="177" spans="1:65" s="162" customFormat="1" ht="32.25" customHeight="1">
      <c r="A177" s="454"/>
      <c r="C177" s="485" t="s">
        <v>798</v>
      </c>
      <c r="D177" s="486"/>
      <c r="E177" s="195" t="s">
        <v>1533</v>
      </c>
      <c r="F177" s="957" t="s">
        <v>279</v>
      </c>
      <c r="G177" s="958"/>
      <c r="H177" s="958"/>
      <c r="I177" s="959"/>
      <c r="J177" s="487" t="s">
        <v>198</v>
      </c>
      <c r="K177" s="66">
        <v>13</v>
      </c>
      <c r="L177" s="21"/>
      <c r="M177" s="105"/>
      <c r="N177" s="948">
        <f t="shared" si="7"/>
        <v>0</v>
      </c>
      <c r="O177" s="948"/>
      <c r="P177" s="948"/>
      <c r="Q177" s="948"/>
      <c r="T177" s="407" t="s">
        <v>5</v>
      </c>
      <c r="U177" s="221" t="s">
        <v>36</v>
      </c>
      <c r="V177" s="408">
        <v>0</v>
      </c>
      <c r="W177" s="408">
        <f>V177*K204</f>
        <v>0</v>
      </c>
      <c r="X177" s="408">
        <v>0</v>
      </c>
      <c r="Y177" s="408">
        <f>X177*K204</f>
        <v>0</v>
      </c>
      <c r="Z177" s="408">
        <v>0</v>
      </c>
      <c r="AA177" s="409">
        <f>Z177*K204</f>
        <v>0</v>
      </c>
      <c r="AR177" s="448" t="s">
        <v>128</v>
      </c>
      <c r="AT177" s="448" t="s">
        <v>126</v>
      </c>
      <c r="AU177" s="448" t="s">
        <v>76</v>
      </c>
      <c r="AY177" s="448" t="s">
        <v>125</v>
      </c>
      <c r="BE177" s="484">
        <f>IF(U177="základní",N204,0)</f>
        <v>0</v>
      </c>
      <c r="BF177" s="484">
        <f>IF(U177="snížená",N204,0)</f>
        <v>0</v>
      </c>
      <c r="BG177" s="484">
        <f>IF(U177="zákl. přenesená",N204,0)</f>
        <v>0</v>
      </c>
      <c r="BH177" s="484">
        <f>IF(U177="sníž. přenesená",N204,0)</f>
        <v>0</v>
      </c>
      <c r="BI177" s="484">
        <f>IF(U177="nulová",N204,0)</f>
        <v>0</v>
      </c>
      <c r="BJ177" s="448" t="s">
        <v>80</v>
      </c>
      <c r="BK177" s="484">
        <f>ROUND(L204*K204,2)</f>
        <v>0</v>
      </c>
      <c r="BL177" s="448" t="s">
        <v>128</v>
      </c>
      <c r="BM177" s="448" t="s">
        <v>146</v>
      </c>
    </row>
    <row r="178" spans="1:65" s="162" customFormat="1" ht="32.25" customHeight="1">
      <c r="A178" s="454"/>
      <c r="C178" s="485" t="s">
        <v>799</v>
      </c>
      <c r="D178" s="486"/>
      <c r="E178" s="195" t="s">
        <v>1544</v>
      </c>
      <c r="F178" s="957" t="s">
        <v>310</v>
      </c>
      <c r="G178" s="958"/>
      <c r="H178" s="958"/>
      <c r="I178" s="959"/>
      <c r="J178" s="487" t="s">
        <v>127</v>
      </c>
      <c r="K178" s="66">
        <f>2.4+1.5+1.2+1.2</f>
        <v>6.3</v>
      </c>
      <c r="L178" s="21"/>
      <c r="M178" s="105"/>
      <c r="N178" s="948">
        <f>ROUND(L178*K178,2)</f>
        <v>0</v>
      </c>
      <c r="O178" s="948"/>
      <c r="P178" s="948"/>
      <c r="Q178" s="948"/>
      <c r="T178" s="505"/>
      <c r="U178" s="221"/>
      <c r="V178" s="408"/>
      <c r="W178" s="408"/>
      <c r="X178" s="408"/>
      <c r="Y178" s="408"/>
      <c r="Z178" s="408"/>
      <c r="AA178" s="409"/>
      <c r="AR178" s="448"/>
      <c r="AT178" s="448"/>
      <c r="AU178" s="448"/>
      <c r="AY178" s="448"/>
      <c r="BE178" s="484"/>
      <c r="BF178" s="484"/>
      <c r="BG178" s="484"/>
      <c r="BH178" s="484"/>
      <c r="BI178" s="484"/>
      <c r="BJ178" s="448"/>
      <c r="BK178" s="484"/>
      <c r="BL178" s="448"/>
      <c r="BM178" s="448"/>
    </row>
    <row r="179" spans="1:65" s="162" customFormat="1" ht="32.25" customHeight="1">
      <c r="A179" s="454"/>
      <c r="C179" s="485" t="s">
        <v>800</v>
      </c>
      <c r="D179" s="486"/>
      <c r="E179" s="195" t="s">
        <v>1545</v>
      </c>
      <c r="F179" s="957" t="s">
        <v>313</v>
      </c>
      <c r="G179" s="958"/>
      <c r="H179" s="958"/>
      <c r="I179" s="959"/>
      <c r="J179" s="487" t="s">
        <v>127</v>
      </c>
      <c r="K179" s="66">
        <f>4.3+5.65</f>
        <v>9.95</v>
      </c>
      <c r="L179" s="21"/>
      <c r="M179" s="105"/>
      <c r="N179" s="948">
        <f>ROUND(L179*K179,2)</f>
        <v>0</v>
      </c>
      <c r="O179" s="948"/>
      <c r="P179" s="948"/>
      <c r="Q179" s="948"/>
      <c r="T179" s="505"/>
      <c r="U179" s="221"/>
      <c r="V179" s="408"/>
      <c r="W179" s="408"/>
      <c r="X179" s="408"/>
      <c r="Y179" s="408"/>
      <c r="Z179" s="408"/>
      <c r="AA179" s="409"/>
      <c r="AR179" s="448"/>
      <c r="AT179" s="448"/>
      <c r="AU179" s="448"/>
      <c r="AY179" s="448"/>
      <c r="BE179" s="484"/>
      <c r="BF179" s="484"/>
      <c r="BG179" s="484"/>
      <c r="BH179" s="484"/>
      <c r="BI179" s="484"/>
      <c r="BJ179" s="448"/>
      <c r="BK179" s="484"/>
      <c r="BL179" s="448"/>
      <c r="BM179" s="448"/>
    </row>
    <row r="180" spans="1:47" s="162" customFormat="1" ht="32.25" customHeight="1">
      <c r="A180" s="454"/>
      <c r="C180" s="485" t="s">
        <v>801</v>
      </c>
      <c r="D180" s="486"/>
      <c r="E180" s="195" t="s">
        <v>1546</v>
      </c>
      <c r="F180" s="964" t="s">
        <v>315</v>
      </c>
      <c r="G180" s="964"/>
      <c r="H180" s="964"/>
      <c r="I180" s="964"/>
      <c r="J180" s="487" t="s">
        <v>129</v>
      </c>
      <c r="K180" s="66">
        <f>(0.58+1.04+0.575)*2.3*0.52</f>
        <v>2.6252200000000006</v>
      </c>
      <c r="L180" s="21"/>
      <c r="M180" s="105"/>
      <c r="N180" s="948">
        <f>ROUND(L180*K180,2)</f>
        <v>0</v>
      </c>
      <c r="O180" s="948"/>
      <c r="P180" s="948"/>
      <c r="Q180" s="948"/>
      <c r="T180" s="506"/>
      <c r="U180" s="58"/>
      <c r="V180" s="58"/>
      <c r="W180" s="58"/>
      <c r="X180" s="58"/>
      <c r="Y180" s="58"/>
      <c r="Z180" s="58"/>
      <c r="AA180" s="507"/>
      <c r="AC180" s="423"/>
      <c r="AT180" s="448" t="s">
        <v>182</v>
      </c>
      <c r="AU180" s="448" t="s">
        <v>76</v>
      </c>
    </row>
    <row r="181" spans="1:47" s="162" customFormat="1" ht="32.25" customHeight="1">
      <c r="A181" s="454"/>
      <c r="C181" s="485" t="s">
        <v>802</v>
      </c>
      <c r="D181" s="486"/>
      <c r="E181" s="195" t="s">
        <v>1547</v>
      </c>
      <c r="F181" s="964" t="s">
        <v>316</v>
      </c>
      <c r="G181" s="964"/>
      <c r="H181" s="964"/>
      <c r="I181" s="964"/>
      <c r="J181" s="487" t="s">
        <v>129</v>
      </c>
      <c r="K181" s="66">
        <f>(0.8+0.53)*2.3*0.62</f>
        <v>1.8965799999999997</v>
      </c>
      <c r="L181" s="21"/>
      <c r="M181" s="105"/>
      <c r="N181" s="948">
        <f>ROUND(L181*K181,2)</f>
        <v>0</v>
      </c>
      <c r="O181" s="948"/>
      <c r="P181" s="948"/>
      <c r="Q181" s="948"/>
      <c r="T181" s="506"/>
      <c r="U181" s="58"/>
      <c r="V181" s="58"/>
      <c r="W181" s="58"/>
      <c r="X181" s="58"/>
      <c r="Y181" s="58"/>
      <c r="Z181" s="58"/>
      <c r="AA181" s="507"/>
      <c r="AC181" s="423"/>
      <c r="AT181" s="448"/>
      <c r="AU181" s="448"/>
    </row>
    <row r="182" spans="1:47" s="162" customFormat="1" ht="32.25" customHeight="1">
      <c r="A182" s="454"/>
      <c r="C182" s="485" t="s">
        <v>803</v>
      </c>
      <c r="D182" s="486"/>
      <c r="E182" s="195" t="s">
        <v>1548</v>
      </c>
      <c r="F182" s="964" t="s">
        <v>314</v>
      </c>
      <c r="G182" s="964"/>
      <c r="H182" s="964"/>
      <c r="I182" s="964"/>
      <c r="J182" s="487" t="s">
        <v>129</v>
      </c>
      <c r="K182" s="66">
        <f>(4.95+1.72+1.69)*3.25*0.33-0.53-1.26*0.3*2.02</f>
        <v>7.67254</v>
      </c>
      <c r="L182" s="21"/>
      <c r="M182" s="105"/>
      <c r="N182" s="948">
        <f t="shared" si="7"/>
        <v>0</v>
      </c>
      <c r="O182" s="948"/>
      <c r="P182" s="948"/>
      <c r="Q182" s="948"/>
      <c r="T182" s="506"/>
      <c r="U182" s="58"/>
      <c r="V182" s="58"/>
      <c r="W182" s="58"/>
      <c r="X182" s="58"/>
      <c r="Y182" s="58"/>
      <c r="Z182" s="58"/>
      <c r="AA182" s="507"/>
      <c r="AT182" s="448" t="s">
        <v>182</v>
      </c>
      <c r="AU182" s="448" t="s">
        <v>76</v>
      </c>
    </row>
    <row r="183" spans="1:65" s="162" customFormat="1" ht="32.25" customHeight="1">
      <c r="A183" s="454"/>
      <c r="C183" s="485" t="s">
        <v>804</v>
      </c>
      <c r="D183" s="486"/>
      <c r="E183" s="195" t="s">
        <v>1549</v>
      </c>
      <c r="F183" s="964" t="s">
        <v>318</v>
      </c>
      <c r="G183" s="964"/>
      <c r="H183" s="964"/>
      <c r="I183" s="964"/>
      <c r="J183" s="487" t="s">
        <v>129</v>
      </c>
      <c r="K183" s="66">
        <f>(2.53+2.03)*3.25*0.22</f>
        <v>3.2603999999999997</v>
      </c>
      <c r="L183" s="21"/>
      <c r="M183" s="105"/>
      <c r="N183" s="948">
        <f t="shared" si="7"/>
        <v>0</v>
      </c>
      <c r="O183" s="948"/>
      <c r="P183" s="948"/>
      <c r="Q183" s="948"/>
      <c r="T183" s="407" t="s">
        <v>5</v>
      </c>
      <c r="U183" s="221" t="s">
        <v>36</v>
      </c>
      <c r="V183" s="408">
        <v>0</v>
      </c>
      <c r="W183" s="408">
        <f>V183*K206</f>
        <v>0</v>
      </c>
      <c r="X183" s="408">
        <v>0</v>
      </c>
      <c r="Y183" s="408">
        <f>X183*K206</f>
        <v>0</v>
      </c>
      <c r="Z183" s="408">
        <v>0</v>
      </c>
      <c r="AA183" s="409">
        <f>Z183*K206</f>
        <v>0</v>
      </c>
      <c r="AR183" s="448" t="s">
        <v>128</v>
      </c>
      <c r="AT183" s="448" t="s">
        <v>126</v>
      </c>
      <c r="AU183" s="448" t="s">
        <v>76</v>
      </c>
      <c r="AY183" s="448" t="s">
        <v>125</v>
      </c>
      <c r="BE183" s="484">
        <f>IF(U183="základní",N206,0)</f>
        <v>0</v>
      </c>
      <c r="BF183" s="484">
        <f>IF(U183="snížená",N206,0)</f>
        <v>0</v>
      </c>
      <c r="BG183" s="484">
        <f>IF(U183="zákl. přenesená",N206,0)</f>
        <v>0</v>
      </c>
      <c r="BH183" s="484">
        <f>IF(U183="sníž. přenesená",N206,0)</f>
        <v>0</v>
      </c>
      <c r="BI183" s="484">
        <f>IF(U183="nulová",N206,0)</f>
        <v>0</v>
      </c>
      <c r="BJ183" s="448" t="s">
        <v>80</v>
      </c>
      <c r="BK183" s="484">
        <f>ROUND(L206*K206,2)</f>
        <v>0</v>
      </c>
      <c r="BL183" s="448" t="s">
        <v>128</v>
      </c>
      <c r="BM183" s="448" t="s">
        <v>147</v>
      </c>
    </row>
    <row r="184" spans="1:65" s="162" customFormat="1" ht="32.25" customHeight="1">
      <c r="A184" s="454"/>
      <c r="C184" s="485" t="s">
        <v>805</v>
      </c>
      <c r="D184" s="486"/>
      <c r="E184" s="195" t="s">
        <v>1550</v>
      </c>
      <c r="F184" s="964" t="s">
        <v>299</v>
      </c>
      <c r="G184" s="964"/>
      <c r="H184" s="964"/>
      <c r="I184" s="964"/>
      <c r="J184" s="487" t="s">
        <v>129</v>
      </c>
      <c r="K184" s="66">
        <f>4.95*3.25*0.18</f>
        <v>2.8957500000000005</v>
      </c>
      <c r="L184" s="21"/>
      <c r="M184" s="105"/>
      <c r="N184" s="948">
        <f t="shared" si="7"/>
        <v>0</v>
      </c>
      <c r="O184" s="948"/>
      <c r="P184" s="948"/>
      <c r="Q184" s="948"/>
      <c r="T184" s="407" t="s">
        <v>5</v>
      </c>
      <c r="U184" s="221" t="s">
        <v>36</v>
      </c>
      <c r="V184" s="408">
        <v>0</v>
      </c>
      <c r="W184" s="408">
        <f>V184*K208</f>
        <v>0</v>
      </c>
      <c r="X184" s="408">
        <v>0</v>
      </c>
      <c r="Y184" s="408">
        <f>X184*K208</f>
        <v>0</v>
      </c>
      <c r="Z184" s="408">
        <v>0</v>
      </c>
      <c r="AA184" s="409">
        <f>Z184*K208</f>
        <v>0</v>
      </c>
      <c r="AR184" s="448" t="s">
        <v>128</v>
      </c>
      <c r="AT184" s="448" t="s">
        <v>126</v>
      </c>
      <c r="AU184" s="448" t="s">
        <v>76</v>
      </c>
      <c r="AY184" s="448" t="s">
        <v>125</v>
      </c>
      <c r="BE184" s="484">
        <f>IF(U184="základní",N208,0)</f>
        <v>0</v>
      </c>
      <c r="BF184" s="484">
        <f>IF(U184="snížená",N208,0)</f>
        <v>0</v>
      </c>
      <c r="BG184" s="484">
        <f>IF(U184="zákl. přenesená",N208,0)</f>
        <v>0</v>
      </c>
      <c r="BH184" s="484">
        <f>IF(U184="sníž. přenesená",N208,0)</f>
        <v>0</v>
      </c>
      <c r="BI184" s="484">
        <f>IF(U184="nulová",N208,0)</f>
        <v>0</v>
      </c>
      <c r="BJ184" s="448" t="s">
        <v>80</v>
      </c>
      <c r="BK184" s="484">
        <f>ROUND(L208*K208,2)</f>
        <v>0</v>
      </c>
      <c r="BL184" s="448" t="s">
        <v>128</v>
      </c>
      <c r="BM184" s="448" t="s">
        <v>148</v>
      </c>
    </row>
    <row r="185" spans="1:47" s="162" customFormat="1" ht="32.25" customHeight="1">
      <c r="A185" s="454"/>
      <c r="C185" s="485" t="s">
        <v>806</v>
      </c>
      <c r="D185" s="486"/>
      <c r="E185" s="195" t="s">
        <v>1551</v>
      </c>
      <c r="F185" s="964" t="s">
        <v>317</v>
      </c>
      <c r="G185" s="964"/>
      <c r="H185" s="964"/>
      <c r="I185" s="964"/>
      <c r="J185" s="487" t="s">
        <v>129</v>
      </c>
      <c r="K185" s="66">
        <f>(4.95+3.07+1.81+1.41)*0.09*3.25</f>
        <v>3.2877</v>
      </c>
      <c r="L185" s="21"/>
      <c r="M185" s="105"/>
      <c r="N185" s="948">
        <f t="shared" si="7"/>
        <v>0</v>
      </c>
      <c r="O185" s="948"/>
      <c r="P185" s="948"/>
      <c r="Q185" s="948"/>
      <c r="T185" s="506"/>
      <c r="U185" s="58"/>
      <c r="V185" s="58"/>
      <c r="W185" s="58"/>
      <c r="X185" s="58"/>
      <c r="Y185" s="58"/>
      <c r="Z185" s="58"/>
      <c r="AA185" s="507"/>
      <c r="AT185" s="448" t="s">
        <v>182</v>
      </c>
      <c r="AU185" s="448" t="s">
        <v>76</v>
      </c>
    </row>
    <row r="186" spans="1:65" s="162" customFormat="1" ht="32.25" customHeight="1">
      <c r="A186" s="454"/>
      <c r="C186" s="485" t="s">
        <v>807</v>
      </c>
      <c r="D186" s="486"/>
      <c r="E186" s="195" t="s">
        <v>1559</v>
      </c>
      <c r="F186" s="964" t="s">
        <v>454</v>
      </c>
      <c r="G186" s="964"/>
      <c r="H186" s="964"/>
      <c r="I186" s="964"/>
      <c r="J186" s="487" t="s">
        <v>127</v>
      </c>
      <c r="K186" s="66">
        <f>23.6+26.8+2.4+16.1+1.5+1.2+1.2+16+11.5+15+15.7</f>
        <v>131</v>
      </c>
      <c r="L186" s="21"/>
      <c r="M186" s="105"/>
      <c r="N186" s="948">
        <f t="shared" si="7"/>
        <v>0</v>
      </c>
      <c r="O186" s="948"/>
      <c r="P186" s="948"/>
      <c r="Q186" s="948"/>
      <c r="T186" s="407" t="s">
        <v>5</v>
      </c>
      <c r="U186" s="221" t="s">
        <v>36</v>
      </c>
      <c r="V186" s="408">
        <v>0</v>
      </c>
      <c r="W186" s="408">
        <f>V186*K212</f>
        <v>0</v>
      </c>
      <c r="X186" s="408">
        <v>0</v>
      </c>
      <c r="Y186" s="408">
        <f>X186*K212</f>
        <v>0</v>
      </c>
      <c r="Z186" s="408">
        <v>0</v>
      </c>
      <c r="AA186" s="409">
        <f>Z186*K212</f>
        <v>0</v>
      </c>
      <c r="AR186" s="448" t="s">
        <v>128</v>
      </c>
      <c r="AT186" s="448" t="s">
        <v>126</v>
      </c>
      <c r="AU186" s="448" t="s">
        <v>76</v>
      </c>
      <c r="AY186" s="448" t="s">
        <v>125</v>
      </c>
      <c r="BE186" s="484">
        <f>IF(U186="základní",N212,0)</f>
        <v>0</v>
      </c>
      <c r="BF186" s="484">
        <f>IF(U186="snížená",N212,0)</f>
        <v>0</v>
      </c>
      <c r="BG186" s="484">
        <f>IF(U186="zákl. přenesená",N212,0)</f>
        <v>0</v>
      </c>
      <c r="BH186" s="484">
        <f>IF(U186="sníž. přenesená",N212,0)</f>
        <v>0</v>
      </c>
      <c r="BI186" s="484">
        <f>IF(U186="nulová",N212,0)</f>
        <v>0</v>
      </c>
      <c r="BJ186" s="448" t="s">
        <v>80</v>
      </c>
      <c r="BK186" s="484">
        <f>ROUND(L212*K212,2)</f>
        <v>0</v>
      </c>
      <c r="BL186" s="448" t="s">
        <v>128</v>
      </c>
      <c r="BM186" s="448" t="s">
        <v>150</v>
      </c>
    </row>
    <row r="187" spans="1:47" s="162" customFormat="1" ht="32.25" customHeight="1">
      <c r="A187" s="454"/>
      <c r="C187" s="485" t="s">
        <v>808</v>
      </c>
      <c r="D187" s="490"/>
      <c r="E187" s="195" t="s">
        <v>1517</v>
      </c>
      <c r="F187" s="960" t="s">
        <v>243</v>
      </c>
      <c r="G187" s="965"/>
      <c r="H187" s="965"/>
      <c r="I187" s="965"/>
      <c r="J187" s="94" t="s">
        <v>129</v>
      </c>
      <c r="K187" s="39">
        <f>K188*0.05</f>
        <v>3.6107516250000007</v>
      </c>
      <c r="L187" s="21"/>
      <c r="M187" s="105"/>
      <c r="N187" s="966">
        <f t="shared" si="7"/>
        <v>0</v>
      </c>
      <c r="O187" s="966"/>
      <c r="P187" s="966"/>
      <c r="Q187" s="966"/>
      <c r="T187" s="506"/>
      <c r="U187" s="58"/>
      <c r="V187" s="58"/>
      <c r="W187" s="58"/>
      <c r="X187" s="58"/>
      <c r="Y187" s="58"/>
      <c r="Z187" s="58"/>
      <c r="AA187" s="507"/>
      <c r="AT187" s="448" t="s">
        <v>182</v>
      </c>
      <c r="AU187" s="448" t="s">
        <v>76</v>
      </c>
    </row>
    <row r="188" spans="1:65" s="162" customFormat="1" ht="32.25" customHeight="1">
      <c r="A188" s="454"/>
      <c r="C188" s="485" t="s">
        <v>809</v>
      </c>
      <c r="D188" s="490"/>
      <c r="E188" s="195" t="s">
        <v>1518</v>
      </c>
      <c r="F188" s="960" t="s">
        <v>242</v>
      </c>
      <c r="G188" s="965"/>
      <c r="H188" s="965"/>
      <c r="I188" s="965"/>
      <c r="J188" s="94" t="s">
        <v>129</v>
      </c>
      <c r="K188" s="39">
        <f>K172*0.015*1.5+K173*0.015*1.5+K174*0.1*0.015*1.5+K177*1.3*0.3*0.9+K178*0.05*2+K175*0.02*1.5+K176*0.02*1.5+K179*0.1*1.5+K180+K181+K182+K183+K184+K185+K186*0.2*1.5</f>
        <v>72.2150325</v>
      </c>
      <c r="L188" s="21"/>
      <c r="M188" s="105"/>
      <c r="N188" s="966">
        <f t="shared" si="7"/>
        <v>0</v>
      </c>
      <c r="O188" s="966"/>
      <c r="P188" s="966"/>
      <c r="Q188" s="966"/>
      <c r="T188" s="407" t="s">
        <v>5</v>
      </c>
      <c r="U188" s="221" t="s">
        <v>36</v>
      </c>
      <c r="V188" s="408">
        <v>0</v>
      </c>
      <c r="W188" s="408">
        <f>V188*K214</f>
        <v>0</v>
      </c>
      <c r="X188" s="408">
        <v>0</v>
      </c>
      <c r="Y188" s="408">
        <f>X188*K214</f>
        <v>0</v>
      </c>
      <c r="Z188" s="408">
        <v>0</v>
      </c>
      <c r="AA188" s="409">
        <f>Z188*K214</f>
        <v>0</v>
      </c>
      <c r="AR188" s="448" t="s">
        <v>128</v>
      </c>
      <c r="AT188" s="448" t="s">
        <v>126</v>
      </c>
      <c r="AU188" s="448" t="s">
        <v>76</v>
      </c>
      <c r="AY188" s="448" t="s">
        <v>125</v>
      </c>
      <c r="BE188" s="484">
        <f>IF(U188="základní",N214,0)</f>
        <v>0</v>
      </c>
      <c r="BF188" s="484">
        <f>IF(U188="snížená",N214,0)</f>
        <v>0</v>
      </c>
      <c r="BG188" s="484">
        <f>IF(U188="zákl. přenesená",N214,0)</f>
        <v>0</v>
      </c>
      <c r="BH188" s="484">
        <f>IF(U188="sníž. přenesená",N214,0)</f>
        <v>0</v>
      </c>
      <c r="BI188" s="484">
        <f>IF(U188="nulová",N214,0)</f>
        <v>0</v>
      </c>
      <c r="BJ188" s="448" t="s">
        <v>80</v>
      </c>
      <c r="BK188" s="484">
        <f>ROUND(L214*K214,2)</f>
        <v>0</v>
      </c>
      <c r="BL188" s="448" t="s">
        <v>128</v>
      </c>
      <c r="BM188" s="448" t="s">
        <v>151</v>
      </c>
    </row>
    <row r="189" spans="1:47" s="162" customFormat="1" ht="32.25" customHeight="1">
      <c r="A189" s="454"/>
      <c r="C189" s="485" t="s">
        <v>810</v>
      </c>
      <c r="D189" s="490"/>
      <c r="E189" s="195" t="s">
        <v>1561</v>
      </c>
      <c r="F189" s="960" t="s">
        <v>206</v>
      </c>
      <c r="G189" s="965"/>
      <c r="H189" s="965"/>
      <c r="I189" s="965"/>
      <c r="J189" s="500" t="str">
        <f>J188</f>
        <v>m3</v>
      </c>
      <c r="K189" s="39">
        <f>K187+K188</f>
        <v>75.82578412500001</v>
      </c>
      <c r="L189" s="21"/>
      <c r="M189" s="105"/>
      <c r="N189" s="966">
        <f t="shared" si="7"/>
        <v>0</v>
      </c>
      <c r="O189" s="966"/>
      <c r="P189" s="966"/>
      <c r="Q189" s="966"/>
      <c r="T189" s="506"/>
      <c r="U189" s="58"/>
      <c r="V189" s="58"/>
      <c r="W189" s="58"/>
      <c r="X189" s="58"/>
      <c r="Y189" s="58"/>
      <c r="Z189" s="58"/>
      <c r="AA189" s="507"/>
      <c r="AT189" s="448" t="s">
        <v>182</v>
      </c>
      <c r="AU189" s="448" t="s">
        <v>76</v>
      </c>
    </row>
    <row r="190" spans="1:65" s="497" customFormat="1" ht="32.25" customHeight="1">
      <c r="A190" s="488"/>
      <c r="B190" s="489"/>
      <c r="C190" s="501"/>
      <c r="D190" s="105" t="s">
        <v>767</v>
      </c>
      <c r="E190" s="502"/>
      <c r="J190" s="503"/>
      <c r="K190" s="84"/>
      <c r="L190" s="23"/>
      <c r="M190" s="105"/>
      <c r="N190" s="504"/>
      <c r="O190" s="504"/>
      <c r="P190" s="504"/>
      <c r="Q190" s="504"/>
      <c r="R190" s="504"/>
      <c r="S190" s="504"/>
      <c r="T190" s="504"/>
      <c r="U190" s="504"/>
      <c r="V190" s="504"/>
      <c r="W190" s="504"/>
      <c r="X190" s="504"/>
      <c r="Y190" s="504"/>
      <c r="Z190" s="504"/>
      <c r="AA190" s="504"/>
      <c r="AB190" s="504"/>
      <c r="AC190" s="504"/>
      <c r="AD190" s="504"/>
      <c r="AE190" s="504"/>
      <c r="AU190" s="498"/>
      <c r="AY190" s="498"/>
      <c r="BE190" s="499"/>
      <c r="BF190" s="499"/>
      <c r="BG190" s="499"/>
      <c r="BH190" s="499"/>
      <c r="BI190" s="499"/>
      <c r="BJ190" s="498"/>
      <c r="BK190" s="499"/>
      <c r="BL190" s="498"/>
      <c r="BM190" s="498"/>
    </row>
    <row r="191" spans="1:65" s="162" customFormat="1" ht="32.25" customHeight="1">
      <c r="A191" s="454"/>
      <c r="C191" s="485" t="s">
        <v>811</v>
      </c>
      <c r="D191" s="486"/>
      <c r="E191" s="195" t="s">
        <v>1515</v>
      </c>
      <c r="F191" s="964" t="s">
        <v>280</v>
      </c>
      <c r="G191" s="968"/>
      <c r="H191" s="968"/>
      <c r="I191" s="968"/>
      <c r="J191" s="487" t="s">
        <v>198</v>
      </c>
      <c r="K191" s="66">
        <v>8</v>
      </c>
      <c r="L191" s="21"/>
      <c r="M191" s="105"/>
      <c r="N191" s="948">
        <f>ROUND(L191*K191,2)</f>
        <v>0</v>
      </c>
      <c r="O191" s="948"/>
      <c r="P191" s="948"/>
      <c r="Q191" s="948"/>
      <c r="T191" s="407" t="s">
        <v>5</v>
      </c>
      <c r="U191" s="221" t="s">
        <v>36</v>
      </c>
      <c r="V191" s="408">
        <v>0</v>
      </c>
      <c r="W191" s="408" t="e">
        <f>V191*#REF!</f>
        <v>#REF!</v>
      </c>
      <c r="X191" s="408">
        <v>0</v>
      </c>
      <c r="Y191" s="408" t="e">
        <f>X191*#REF!</f>
        <v>#REF!</v>
      </c>
      <c r="Z191" s="408">
        <v>0</v>
      </c>
      <c r="AA191" s="409" t="e">
        <f>Z191*#REF!</f>
        <v>#REF!</v>
      </c>
      <c r="AU191" s="448" t="s">
        <v>76</v>
      </c>
      <c r="AY191" s="448" t="s">
        <v>125</v>
      </c>
      <c r="BE191" s="484">
        <f>IF(U191="základní",#REF!,0)</f>
        <v>0</v>
      </c>
      <c r="BF191" s="484" t="e">
        <f>IF(U191="snížená",#REF!,0)</f>
        <v>#REF!</v>
      </c>
      <c r="BG191" s="484">
        <f>IF(U191="zákl. přenesená",#REF!,0)</f>
        <v>0</v>
      </c>
      <c r="BH191" s="484">
        <f>IF(U191="sníž. přenesená",#REF!,0)</f>
        <v>0</v>
      </c>
      <c r="BI191" s="484">
        <f>IF(U191="nulová",#REF!,0)</f>
        <v>0</v>
      </c>
      <c r="BJ191" s="448" t="s">
        <v>80</v>
      </c>
      <c r="BK191" s="484" t="e">
        <f>ROUND(#REF!*#REF!,2)</f>
        <v>#REF!</v>
      </c>
      <c r="BL191" s="448" t="s">
        <v>128</v>
      </c>
      <c r="BM191" s="448" t="s">
        <v>140</v>
      </c>
    </row>
    <row r="192" spans="1:65" s="162" customFormat="1" ht="32.25" customHeight="1">
      <c r="A192" s="454"/>
      <c r="C192" s="485" t="s">
        <v>812</v>
      </c>
      <c r="D192" s="486"/>
      <c r="E192" s="195" t="s">
        <v>1541</v>
      </c>
      <c r="F192" s="964" t="s">
        <v>307</v>
      </c>
      <c r="G192" s="968"/>
      <c r="H192" s="968"/>
      <c r="I192" s="968"/>
      <c r="J192" s="487" t="s">
        <v>198</v>
      </c>
      <c r="K192" s="66">
        <v>2</v>
      </c>
      <c r="L192" s="21"/>
      <c r="M192" s="105"/>
      <c r="N192" s="948">
        <f>ROUND(L192*K192,2)</f>
        <v>0</v>
      </c>
      <c r="O192" s="948"/>
      <c r="P192" s="948"/>
      <c r="Q192" s="948"/>
      <c r="T192" s="505"/>
      <c r="U192" s="221"/>
      <c r="V192" s="408"/>
      <c r="W192" s="408"/>
      <c r="X192" s="408"/>
      <c r="Y192" s="408"/>
      <c r="Z192" s="408"/>
      <c r="AA192" s="409"/>
      <c r="AU192" s="448"/>
      <c r="AY192" s="448"/>
      <c r="BE192" s="484"/>
      <c r="BF192" s="484"/>
      <c r="BG192" s="484"/>
      <c r="BH192" s="484"/>
      <c r="BI192" s="484"/>
      <c r="BJ192" s="448"/>
      <c r="BK192" s="484"/>
      <c r="BL192" s="448"/>
      <c r="BM192" s="448"/>
    </row>
    <row r="193" spans="1:47" s="162" customFormat="1" ht="32.25" customHeight="1">
      <c r="A193" s="454"/>
      <c r="C193" s="485" t="s">
        <v>813</v>
      </c>
      <c r="D193" s="486"/>
      <c r="E193" s="195" t="s">
        <v>1516</v>
      </c>
      <c r="F193" s="964" t="s">
        <v>274</v>
      </c>
      <c r="G193" s="964"/>
      <c r="H193" s="964"/>
      <c r="I193" s="964"/>
      <c r="J193" s="487" t="s">
        <v>198</v>
      </c>
      <c r="K193" s="66">
        <f>K191+K192</f>
        <v>10</v>
      </c>
      <c r="L193" s="21"/>
      <c r="M193" s="105"/>
      <c r="N193" s="948">
        <f aca="true" t="shared" si="8" ref="N193:N198">ROUND(L193*K193,2)</f>
        <v>0</v>
      </c>
      <c r="O193" s="948"/>
      <c r="P193" s="948"/>
      <c r="Q193" s="948"/>
      <c r="T193" s="506"/>
      <c r="U193" s="58"/>
      <c r="V193" s="58"/>
      <c r="W193" s="58"/>
      <c r="X193" s="58"/>
      <c r="Y193" s="58"/>
      <c r="Z193" s="58"/>
      <c r="AA193" s="507"/>
      <c r="AU193" s="448" t="s">
        <v>76</v>
      </c>
    </row>
    <row r="194" spans="1:47" s="162" customFormat="1" ht="32.25" customHeight="1">
      <c r="A194" s="454"/>
      <c r="C194" s="485" t="s">
        <v>814</v>
      </c>
      <c r="D194" s="486"/>
      <c r="E194" s="195" t="s">
        <v>1520</v>
      </c>
      <c r="F194" s="967" t="s">
        <v>275</v>
      </c>
      <c r="G194" s="967"/>
      <c r="H194" s="967"/>
      <c r="I194" s="967"/>
      <c r="J194" s="487" t="s">
        <v>198</v>
      </c>
      <c r="K194" s="66">
        <v>1</v>
      </c>
      <c r="L194" s="21"/>
      <c r="M194" s="105"/>
      <c r="N194" s="948">
        <f t="shared" si="8"/>
        <v>0</v>
      </c>
      <c r="O194" s="948"/>
      <c r="P194" s="948"/>
      <c r="Q194" s="948"/>
      <c r="T194" s="506"/>
      <c r="U194" s="58"/>
      <c r="V194" s="58"/>
      <c r="W194" s="58"/>
      <c r="X194" s="58"/>
      <c r="Y194" s="58"/>
      <c r="Z194" s="58"/>
      <c r="AA194" s="507"/>
      <c r="AU194" s="448" t="s">
        <v>76</v>
      </c>
    </row>
    <row r="195" spans="1:65" s="162" customFormat="1" ht="32.25" customHeight="1">
      <c r="A195" s="454"/>
      <c r="C195" s="485" t="s">
        <v>815</v>
      </c>
      <c r="D195" s="486"/>
      <c r="E195" s="195" t="s">
        <v>1521</v>
      </c>
      <c r="F195" s="967" t="s">
        <v>308</v>
      </c>
      <c r="G195" s="967"/>
      <c r="H195" s="967"/>
      <c r="I195" s="967"/>
      <c r="J195" s="487" t="s">
        <v>198</v>
      </c>
      <c r="K195" s="66">
        <v>11</v>
      </c>
      <c r="L195" s="21"/>
      <c r="M195" s="105"/>
      <c r="N195" s="948">
        <f t="shared" si="8"/>
        <v>0</v>
      </c>
      <c r="O195" s="948"/>
      <c r="P195" s="948"/>
      <c r="Q195" s="948"/>
      <c r="T195" s="407" t="s">
        <v>5</v>
      </c>
      <c r="U195" s="221" t="s">
        <v>36</v>
      </c>
      <c r="V195" s="408">
        <v>0</v>
      </c>
      <c r="W195" s="408" t="e">
        <f>V195*#REF!</f>
        <v>#REF!</v>
      </c>
      <c r="X195" s="408">
        <v>0</v>
      </c>
      <c r="Y195" s="408" t="e">
        <f>X195*#REF!</f>
        <v>#REF!</v>
      </c>
      <c r="Z195" s="408">
        <v>0</v>
      </c>
      <c r="AA195" s="409" t="e">
        <f>Z195*#REF!</f>
        <v>#REF!</v>
      </c>
      <c r="AU195" s="448" t="s">
        <v>76</v>
      </c>
      <c r="AY195" s="448" t="s">
        <v>125</v>
      </c>
      <c r="BE195" s="484">
        <f>IF(U195="základní",#REF!,0)</f>
        <v>0</v>
      </c>
      <c r="BF195" s="484" t="e">
        <f>IF(U195="snížená",#REF!,0)</f>
        <v>#REF!</v>
      </c>
      <c r="BG195" s="484">
        <f>IF(U195="zákl. přenesená",#REF!,0)</f>
        <v>0</v>
      </c>
      <c r="BH195" s="484">
        <f>IF(U195="sníž. přenesená",#REF!,0)</f>
        <v>0</v>
      </c>
      <c r="BI195" s="484">
        <f>IF(U195="nulová",#REF!,0)</f>
        <v>0</v>
      </c>
      <c r="BJ195" s="448" t="s">
        <v>80</v>
      </c>
      <c r="BK195" s="484" t="e">
        <f>ROUND(#REF!*#REF!,2)</f>
        <v>#REF!</v>
      </c>
      <c r="BL195" s="448" t="s">
        <v>128</v>
      </c>
      <c r="BM195" s="448" t="s">
        <v>142</v>
      </c>
    </row>
    <row r="196" spans="1:47" s="162" customFormat="1" ht="32.25" customHeight="1">
      <c r="A196" s="454"/>
      <c r="C196" s="485" t="s">
        <v>237</v>
      </c>
      <c r="D196" s="486"/>
      <c r="E196" s="195" t="s">
        <v>1522</v>
      </c>
      <c r="F196" s="964" t="s">
        <v>276</v>
      </c>
      <c r="G196" s="968"/>
      <c r="H196" s="968"/>
      <c r="I196" s="968"/>
      <c r="J196" s="487" t="s">
        <v>198</v>
      </c>
      <c r="K196" s="66">
        <f>K194+K195</f>
        <v>12</v>
      </c>
      <c r="L196" s="21"/>
      <c r="M196" s="105"/>
      <c r="N196" s="948">
        <f t="shared" si="8"/>
        <v>0</v>
      </c>
      <c r="O196" s="948"/>
      <c r="P196" s="948"/>
      <c r="Q196" s="948"/>
      <c r="T196" s="506"/>
      <c r="U196" s="58"/>
      <c r="V196" s="58"/>
      <c r="W196" s="58"/>
      <c r="X196" s="58"/>
      <c r="Y196" s="58"/>
      <c r="Z196" s="58"/>
      <c r="AA196" s="507"/>
      <c r="AU196" s="448" t="s">
        <v>76</v>
      </c>
    </row>
    <row r="197" spans="1:47" s="162" customFormat="1" ht="32.25" customHeight="1">
      <c r="A197" s="454"/>
      <c r="C197" s="485" t="s">
        <v>238</v>
      </c>
      <c r="D197" s="486"/>
      <c r="E197" s="195" t="s">
        <v>1524</v>
      </c>
      <c r="F197" s="964" t="s">
        <v>295</v>
      </c>
      <c r="G197" s="964"/>
      <c r="H197" s="964"/>
      <c r="I197" s="964"/>
      <c r="J197" s="487" t="s">
        <v>133</v>
      </c>
      <c r="K197" s="66">
        <f>0.62+11*1.15</f>
        <v>13.269999999999998</v>
      </c>
      <c r="L197" s="21"/>
      <c r="M197" s="105"/>
      <c r="N197" s="948">
        <f t="shared" si="8"/>
        <v>0</v>
      </c>
      <c r="O197" s="948"/>
      <c r="P197" s="948"/>
      <c r="Q197" s="948"/>
      <c r="T197" s="506"/>
      <c r="U197" s="58"/>
      <c r="V197" s="58"/>
      <c r="W197" s="58"/>
      <c r="X197" s="58"/>
      <c r="Y197" s="58"/>
      <c r="Z197" s="58"/>
      <c r="AA197" s="507"/>
      <c r="AC197" s="172"/>
      <c r="AU197" s="448" t="s">
        <v>76</v>
      </c>
    </row>
    <row r="198" spans="1:47" s="162" customFormat="1" ht="32.25" customHeight="1">
      <c r="A198" s="454"/>
      <c r="C198" s="485" t="s">
        <v>239</v>
      </c>
      <c r="D198" s="486"/>
      <c r="E198" s="195" t="s">
        <v>1525</v>
      </c>
      <c r="F198" s="964" t="s">
        <v>309</v>
      </c>
      <c r="G198" s="964"/>
      <c r="H198" s="964"/>
      <c r="I198" s="964"/>
      <c r="J198" s="487" t="s">
        <v>133</v>
      </c>
      <c r="K198" s="66">
        <f>K197</f>
        <v>13.269999999999998</v>
      </c>
      <c r="L198" s="21"/>
      <c r="M198" s="105"/>
      <c r="N198" s="948">
        <f t="shared" si="8"/>
        <v>0</v>
      </c>
      <c r="O198" s="948"/>
      <c r="P198" s="948"/>
      <c r="Q198" s="948"/>
      <c r="T198" s="506"/>
      <c r="U198" s="58"/>
      <c r="V198" s="58"/>
      <c r="W198" s="58"/>
      <c r="X198" s="58"/>
      <c r="Y198" s="58"/>
      <c r="Z198" s="58"/>
      <c r="AA198" s="507"/>
      <c r="AU198" s="448"/>
    </row>
    <row r="199" spans="1:47" s="162" customFormat="1" ht="32.25" customHeight="1">
      <c r="A199" s="454"/>
      <c r="C199" s="485" t="s">
        <v>816</v>
      </c>
      <c r="D199" s="486"/>
      <c r="E199" s="195" t="s">
        <v>1526</v>
      </c>
      <c r="F199" s="964" t="s">
        <v>273</v>
      </c>
      <c r="G199" s="964"/>
      <c r="H199" s="964"/>
      <c r="I199" s="964"/>
      <c r="J199" s="487" t="s">
        <v>131</v>
      </c>
      <c r="K199" s="66">
        <v>1</v>
      </c>
      <c r="L199" s="21"/>
      <c r="M199" s="105"/>
      <c r="N199" s="948">
        <f>ROUND(L199*K199,2)</f>
        <v>0</v>
      </c>
      <c r="O199" s="948"/>
      <c r="P199" s="948"/>
      <c r="Q199" s="948"/>
      <c r="T199" s="506"/>
      <c r="U199" s="58"/>
      <c r="V199" s="58"/>
      <c r="W199" s="58"/>
      <c r="X199" s="58"/>
      <c r="Y199" s="58"/>
      <c r="Z199" s="58"/>
      <c r="AA199" s="507"/>
      <c r="AU199" s="448"/>
    </row>
    <row r="200" spans="1:47" s="162" customFormat="1" ht="32.25" customHeight="1">
      <c r="A200" s="454"/>
      <c r="C200" s="485" t="s">
        <v>817</v>
      </c>
      <c r="D200" s="486"/>
      <c r="E200" s="195" t="s">
        <v>1527</v>
      </c>
      <c r="F200" s="964" t="s">
        <v>277</v>
      </c>
      <c r="G200" s="964"/>
      <c r="H200" s="964"/>
      <c r="I200" s="964"/>
      <c r="J200" s="487" t="s">
        <v>198</v>
      </c>
      <c r="K200" s="66">
        <v>5</v>
      </c>
      <c r="L200" s="21"/>
      <c r="M200" s="105"/>
      <c r="N200" s="948">
        <f aca="true" t="shared" si="9" ref="N200:N205">ROUND(L200*K200,2)</f>
        <v>0</v>
      </c>
      <c r="O200" s="948"/>
      <c r="P200" s="948"/>
      <c r="Q200" s="948"/>
      <c r="T200" s="506"/>
      <c r="U200" s="58"/>
      <c r="V200" s="58"/>
      <c r="W200" s="58"/>
      <c r="X200" s="58"/>
      <c r="Y200" s="58"/>
      <c r="Z200" s="58"/>
      <c r="AA200" s="507"/>
      <c r="AU200" s="448"/>
    </row>
    <row r="201" spans="1:65" s="162" customFormat="1" ht="39" customHeight="1">
      <c r="A201" s="454"/>
      <c r="C201" s="485" t="s">
        <v>818</v>
      </c>
      <c r="D201" s="486"/>
      <c r="E201" s="195" t="s">
        <v>1528</v>
      </c>
      <c r="F201" s="961" t="s">
        <v>2225</v>
      </c>
      <c r="G201" s="962"/>
      <c r="H201" s="962"/>
      <c r="I201" s="963"/>
      <c r="J201" s="487" t="s">
        <v>131</v>
      </c>
      <c r="K201" s="66">
        <v>1</v>
      </c>
      <c r="L201" s="21"/>
      <c r="M201" s="105"/>
      <c r="N201" s="948">
        <f t="shared" si="9"/>
        <v>0</v>
      </c>
      <c r="O201" s="948"/>
      <c r="P201" s="948"/>
      <c r="Q201" s="948"/>
      <c r="T201" s="407" t="s">
        <v>5</v>
      </c>
      <c r="U201" s="221" t="s">
        <v>36</v>
      </c>
      <c r="V201" s="408">
        <v>0</v>
      </c>
      <c r="W201" s="408" t="e">
        <f>V201*#REF!</f>
        <v>#REF!</v>
      </c>
      <c r="X201" s="408">
        <v>0</v>
      </c>
      <c r="Y201" s="408" t="e">
        <f>X201*#REF!</f>
        <v>#REF!</v>
      </c>
      <c r="Z201" s="408">
        <v>0</v>
      </c>
      <c r="AA201" s="409" t="e">
        <f>Z201*#REF!</f>
        <v>#REF!</v>
      </c>
      <c r="AU201" s="448" t="s">
        <v>76</v>
      </c>
      <c r="AY201" s="448" t="s">
        <v>125</v>
      </c>
      <c r="BE201" s="484">
        <f>IF(U201="základní",#REF!,0)</f>
        <v>0</v>
      </c>
      <c r="BF201" s="484" t="e">
        <f>IF(U201="snížená",#REF!,0)</f>
        <v>#REF!</v>
      </c>
      <c r="BG201" s="484">
        <f>IF(U201="zákl. přenesená",#REF!,0)</f>
        <v>0</v>
      </c>
      <c r="BH201" s="484">
        <f>IF(U201="sníž. přenesená",#REF!,0)</f>
        <v>0</v>
      </c>
      <c r="BI201" s="484">
        <f>IF(U201="nulová",#REF!,0)</f>
        <v>0</v>
      </c>
      <c r="BJ201" s="448" t="s">
        <v>80</v>
      </c>
      <c r="BK201" s="484" t="e">
        <f>ROUND(#REF!*#REF!,2)</f>
        <v>#REF!</v>
      </c>
      <c r="BL201" s="448" t="s">
        <v>128</v>
      </c>
      <c r="BM201" s="448" t="s">
        <v>144</v>
      </c>
    </row>
    <row r="202" spans="1:47" s="162" customFormat="1" ht="32.25" customHeight="1">
      <c r="A202" s="454"/>
      <c r="C202" s="485" t="s">
        <v>819</v>
      </c>
      <c r="D202" s="486"/>
      <c r="E202" s="195" t="s">
        <v>1529</v>
      </c>
      <c r="F202" s="960" t="s">
        <v>305</v>
      </c>
      <c r="G202" s="960"/>
      <c r="H202" s="960"/>
      <c r="I202" s="960"/>
      <c r="J202" s="487" t="s">
        <v>127</v>
      </c>
      <c r="K202" s="66">
        <f>6.2*2.1+1.5+2*3.5*1.5+1.6*1.5+2.5</f>
        <v>29.92</v>
      </c>
      <c r="L202" s="21"/>
      <c r="M202" s="105"/>
      <c r="N202" s="948">
        <f t="shared" si="9"/>
        <v>0</v>
      </c>
      <c r="O202" s="948"/>
      <c r="P202" s="948"/>
      <c r="Q202" s="948"/>
      <c r="T202" s="506"/>
      <c r="U202" s="58"/>
      <c r="V202" s="58"/>
      <c r="W202" s="58"/>
      <c r="X202" s="58"/>
      <c r="Y202" s="58"/>
      <c r="Z202" s="58"/>
      <c r="AA202" s="507"/>
      <c r="AU202" s="448" t="s">
        <v>76</v>
      </c>
    </row>
    <row r="203" spans="1:63" s="398" customFormat="1" ht="32.25" customHeight="1">
      <c r="A203" s="508"/>
      <c r="C203" s="485" t="s">
        <v>820</v>
      </c>
      <c r="D203" s="486"/>
      <c r="E203" s="195" t="s">
        <v>1530</v>
      </c>
      <c r="F203" s="957" t="s">
        <v>278</v>
      </c>
      <c r="G203" s="958"/>
      <c r="H203" s="958"/>
      <c r="I203" s="959"/>
      <c r="J203" s="487" t="s">
        <v>127</v>
      </c>
      <c r="K203" s="66">
        <f>2.4+1.5+1.2+1.2</f>
        <v>6.3</v>
      </c>
      <c r="L203" s="21"/>
      <c r="M203" s="105"/>
      <c r="N203" s="948">
        <f t="shared" si="9"/>
        <v>0</v>
      </c>
      <c r="O203" s="948"/>
      <c r="P203" s="948"/>
      <c r="Q203" s="948"/>
      <c r="T203" s="401"/>
      <c r="U203" s="181"/>
      <c r="V203" s="181"/>
      <c r="W203" s="402" t="e">
        <f>SUM(W204:W224)</f>
        <v>#REF!</v>
      </c>
      <c r="X203" s="181"/>
      <c r="Y203" s="402" t="e">
        <f>SUM(Y204:Y224)</f>
        <v>#REF!</v>
      </c>
      <c r="Z203" s="181"/>
      <c r="AA203" s="403" t="e">
        <f>SUM(AA204:AA224)</f>
        <v>#REF!</v>
      </c>
      <c r="AD203" s="162"/>
      <c r="AE203" s="162"/>
      <c r="AU203" s="405" t="s">
        <v>69</v>
      </c>
      <c r="AY203" s="404" t="s">
        <v>125</v>
      </c>
      <c r="BK203" s="406" t="e">
        <f>SUM(BK204:BK224)</f>
        <v>#REF!</v>
      </c>
    </row>
    <row r="204" spans="1:65" s="162" customFormat="1" ht="32.25" customHeight="1">
      <c r="A204" s="454"/>
      <c r="C204" s="485" t="s">
        <v>821</v>
      </c>
      <c r="D204" s="486"/>
      <c r="E204" s="195" t="s">
        <v>1531</v>
      </c>
      <c r="F204" s="957" t="s">
        <v>303</v>
      </c>
      <c r="G204" s="958"/>
      <c r="H204" s="958"/>
      <c r="I204" s="959"/>
      <c r="J204" s="487" t="s">
        <v>133</v>
      </c>
      <c r="K204" s="66">
        <f>6.2+5.25+4.54+4.54-6*0.8</f>
        <v>15.729999999999997</v>
      </c>
      <c r="L204" s="21"/>
      <c r="M204" s="105"/>
      <c r="N204" s="948">
        <f t="shared" si="9"/>
        <v>0</v>
      </c>
      <c r="O204" s="948"/>
      <c r="P204" s="948"/>
      <c r="Q204" s="948"/>
      <c r="T204" s="407" t="s">
        <v>5</v>
      </c>
      <c r="U204" s="221" t="s">
        <v>36</v>
      </c>
      <c r="V204" s="408">
        <v>0</v>
      </c>
      <c r="W204" s="408" t="e">
        <f>V204*#REF!</f>
        <v>#REF!</v>
      </c>
      <c r="X204" s="408">
        <v>0</v>
      </c>
      <c r="Y204" s="408" t="e">
        <f>X204*#REF!</f>
        <v>#REF!</v>
      </c>
      <c r="Z204" s="408">
        <v>0</v>
      </c>
      <c r="AA204" s="409" t="e">
        <f>Z204*#REF!</f>
        <v>#REF!</v>
      </c>
      <c r="AR204" s="448" t="s">
        <v>128</v>
      </c>
      <c r="AT204" s="448" t="s">
        <v>126</v>
      </c>
      <c r="AU204" s="448" t="s">
        <v>76</v>
      </c>
      <c r="AY204" s="448" t="s">
        <v>125</v>
      </c>
      <c r="BE204" s="484">
        <f>IF(U204="základní",#REF!,0)</f>
        <v>0</v>
      </c>
      <c r="BF204" s="484" t="e">
        <f>IF(U204="snížená",#REF!,0)</f>
        <v>#REF!</v>
      </c>
      <c r="BG204" s="484">
        <f>IF(U204="zákl. přenesená",#REF!,0)</f>
        <v>0</v>
      </c>
      <c r="BH204" s="484">
        <f>IF(U204="sníž. přenesená",#REF!,0)</f>
        <v>0</v>
      </c>
      <c r="BI204" s="484">
        <f>IF(U204="nulová",#REF!,0)</f>
        <v>0</v>
      </c>
      <c r="BJ204" s="448" t="s">
        <v>80</v>
      </c>
      <c r="BK204" s="484" t="e">
        <f>ROUND(#REF!*#REF!,2)</f>
        <v>#REF!</v>
      </c>
      <c r="BL204" s="448" t="s">
        <v>128</v>
      </c>
      <c r="BM204" s="448" t="s">
        <v>145</v>
      </c>
    </row>
    <row r="205" spans="1:47" s="162" customFormat="1" ht="32.25" customHeight="1">
      <c r="A205" s="454"/>
      <c r="C205" s="485" t="s">
        <v>822</v>
      </c>
      <c r="D205" s="486"/>
      <c r="E205" s="195" t="s">
        <v>1542</v>
      </c>
      <c r="F205" s="957" t="s">
        <v>311</v>
      </c>
      <c r="G205" s="958"/>
      <c r="H205" s="958"/>
      <c r="I205" s="959"/>
      <c r="J205" s="487" t="s">
        <v>127</v>
      </c>
      <c r="K205" s="66">
        <f>23.6+26.8+16.1</f>
        <v>66.5</v>
      </c>
      <c r="L205" s="21"/>
      <c r="M205" s="105"/>
      <c r="N205" s="948">
        <f t="shared" si="9"/>
        <v>0</v>
      </c>
      <c r="O205" s="948"/>
      <c r="P205" s="948"/>
      <c r="Q205" s="948"/>
      <c r="T205" s="506"/>
      <c r="U205" s="58"/>
      <c r="V205" s="58"/>
      <c r="W205" s="58"/>
      <c r="X205" s="58"/>
      <c r="Y205" s="58"/>
      <c r="Z205" s="58"/>
      <c r="AA205" s="507"/>
      <c r="AT205" s="448" t="s">
        <v>182</v>
      </c>
      <c r="AU205" s="448" t="s">
        <v>76</v>
      </c>
    </row>
    <row r="206" spans="1:47" s="162" customFormat="1" ht="32.25" customHeight="1">
      <c r="A206" s="454"/>
      <c r="C206" s="485" t="s">
        <v>823</v>
      </c>
      <c r="D206" s="486"/>
      <c r="E206" s="195" t="s">
        <v>1543</v>
      </c>
      <c r="F206" s="957" t="s">
        <v>312</v>
      </c>
      <c r="G206" s="958"/>
      <c r="H206" s="958"/>
      <c r="I206" s="959"/>
      <c r="J206" s="487" t="s">
        <v>127</v>
      </c>
      <c r="K206" s="66">
        <f>16+11.5+15+15.7</f>
        <v>58.2</v>
      </c>
      <c r="L206" s="21"/>
      <c r="M206" s="105"/>
      <c r="N206" s="948">
        <f aca="true" t="shared" si="10" ref="N206:N211">ROUND(L206*K206,2)</f>
        <v>0</v>
      </c>
      <c r="O206" s="948"/>
      <c r="P206" s="948"/>
      <c r="Q206" s="948"/>
      <c r="T206" s="506"/>
      <c r="U206" s="58"/>
      <c r="V206" s="58"/>
      <c r="W206" s="58"/>
      <c r="X206" s="58"/>
      <c r="Y206" s="58"/>
      <c r="Z206" s="58"/>
      <c r="AA206" s="507"/>
      <c r="AT206" s="448"/>
      <c r="AU206" s="448"/>
    </row>
    <row r="207" spans="1:65" s="162" customFormat="1" ht="32.25" customHeight="1">
      <c r="A207" s="454"/>
      <c r="C207" s="485" t="s">
        <v>824</v>
      </c>
      <c r="D207" s="486"/>
      <c r="E207" s="195" t="s">
        <v>1533</v>
      </c>
      <c r="F207" s="957" t="s">
        <v>279</v>
      </c>
      <c r="G207" s="958"/>
      <c r="H207" s="958"/>
      <c r="I207" s="959"/>
      <c r="J207" s="487" t="s">
        <v>198</v>
      </c>
      <c r="K207" s="66">
        <v>13</v>
      </c>
      <c r="L207" s="21"/>
      <c r="M207" s="105"/>
      <c r="N207" s="948">
        <f t="shared" si="10"/>
        <v>0</v>
      </c>
      <c r="O207" s="948"/>
      <c r="P207" s="948"/>
      <c r="Q207" s="948"/>
      <c r="T207" s="407" t="s">
        <v>5</v>
      </c>
      <c r="U207" s="221" t="s">
        <v>36</v>
      </c>
      <c r="V207" s="408">
        <v>0</v>
      </c>
      <c r="W207" s="408" t="e">
        <f>V207*#REF!</f>
        <v>#REF!</v>
      </c>
      <c r="X207" s="408">
        <v>0</v>
      </c>
      <c r="Y207" s="408" t="e">
        <f>X207*#REF!</f>
        <v>#REF!</v>
      </c>
      <c r="Z207" s="408">
        <v>0</v>
      </c>
      <c r="AA207" s="409" t="e">
        <f>Z207*#REF!</f>
        <v>#REF!</v>
      </c>
      <c r="AR207" s="448" t="s">
        <v>128</v>
      </c>
      <c r="AT207" s="448" t="s">
        <v>126</v>
      </c>
      <c r="AU207" s="448" t="s">
        <v>76</v>
      </c>
      <c r="AY207" s="448" t="s">
        <v>125</v>
      </c>
      <c r="BE207" s="484">
        <f>IF(U207="základní",#REF!,0)</f>
        <v>0</v>
      </c>
      <c r="BF207" s="484" t="e">
        <f>IF(U207="snížená",#REF!,0)</f>
        <v>#REF!</v>
      </c>
      <c r="BG207" s="484">
        <f>IF(U207="zákl. přenesená",#REF!,0)</f>
        <v>0</v>
      </c>
      <c r="BH207" s="484">
        <f>IF(U207="sníž. přenesená",#REF!,0)</f>
        <v>0</v>
      </c>
      <c r="BI207" s="484">
        <f>IF(U207="nulová",#REF!,0)</f>
        <v>0</v>
      </c>
      <c r="BJ207" s="448" t="s">
        <v>80</v>
      </c>
      <c r="BK207" s="484" t="e">
        <f>ROUND(#REF!*#REF!,2)</f>
        <v>#REF!</v>
      </c>
      <c r="BL207" s="448" t="s">
        <v>128</v>
      </c>
      <c r="BM207" s="448" t="s">
        <v>146</v>
      </c>
    </row>
    <row r="208" spans="1:65" s="162" customFormat="1" ht="32.25" customHeight="1">
      <c r="A208" s="454"/>
      <c r="C208" s="485" t="s">
        <v>825</v>
      </c>
      <c r="D208" s="486"/>
      <c r="E208" s="195" t="s">
        <v>1544</v>
      </c>
      <c r="F208" s="957" t="s">
        <v>310</v>
      </c>
      <c r="G208" s="958"/>
      <c r="H208" s="958"/>
      <c r="I208" s="959"/>
      <c r="J208" s="487" t="s">
        <v>127</v>
      </c>
      <c r="K208" s="66">
        <f>2.4+1.5+1.2+1.2</f>
        <v>6.3</v>
      </c>
      <c r="L208" s="21"/>
      <c r="M208" s="105"/>
      <c r="N208" s="948">
        <f t="shared" si="10"/>
        <v>0</v>
      </c>
      <c r="O208" s="948"/>
      <c r="P208" s="948"/>
      <c r="Q208" s="948"/>
      <c r="T208" s="505"/>
      <c r="U208" s="221"/>
      <c r="V208" s="408"/>
      <c r="W208" s="408"/>
      <c r="X208" s="408"/>
      <c r="Y208" s="408"/>
      <c r="Z208" s="408"/>
      <c r="AA208" s="409"/>
      <c r="AR208" s="448"/>
      <c r="AT208" s="448"/>
      <c r="AU208" s="448"/>
      <c r="AY208" s="448"/>
      <c r="BE208" s="484"/>
      <c r="BF208" s="484"/>
      <c r="BG208" s="484"/>
      <c r="BH208" s="484"/>
      <c r="BI208" s="484"/>
      <c r="BJ208" s="448"/>
      <c r="BK208" s="484"/>
      <c r="BL208" s="448"/>
      <c r="BM208" s="448"/>
    </row>
    <row r="209" spans="1:65" s="162" customFormat="1" ht="32.25" customHeight="1">
      <c r="A209" s="454"/>
      <c r="C209" s="485" t="s">
        <v>826</v>
      </c>
      <c r="D209" s="486"/>
      <c r="E209" s="195" t="s">
        <v>1545</v>
      </c>
      <c r="F209" s="957" t="s">
        <v>313</v>
      </c>
      <c r="G209" s="958"/>
      <c r="H209" s="958"/>
      <c r="I209" s="959"/>
      <c r="J209" s="487" t="s">
        <v>127</v>
      </c>
      <c r="K209" s="66">
        <f>4.3+5.65</f>
        <v>9.95</v>
      </c>
      <c r="L209" s="21"/>
      <c r="M209" s="105"/>
      <c r="N209" s="948">
        <f t="shared" si="10"/>
        <v>0</v>
      </c>
      <c r="O209" s="948"/>
      <c r="P209" s="948"/>
      <c r="Q209" s="948"/>
      <c r="T209" s="505"/>
      <c r="U209" s="221"/>
      <c r="V209" s="408"/>
      <c r="W209" s="408"/>
      <c r="X209" s="408"/>
      <c r="Y209" s="408"/>
      <c r="Z209" s="408"/>
      <c r="AA209" s="409"/>
      <c r="AR209" s="448"/>
      <c r="AT209" s="448"/>
      <c r="AU209" s="448"/>
      <c r="AY209" s="448"/>
      <c r="BE209" s="484"/>
      <c r="BF209" s="484"/>
      <c r="BG209" s="484"/>
      <c r="BH209" s="484"/>
      <c r="BI209" s="484"/>
      <c r="BJ209" s="448"/>
      <c r="BK209" s="484"/>
      <c r="BL209" s="448"/>
      <c r="BM209" s="448"/>
    </row>
    <row r="210" spans="1:47" s="162" customFormat="1" ht="32.25" customHeight="1">
      <c r="A210" s="454"/>
      <c r="C210" s="485" t="s">
        <v>827</v>
      </c>
      <c r="D210" s="486"/>
      <c r="E210" s="195" t="s">
        <v>1552</v>
      </c>
      <c r="F210" s="964" t="s">
        <v>319</v>
      </c>
      <c r="G210" s="964"/>
      <c r="H210" s="964"/>
      <c r="I210" s="964"/>
      <c r="J210" s="487" t="s">
        <v>129</v>
      </c>
      <c r="K210" s="66">
        <f>0.575*0.575*1.95</f>
        <v>0.6447187499999999</v>
      </c>
      <c r="L210" s="21"/>
      <c r="M210" s="105"/>
      <c r="N210" s="948">
        <f t="shared" si="10"/>
        <v>0</v>
      </c>
      <c r="O210" s="948"/>
      <c r="P210" s="948"/>
      <c r="Q210" s="948"/>
      <c r="T210" s="506"/>
      <c r="U210" s="58"/>
      <c r="V210" s="58"/>
      <c r="W210" s="58"/>
      <c r="X210" s="58"/>
      <c r="Y210" s="58"/>
      <c r="Z210" s="58"/>
      <c r="AA210" s="507"/>
      <c r="AC210" s="423"/>
      <c r="AT210" s="448" t="s">
        <v>182</v>
      </c>
      <c r="AU210" s="448" t="s">
        <v>76</v>
      </c>
    </row>
    <row r="211" spans="1:47" s="162" customFormat="1" ht="32.25" customHeight="1">
      <c r="A211" s="454"/>
      <c r="C211" s="485" t="s">
        <v>828</v>
      </c>
      <c r="D211" s="486"/>
      <c r="E211" s="195" t="s">
        <v>1553</v>
      </c>
      <c r="F211" s="964" t="s">
        <v>320</v>
      </c>
      <c r="G211" s="964"/>
      <c r="H211" s="964"/>
      <c r="I211" s="964"/>
      <c r="J211" s="487" t="s">
        <v>129</v>
      </c>
      <c r="K211" s="66">
        <f>1.7*0.53*3.25+0.52*0.66*3.25</f>
        <v>4.04365</v>
      </c>
      <c r="L211" s="21"/>
      <c r="M211" s="105"/>
      <c r="N211" s="948">
        <f t="shared" si="10"/>
        <v>0</v>
      </c>
      <c r="O211" s="948"/>
      <c r="P211" s="948"/>
      <c r="Q211" s="948"/>
      <c r="T211" s="506"/>
      <c r="U211" s="58"/>
      <c r="V211" s="58"/>
      <c r="W211" s="58"/>
      <c r="X211" s="58"/>
      <c r="Y211" s="58"/>
      <c r="Z211" s="58"/>
      <c r="AA211" s="507"/>
      <c r="AC211" s="423"/>
      <c r="AT211" s="448"/>
      <c r="AU211" s="448"/>
    </row>
    <row r="212" spans="1:47" s="162" customFormat="1" ht="32.25" customHeight="1">
      <c r="A212" s="454"/>
      <c r="C212" s="485" t="s">
        <v>829</v>
      </c>
      <c r="D212" s="486"/>
      <c r="E212" s="195" t="s">
        <v>1554</v>
      </c>
      <c r="F212" s="964" t="s">
        <v>321</v>
      </c>
      <c r="G212" s="964"/>
      <c r="H212" s="964"/>
      <c r="I212" s="964"/>
      <c r="J212" s="487" t="s">
        <v>129</v>
      </c>
      <c r="K212" s="66">
        <f>1.12*0.4*2.02</f>
        <v>0.9049600000000001</v>
      </c>
      <c r="L212" s="21"/>
      <c r="M212" s="105"/>
      <c r="N212" s="948">
        <f aca="true" t="shared" si="11" ref="N212:N219">ROUND(L212*K212,2)</f>
        <v>0</v>
      </c>
      <c r="O212" s="948"/>
      <c r="P212" s="948"/>
      <c r="Q212" s="948"/>
      <c r="T212" s="506"/>
      <c r="U212" s="58"/>
      <c r="V212" s="58"/>
      <c r="W212" s="58"/>
      <c r="X212" s="58"/>
      <c r="Y212" s="58"/>
      <c r="Z212" s="58"/>
      <c r="AA212" s="507"/>
      <c r="AT212" s="448" t="s">
        <v>182</v>
      </c>
      <c r="AU212" s="448" t="s">
        <v>76</v>
      </c>
    </row>
    <row r="213" spans="1:65" s="162" customFormat="1" ht="32.25" customHeight="1">
      <c r="A213" s="454"/>
      <c r="C213" s="485" t="s">
        <v>830</v>
      </c>
      <c r="D213" s="486"/>
      <c r="E213" s="195" t="s">
        <v>1555</v>
      </c>
      <c r="F213" s="964" t="s">
        <v>322</v>
      </c>
      <c r="G213" s="964"/>
      <c r="H213" s="964"/>
      <c r="I213" s="964"/>
      <c r="J213" s="487" t="s">
        <v>129</v>
      </c>
      <c r="K213" s="66">
        <f>1.7*0.33*3.25-1.25*0.33*2.02+1.9*0.35*3.25-1.29*0.35*2.02</f>
        <v>2.2392200000000004</v>
      </c>
      <c r="L213" s="21"/>
      <c r="M213" s="105"/>
      <c r="N213" s="948">
        <f t="shared" si="11"/>
        <v>0</v>
      </c>
      <c r="O213" s="948"/>
      <c r="P213" s="948"/>
      <c r="Q213" s="948"/>
      <c r="T213" s="407" t="s">
        <v>5</v>
      </c>
      <c r="U213" s="221" t="s">
        <v>36</v>
      </c>
      <c r="V213" s="408">
        <v>0</v>
      </c>
      <c r="W213" s="408" t="e">
        <f>V213*#REF!</f>
        <v>#REF!</v>
      </c>
      <c r="X213" s="408">
        <v>0</v>
      </c>
      <c r="Y213" s="408" t="e">
        <f>X213*#REF!</f>
        <v>#REF!</v>
      </c>
      <c r="Z213" s="408">
        <v>0</v>
      </c>
      <c r="AA213" s="409" t="e">
        <f>Z213*#REF!</f>
        <v>#REF!</v>
      </c>
      <c r="AR213" s="448" t="s">
        <v>128</v>
      </c>
      <c r="AT213" s="448" t="s">
        <v>126</v>
      </c>
      <c r="AU213" s="448" t="s">
        <v>76</v>
      </c>
      <c r="AY213" s="448" t="s">
        <v>125</v>
      </c>
      <c r="BE213" s="484">
        <f>IF(U213="základní",#REF!,0)</f>
        <v>0</v>
      </c>
      <c r="BF213" s="484" t="e">
        <f>IF(U213="snížená",#REF!,0)</f>
        <v>#REF!</v>
      </c>
      <c r="BG213" s="484">
        <f>IF(U213="zákl. přenesená",#REF!,0)</f>
        <v>0</v>
      </c>
      <c r="BH213" s="484">
        <f>IF(U213="sníž. přenesená",#REF!,0)</f>
        <v>0</v>
      </c>
      <c r="BI213" s="484">
        <f>IF(U213="nulová",#REF!,0)</f>
        <v>0</v>
      </c>
      <c r="BJ213" s="448" t="s">
        <v>80</v>
      </c>
      <c r="BK213" s="484" t="e">
        <f>ROUND(#REF!*#REF!,2)</f>
        <v>#REF!</v>
      </c>
      <c r="BL213" s="448" t="s">
        <v>128</v>
      </c>
      <c r="BM213" s="448" t="s">
        <v>147</v>
      </c>
    </row>
    <row r="214" spans="1:65" s="162" customFormat="1" ht="32.25" customHeight="1">
      <c r="A214" s="454"/>
      <c r="C214" s="485" t="s">
        <v>831</v>
      </c>
      <c r="D214" s="486"/>
      <c r="E214" s="195" t="s">
        <v>1556</v>
      </c>
      <c r="F214" s="964" t="s">
        <v>323</v>
      </c>
      <c r="G214" s="964"/>
      <c r="H214" s="964"/>
      <c r="I214" s="964"/>
      <c r="J214" s="487" t="s">
        <v>129</v>
      </c>
      <c r="K214" s="66">
        <f>1.6*3.25*0.2+4.5*0.22*3.25+5.04*0.24*3.25</f>
        <v>8.1887</v>
      </c>
      <c r="L214" s="21"/>
      <c r="M214" s="105"/>
      <c r="N214" s="948">
        <f t="shared" si="11"/>
        <v>0</v>
      </c>
      <c r="O214" s="948"/>
      <c r="P214" s="948"/>
      <c r="Q214" s="948"/>
      <c r="T214" s="407" t="s">
        <v>5</v>
      </c>
      <c r="U214" s="221" t="s">
        <v>36</v>
      </c>
      <c r="V214" s="408">
        <v>0</v>
      </c>
      <c r="W214" s="408" t="e">
        <f>V214*#REF!</f>
        <v>#REF!</v>
      </c>
      <c r="X214" s="408">
        <v>0</v>
      </c>
      <c r="Y214" s="408" t="e">
        <f>X214*#REF!</f>
        <v>#REF!</v>
      </c>
      <c r="Z214" s="408">
        <v>0</v>
      </c>
      <c r="AA214" s="409" t="e">
        <f>Z214*#REF!</f>
        <v>#REF!</v>
      </c>
      <c r="AR214" s="448" t="s">
        <v>128</v>
      </c>
      <c r="AT214" s="448" t="s">
        <v>126</v>
      </c>
      <c r="AU214" s="448" t="s">
        <v>76</v>
      </c>
      <c r="AY214" s="448" t="s">
        <v>125</v>
      </c>
      <c r="BE214" s="484">
        <f>IF(U214="základní",#REF!,0)</f>
        <v>0</v>
      </c>
      <c r="BF214" s="484" t="e">
        <f>IF(U214="snížená",#REF!,0)</f>
        <v>#REF!</v>
      </c>
      <c r="BG214" s="484">
        <f>IF(U214="zákl. přenesená",#REF!,0)</f>
        <v>0</v>
      </c>
      <c r="BH214" s="484">
        <f>IF(U214="sníž. přenesená",#REF!,0)</f>
        <v>0</v>
      </c>
      <c r="BI214" s="484">
        <f>IF(U214="nulová",#REF!,0)</f>
        <v>0</v>
      </c>
      <c r="BJ214" s="448" t="s">
        <v>80</v>
      </c>
      <c r="BK214" s="484" t="e">
        <f>ROUND(#REF!*#REF!,2)</f>
        <v>#REF!</v>
      </c>
      <c r="BL214" s="448" t="s">
        <v>128</v>
      </c>
      <c r="BM214" s="448" t="s">
        <v>148</v>
      </c>
    </row>
    <row r="215" spans="1:47" s="162" customFormat="1" ht="32.25" customHeight="1">
      <c r="A215" s="454"/>
      <c r="C215" s="485" t="s">
        <v>832</v>
      </c>
      <c r="D215" s="486"/>
      <c r="E215" s="195" t="s">
        <v>1557</v>
      </c>
      <c r="F215" s="964" t="s">
        <v>324</v>
      </c>
      <c r="G215" s="964"/>
      <c r="H215" s="964"/>
      <c r="I215" s="964"/>
      <c r="J215" s="487" t="s">
        <v>129</v>
      </c>
      <c r="K215" s="66">
        <f>5.04*0.1*3.25+(5.15+3.2+1.75+1.41)*0.09*3.25-4*1.6*0.09</f>
        <v>4.428675000000001</v>
      </c>
      <c r="L215" s="21"/>
      <c r="M215" s="105"/>
      <c r="N215" s="948">
        <f t="shared" si="11"/>
        <v>0</v>
      </c>
      <c r="O215" s="948"/>
      <c r="P215" s="948"/>
      <c r="Q215" s="948"/>
      <c r="T215" s="506"/>
      <c r="U215" s="58"/>
      <c r="V215" s="58"/>
      <c r="W215" s="58"/>
      <c r="X215" s="58"/>
      <c r="Y215" s="58"/>
      <c r="Z215" s="58"/>
      <c r="AA215" s="507"/>
      <c r="AT215" s="448" t="s">
        <v>182</v>
      </c>
      <c r="AU215" s="448" t="s">
        <v>76</v>
      </c>
    </row>
    <row r="216" spans="1:65" s="162" customFormat="1" ht="32.25" customHeight="1">
      <c r="A216" s="454"/>
      <c r="C216" s="485" t="s">
        <v>833</v>
      </c>
      <c r="D216" s="486"/>
      <c r="E216" s="195" t="s">
        <v>1558</v>
      </c>
      <c r="F216" s="964" t="s">
        <v>455</v>
      </c>
      <c r="G216" s="964"/>
      <c r="H216" s="964"/>
      <c r="I216" s="964"/>
      <c r="J216" s="487" t="s">
        <v>127</v>
      </c>
      <c r="K216" s="66">
        <f>24+27.7+2.4+16.8+1.4+1.1+1.1+16.3+12+14+18.3</f>
        <v>135.1</v>
      </c>
      <c r="L216" s="21"/>
      <c r="M216" s="105"/>
      <c r="N216" s="948">
        <f t="shared" si="11"/>
        <v>0</v>
      </c>
      <c r="O216" s="948"/>
      <c r="P216" s="948"/>
      <c r="Q216" s="948"/>
      <c r="T216" s="407" t="s">
        <v>5</v>
      </c>
      <c r="U216" s="221" t="s">
        <v>36</v>
      </c>
      <c r="V216" s="408">
        <v>0</v>
      </c>
      <c r="W216" s="408" t="e">
        <f>V216*#REF!</f>
        <v>#REF!</v>
      </c>
      <c r="X216" s="408">
        <v>0</v>
      </c>
      <c r="Y216" s="408" t="e">
        <f>X216*#REF!</f>
        <v>#REF!</v>
      </c>
      <c r="Z216" s="408">
        <v>0</v>
      </c>
      <c r="AA216" s="409" t="e">
        <f>Z216*#REF!</f>
        <v>#REF!</v>
      </c>
      <c r="AR216" s="448" t="s">
        <v>128</v>
      </c>
      <c r="AT216" s="448" t="s">
        <v>126</v>
      </c>
      <c r="AU216" s="448" t="s">
        <v>76</v>
      </c>
      <c r="AY216" s="448" t="s">
        <v>125</v>
      </c>
      <c r="BE216" s="484">
        <f>IF(U216="základní",#REF!,0)</f>
        <v>0</v>
      </c>
      <c r="BF216" s="484" t="e">
        <f>IF(U216="snížená",#REF!,0)</f>
        <v>#REF!</v>
      </c>
      <c r="BG216" s="484">
        <f>IF(U216="zákl. přenesená",#REF!,0)</f>
        <v>0</v>
      </c>
      <c r="BH216" s="484">
        <f>IF(U216="sníž. přenesená",#REF!,0)</f>
        <v>0</v>
      </c>
      <c r="BI216" s="484">
        <f>IF(U216="nulová",#REF!,0)</f>
        <v>0</v>
      </c>
      <c r="BJ216" s="448" t="s">
        <v>80</v>
      </c>
      <c r="BK216" s="484" t="e">
        <f>ROUND(#REF!*#REF!,2)</f>
        <v>#REF!</v>
      </c>
      <c r="BL216" s="448" t="s">
        <v>128</v>
      </c>
      <c r="BM216" s="448" t="s">
        <v>150</v>
      </c>
    </row>
    <row r="217" spans="1:47" s="162" customFormat="1" ht="32.25" customHeight="1">
      <c r="A217" s="454"/>
      <c r="C217" s="485" t="s">
        <v>834</v>
      </c>
      <c r="D217" s="490"/>
      <c r="E217" s="195" t="s">
        <v>1517</v>
      </c>
      <c r="F217" s="960" t="s">
        <v>243</v>
      </c>
      <c r="G217" s="965"/>
      <c r="H217" s="965"/>
      <c r="I217" s="965"/>
      <c r="J217" s="94" t="s">
        <v>129</v>
      </c>
      <c r="K217" s="39">
        <f>K218*0.05</f>
        <v>4.10653640625</v>
      </c>
      <c r="L217" s="21"/>
      <c r="M217" s="105"/>
      <c r="N217" s="966">
        <f t="shared" si="11"/>
        <v>0</v>
      </c>
      <c r="O217" s="966"/>
      <c r="P217" s="966"/>
      <c r="Q217" s="966"/>
      <c r="T217" s="506"/>
      <c r="U217" s="58"/>
      <c r="V217" s="58"/>
      <c r="W217" s="58"/>
      <c r="X217" s="58"/>
      <c r="Y217" s="58"/>
      <c r="Z217" s="58"/>
      <c r="AA217" s="507"/>
      <c r="AT217" s="448" t="s">
        <v>182</v>
      </c>
      <c r="AU217" s="448" t="s">
        <v>76</v>
      </c>
    </row>
    <row r="218" spans="1:65" s="162" customFormat="1" ht="32.25" customHeight="1">
      <c r="A218" s="454"/>
      <c r="C218" s="485" t="s">
        <v>835</v>
      </c>
      <c r="D218" s="490"/>
      <c r="E218" s="195" t="s">
        <v>1518</v>
      </c>
      <c r="F218" s="960" t="s">
        <v>242</v>
      </c>
      <c r="G218" s="965"/>
      <c r="H218" s="965"/>
      <c r="I218" s="965"/>
      <c r="J218" s="94" t="s">
        <v>129</v>
      </c>
      <c r="K218" s="39">
        <f>K202*0.015*1.5+K203*0.015*1.5+K204*0.1*0.015*1.5+K205*0.02*1.5+K206*0.02*1.5+K207*0.9*1.2*0.2*1.5+K208*0.05*2+K209*0.1*1.5+K210*1.5+K211*1.5+K212*1.5+K213*1.5+K214*1.5+K215*1.5+K216*0.2*1.5</f>
        <v>82.130728125</v>
      </c>
      <c r="L218" s="21"/>
      <c r="M218" s="105"/>
      <c r="N218" s="966">
        <f t="shared" si="11"/>
        <v>0</v>
      </c>
      <c r="O218" s="966"/>
      <c r="P218" s="966"/>
      <c r="Q218" s="966"/>
      <c r="T218" s="407" t="s">
        <v>5</v>
      </c>
      <c r="U218" s="221" t="s">
        <v>36</v>
      </c>
      <c r="V218" s="408">
        <v>0</v>
      </c>
      <c r="W218" s="408" t="e">
        <f>V218*#REF!</f>
        <v>#REF!</v>
      </c>
      <c r="X218" s="408">
        <v>0</v>
      </c>
      <c r="Y218" s="408" t="e">
        <f>X218*#REF!</f>
        <v>#REF!</v>
      </c>
      <c r="Z218" s="408">
        <v>0</v>
      </c>
      <c r="AA218" s="409" t="e">
        <f>Z218*#REF!</f>
        <v>#REF!</v>
      </c>
      <c r="AR218" s="448" t="s">
        <v>128</v>
      </c>
      <c r="AT218" s="448" t="s">
        <v>126</v>
      </c>
      <c r="AU218" s="448" t="s">
        <v>76</v>
      </c>
      <c r="AY218" s="448" t="s">
        <v>125</v>
      </c>
      <c r="BE218" s="484">
        <f>IF(U218="základní",#REF!,0)</f>
        <v>0</v>
      </c>
      <c r="BF218" s="484" t="e">
        <f>IF(U218="snížená",#REF!,0)</f>
        <v>#REF!</v>
      </c>
      <c r="BG218" s="484">
        <f>IF(U218="zákl. přenesená",#REF!,0)</f>
        <v>0</v>
      </c>
      <c r="BH218" s="484">
        <f>IF(U218="sníž. přenesená",#REF!,0)</f>
        <v>0</v>
      </c>
      <c r="BI218" s="484">
        <f>IF(U218="nulová",#REF!,0)</f>
        <v>0</v>
      </c>
      <c r="BJ218" s="448" t="s">
        <v>80</v>
      </c>
      <c r="BK218" s="484" t="e">
        <f>ROUND(#REF!*#REF!,2)</f>
        <v>#REF!</v>
      </c>
      <c r="BL218" s="448" t="s">
        <v>128</v>
      </c>
      <c r="BM218" s="448" t="s">
        <v>151</v>
      </c>
    </row>
    <row r="219" spans="1:47" s="162" customFormat="1" ht="32.25" customHeight="1">
      <c r="A219" s="454"/>
      <c r="C219" s="485" t="s">
        <v>836</v>
      </c>
      <c r="D219" s="490"/>
      <c r="E219" s="195" t="s">
        <v>1566</v>
      </c>
      <c r="F219" s="960" t="s">
        <v>206</v>
      </c>
      <c r="G219" s="965"/>
      <c r="H219" s="965"/>
      <c r="I219" s="965"/>
      <c r="J219" s="500" t="str">
        <f>J218</f>
        <v>m3</v>
      </c>
      <c r="K219" s="39">
        <f>K217+K218</f>
        <v>86.23726453125</v>
      </c>
      <c r="L219" s="21"/>
      <c r="M219" s="105"/>
      <c r="N219" s="966">
        <f t="shared" si="11"/>
        <v>0</v>
      </c>
      <c r="O219" s="966"/>
      <c r="P219" s="966"/>
      <c r="Q219" s="966"/>
      <c r="T219" s="506"/>
      <c r="U219" s="58"/>
      <c r="V219" s="58"/>
      <c r="W219" s="58"/>
      <c r="X219" s="58"/>
      <c r="Y219" s="58"/>
      <c r="Z219" s="58"/>
      <c r="AA219" s="507"/>
      <c r="AT219" s="448" t="s">
        <v>182</v>
      </c>
      <c r="AU219" s="448" t="s">
        <v>76</v>
      </c>
    </row>
    <row r="220" spans="1:65" s="497" customFormat="1" ht="32.25" customHeight="1">
      <c r="A220" s="488"/>
      <c r="B220" s="489"/>
      <c r="C220" s="501"/>
      <c r="D220" s="105" t="s">
        <v>768</v>
      </c>
      <c r="E220" s="502"/>
      <c r="J220" s="503"/>
      <c r="K220" s="84"/>
      <c r="L220" s="23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62"/>
      <c r="AU220" s="498"/>
      <c r="AY220" s="498"/>
      <c r="BE220" s="499"/>
      <c r="BF220" s="499"/>
      <c r="BG220" s="499"/>
      <c r="BH220" s="499"/>
      <c r="BI220" s="499"/>
      <c r="BJ220" s="498"/>
      <c r="BK220" s="499"/>
      <c r="BL220" s="498"/>
      <c r="BM220" s="498"/>
    </row>
    <row r="221" spans="1:65" s="162" customFormat="1" ht="32.25" customHeight="1">
      <c r="A221" s="454"/>
      <c r="C221" s="485" t="s">
        <v>837</v>
      </c>
      <c r="D221" s="486"/>
      <c r="E221" s="195" t="s">
        <v>1521</v>
      </c>
      <c r="F221" s="967" t="s">
        <v>325</v>
      </c>
      <c r="G221" s="967"/>
      <c r="H221" s="967"/>
      <c r="I221" s="967"/>
      <c r="J221" s="487" t="s">
        <v>198</v>
      </c>
      <c r="K221" s="66">
        <v>4</v>
      </c>
      <c r="L221" s="21"/>
      <c r="M221" s="105"/>
      <c r="N221" s="948">
        <f aca="true" t="shared" si="12" ref="N221:N230">ROUND(L221*K221,2)</f>
        <v>0</v>
      </c>
      <c r="O221" s="948"/>
      <c r="P221" s="948"/>
      <c r="Q221" s="948"/>
      <c r="T221" s="407" t="s">
        <v>5</v>
      </c>
      <c r="U221" s="221" t="s">
        <v>36</v>
      </c>
      <c r="V221" s="408">
        <v>0</v>
      </c>
      <c r="W221" s="408" t="e">
        <f>V221*#REF!</f>
        <v>#REF!</v>
      </c>
      <c r="X221" s="408">
        <v>0</v>
      </c>
      <c r="Y221" s="408" t="e">
        <f>X221*#REF!</f>
        <v>#REF!</v>
      </c>
      <c r="Z221" s="408">
        <v>0</v>
      </c>
      <c r="AA221" s="409" t="e">
        <f>Z221*#REF!</f>
        <v>#REF!</v>
      </c>
      <c r="AU221" s="448" t="s">
        <v>76</v>
      </c>
      <c r="AY221" s="448" t="s">
        <v>125</v>
      </c>
      <c r="BE221" s="484">
        <f>IF(U221="základní",#REF!,0)</f>
        <v>0</v>
      </c>
      <c r="BF221" s="484" t="e">
        <f>IF(U221="snížená",#REF!,0)</f>
        <v>#REF!</v>
      </c>
      <c r="BG221" s="484">
        <f>IF(U221="zákl. přenesená",#REF!,0)</f>
        <v>0</v>
      </c>
      <c r="BH221" s="484">
        <f>IF(U221="sníž. přenesená",#REF!,0)</f>
        <v>0</v>
      </c>
      <c r="BI221" s="484">
        <f>IF(U221="nulová",#REF!,0)</f>
        <v>0</v>
      </c>
      <c r="BJ221" s="448" t="s">
        <v>80</v>
      </c>
      <c r="BK221" s="484" t="e">
        <f>ROUND(#REF!*#REF!,2)</f>
        <v>#REF!</v>
      </c>
      <c r="BL221" s="448" t="s">
        <v>128</v>
      </c>
      <c r="BM221" s="448" t="s">
        <v>142</v>
      </c>
    </row>
    <row r="222" spans="1:47" s="162" customFormat="1" ht="32.25" customHeight="1">
      <c r="A222" s="454"/>
      <c r="C222" s="485" t="s">
        <v>838</v>
      </c>
      <c r="D222" s="486"/>
      <c r="E222" s="195" t="s">
        <v>1522</v>
      </c>
      <c r="F222" s="964" t="s">
        <v>276</v>
      </c>
      <c r="G222" s="968"/>
      <c r="H222" s="968"/>
      <c r="I222" s="968"/>
      <c r="J222" s="487" t="s">
        <v>198</v>
      </c>
      <c r="K222" s="66">
        <v>4</v>
      </c>
      <c r="L222" s="21"/>
      <c r="M222" s="105"/>
      <c r="N222" s="948">
        <f t="shared" si="12"/>
        <v>0</v>
      </c>
      <c r="O222" s="948"/>
      <c r="P222" s="948"/>
      <c r="Q222" s="948"/>
      <c r="T222" s="506"/>
      <c r="U222" s="58"/>
      <c r="V222" s="58"/>
      <c r="W222" s="58"/>
      <c r="X222" s="58"/>
      <c r="Y222" s="58"/>
      <c r="Z222" s="58"/>
      <c r="AA222" s="507"/>
      <c r="AU222" s="448" t="s">
        <v>76</v>
      </c>
    </row>
    <row r="223" spans="1:47" s="162" customFormat="1" ht="32.25" customHeight="1">
      <c r="A223" s="454"/>
      <c r="C223" s="485" t="s">
        <v>839</v>
      </c>
      <c r="D223" s="486"/>
      <c r="E223" s="195" t="s">
        <v>1524</v>
      </c>
      <c r="F223" s="964" t="s">
        <v>326</v>
      </c>
      <c r="G223" s="964"/>
      <c r="H223" s="964"/>
      <c r="I223" s="964"/>
      <c r="J223" s="487" t="s">
        <v>133</v>
      </c>
      <c r="K223" s="66">
        <f>0.83*4</f>
        <v>3.32</v>
      </c>
      <c r="L223" s="21"/>
      <c r="M223" s="105"/>
      <c r="N223" s="948">
        <f t="shared" si="12"/>
        <v>0</v>
      </c>
      <c r="O223" s="948"/>
      <c r="P223" s="948"/>
      <c r="Q223" s="948"/>
      <c r="T223" s="506"/>
      <c r="U223" s="58"/>
      <c r="V223" s="58"/>
      <c r="W223" s="58"/>
      <c r="X223" s="58"/>
      <c r="Y223" s="58"/>
      <c r="Z223" s="58"/>
      <c r="AA223" s="507"/>
      <c r="AC223" s="172"/>
      <c r="AU223" s="448" t="s">
        <v>76</v>
      </c>
    </row>
    <row r="224" spans="1:47" s="162" customFormat="1" ht="32.25" customHeight="1">
      <c r="A224" s="454"/>
      <c r="C224" s="485" t="s">
        <v>840</v>
      </c>
      <c r="D224" s="486"/>
      <c r="E224" s="195" t="s">
        <v>1525</v>
      </c>
      <c r="F224" s="964" t="s">
        <v>327</v>
      </c>
      <c r="G224" s="964"/>
      <c r="H224" s="964"/>
      <c r="I224" s="964"/>
      <c r="J224" s="487" t="s">
        <v>133</v>
      </c>
      <c r="K224" s="66">
        <f>K223</f>
        <v>3.32</v>
      </c>
      <c r="L224" s="21"/>
      <c r="M224" s="105"/>
      <c r="N224" s="948">
        <f t="shared" si="12"/>
        <v>0</v>
      </c>
      <c r="O224" s="948"/>
      <c r="P224" s="948"/>
      <c r="Q224" s="948"/>
      <c r="T224" s="506"/>
      <c r="U224" s="58"/>
      <c r="V224" s="58"/>
      <c r="W224" s="58"/>
      <c r="X224" s="58"/>
      <c r="Y224" s="58"/>
      <c r="Z224" s="58"/>
      <c r="AA224" s="507"/>
      <c r="AU224" s="448"/>
    </row>
    <row r="225" spans="1:47" s="162" customFormat="1" ht="32.25" customHeight="1">
      <c r="A225" s="454"/>
      <c r="C225" s="485" t="s">
        <v>841</v>
      </c>
      <c r="D225" s="486"/>
      <c r="E225" s="195" t="s">
        <v>1563</v>
      </c>
      <c r="F225" s="995" t="s">
        <v>329</v>
      </c>
      <c r="G225" s="996"/>
      <c r="H225" s="996"/>
      <c r="I225" s="997"/>
      <c r="J225" s="487" t="s">
        <v>127</v>
      </c>
      <c r="K225" s="66">
        <f>1.6*0.78*11+0.78*0.68</f>
        <v>14.258400000000002</v>
      </c>
      <c r="L225" s="21"/>
      <c r="M225" s="105"/>
      <c r="N225" s="948">
        <f t="shared" si="12"/>
        <v>0</v>
      </c>
      <c r="O225" s="948"/>
      <c r="P225" s="948"/>
      <c r="Q225" s="948"/>
      <c r="T225" s="506"/>
      <c r="U225" s="58"/>
      <c r="V225" s="58"/>
      <c r="W225" s="58"/>
      <c r="X225" s="58"/>
      <c r="Y225" s="58"/>
      <c r="Z225" s="58"/>
      <c r="AA225" s="507"/>
      <c r="AU225" s="448"/>
    </row>
    <row r="226" spans="1:47" s="162" customFormat="1" ht="32.25" customHeight="1">
      <c r="A226" s="454"/>
      <c r="C226" s="485" t="s">
        <v>842</v>
      </c>
      <c r="D226" s="486"/>
      <c r="E226" s="195" t="s">
        <v>1564</v>
      </c>
      <c r="F226" s="995" t="s">
        <v>328</v>
      </c>
      <c r="G226" s="996"/>
      <c r="H226" s="996"/>
      <c r="I226" s="997"/>
      <c r="J226" s="487" t="s">
        <v>129</v>
      </c>
      <c r="K226" s="66">
        <f>0.59*5.37+0.38*5.37</f>
        <v>5.2089</v>
      </c>
      <c r="L226" s="21"/>
      <c r="M226" s="105"/>
      <c r="N226" s="948">
        <f t="shared" si="12"/>
        <v>0</v>
      </c>
      <c r="O226" s="948"/>
      <c r="P226" s="948"/>
      <c r="Q226" s="948"/>
      <c r="T226" s="506"/>
      <c r="U226" s="58"/>
      <c r="V226" s="58"/>
      <c r="W226" s="58"/>
      <c r="X226" s="58"/>
      <c r="Y226" s="58"/>
      <c r="Z226" s="58"/>
      <c r="AA226" s="507"/>
      <c r="AU226" s="448"/>
    </row>
    <row r="227" spans="1:65" s="162" customFormat="1" ht="32.25" customHeight="1">
      <c r="A227" s="454"/>
      <c r="C227" s="485" t="s">
        <v>843</v>
      </c>
      <c r="D227" s="486"/>
      <c r="E227" s="195" t="s">
        <v>1565</v>
      </c>
      <c r="F227" s="964" t="s">
        <v>456</v>
      </c>
      <c r="G227" s="964"/>
      <c r="H227" s="964"/>
      <c r="I227" s="964"/>
      <c r="J227" s="487" t="s">
        <v>127</v>
      </c>
      <c r="K227" s="66">
        <f>154.4</f>
        <v>154.4</v>
      </c>
      <c r="L227" s="21"/>
      <c r="M227" s="105"/>
      <c r="N227" s="948">
        <f t="shared" si="12"/>
        <v>0</v>
      </c>
      <c r="O227" s="948"/>
      <c r="P227" s="948"/>
      <c r="Q227" s="948"/>
      <c r="T227" s="407" t="s">
        <v>5</v>
      </c>
      <c r="U227" s="221" t="s">
        <v>36</v>
      </c>
      <c r="V227" s="408">
        <v>0</v>
      </c>
      <c r="W227" s="408">
        <f>V227*K258</f>
        <v>0</v>
      </c>
      <c r="X227" s="408">
        <v>0</v>
      </c>
      <c r="Y227" s="408">
        <f>X227*K258</f>
        <v>0</v>
      </c>
      <c r="Z227" s="408">
        <v>0</v>
      </c>
      <c r="AA227" s="409">
        <f>Z227*K258</f>
        <v>0</v>
      </c>
      <c r="AR227" s="448" t="s">
        <v>128</v>
      </c>
      <c r="AT227" s="448" t="s">
        <v>126</v>
      </c>
      <c r="AU227" s="448" t="s">
        <v>76</v>
      </c>
      <c r="AY227" s="448" t="s">
        <v>125</v>
      </c>
      <c r="BE227" s="484">
        <f>IF(U227="základní",N258,0)</f>
        <v>0</v>
      </c>
      <c r="BF227" s="484">
        <f>IF(U227="snížená",N258,0)</f>
        <v>0</v>
      </c>
      <c r="BG227" s="484">
        <f>IF(U227="zákl. přenesená",N258,0)</f>
        <v>0</v>
      </c>
      <c r="BH227" s="484">
        <f>IF(U227="sníž. přenesená",N258,0)</f>
        <v>0</v>
      </c>
      <c r="BI227" s="484">
        <f>IF(U227="nulová",N258,0)</f>
        <v>0</v>
      </c>
      <c r="BJ227" s="448" t="s">
        <v>80</v>
      </c>
      <c r="BK227" s="484">
        <f>ROUND(L258*K258,2)</f>
        <v>0</v>
      </c>
      <c r="BL227" s="448" t="s">
        <v>128</v>
      </c>
      <c r="BM227" s="448" t="s">
        <v>150</v>
      </c>
    </row>
    <row r="228" spans="1:47" s="162" customFormat="1" ht="32.25" customHeight="1">
      <c r="A228" s="454"/>
      <c r="C228" s="485" t="s">
        <v>844</v>
      </c>
      <c r="D228" s="490"/>
      <c r="E228" s="195" t="s">
        <v>1517</v>
      </c>
      <c r="F228" s="960" t="s">
        <v>243</v>
      </c>
      <c r="G228" s="965"/>
      <c r="H228" s="965"/>
      <c r="I228" s="965"/>
      <c r="J228" s="94" t="s">
        <v>129</v>
      </c>
      <c r="K228" s="39">
        <f>K229*0.05</f>
        <v>3.013975500000001</v>
      </c>
      <c r="L228" s="21"/>
      <c r="M228" s="105"/>
      <c r="N228" s="966">
        <f t="shared" si="12"/>
        <v>0</v>
      </c>
      <c r="O228" s="966"/>
      <c r="P228" s="966"/>
      <c r="Q228" s="966"/>
      <c r="T228" s="506"/>
      <c r="U228" s="58"/>
      <c r="V228" s="58"/>
      <c r="W228" s="58"/>
      <c r="X228" s="58"/>
      <c r="Y228" s="58"/>
      <c r="Z228" s="58"/>
      <c r="AA228" s="507"/>
      <c r="AT228" s="448" t="s">
        <v>182</v>
      </c>
      <c r="AU228" s="448" t="s">
        <v>76</v>
      </c>
    </row>
    <row r="229" spans="1:65" s="162" customFormat="1" ht="32.25" customHeight="1">
      <c r="A229" s="454"/>
      <c r="C229" s="485" t="s">
        <v>845</v>
      </c>
      <c r="D229" s="490"/>
      <c r="E229" s="195" t="s">
        <v>1518</v>
      </c>
      <c r="F229" s="960" t="s">
        <v>242</v>
      </c>
      <c r="G229" s="965"/>
      <c r="H229" s="965"/>
      <c r="I229" s="965"/>
      <c r="J229" s="94" t="s">
        <v>129</v>
      </c>
      <c r="K229" s="39">
        <f>K221*0.05*1.25*1.95+K222*0.05*1.97*0.9*1.5+K223*0.3*1.5+K224*0.3*1.5+K225*0.1*1.5+K226*1.5+K227*0.2*1.5</f>
        <v>60.27951000000001</v>
      </c>
      <c r="L229" s="21"/>
      <c r="M229" s="105"/>
      <c r="N229" s="966">
        <f t="shared" si="12"/>
        <v>0</v>
      </c>
      <c r="O229" s="966"/>
      <c r="P229" s="966"/>
      <c r="Q229" s="966"/>
      <c r="T229" s="407" t="s">
        <v>5</v>
      </c>
      <c r="U229" s="221" t="s">
        <v>36</v>
      </c>
      <c r="V229" s="408">
        <v>0</v>
      </c>
      <c r="W229" s="408">
        <f>V229*K260</f>
        <v>0</v>
      </c>
      <c r="X229" s="408">
        <v>0</v>
      </c>
      <c r="Y229" s="408">
        <f>X229*K260</f>
        <v>0</v>
      </c>
      <c r="Z229" s="408">
        <v>0</v>
      </c>
      <c r="AA229" s="409">
        <f>Z229*K260</f>
        <v>0</v>
      </c>
      <c r="AR229" s="448" t="s">
        <v>128</v>
      </c>
      <c r="AT229" s="448" t="s">
        <v>126</v>
      </c>
      <c r="AU229" s="448" t="s">
        <v>76</v>
      </c>
      <c r="AY229" s="448" t="s">
        <v>125</v>
      </c>
      <c r="BE229" s="484">
        <f>IF(U229="základní",N260,0)</f>
        <v>0</v>
      </c>
      <c r="BF229" s="484">
        <f>IF(U229="snížená",N260,0)</f>
        <v>0</v>
      </c>
      <c r="BG229" s="484">
        <f>IF(U229="zákl. přenesená",N260,0)</f>
        <v>0</v>
      </c>
      <c r="BH229" s="484">
        <f>IF(U229="sníž. přenesená",N260,0)</f>
        <v>0</v>
      </c>
      <c r="BI229" s="484">
        <f>IF(U229="nulová",N260,0)</f>
        <v>0</v>
      </c>
      <c r="BJ229" s="448" t="s">
        <v>80</v>
      </c>
      <c r="BK229" s="484">
        <f>ROUND(L260*K260,2)</f>
        <v>0</v>
      </c>
      <c r="BL229" s="448" t="s">
        <v>128</v>
      </c>
      <c r="BM229" s="448" t="s">
        <v>151</v>
      </c>
    </row>
    <row r="230" spans="1:47" s="162" customFormat="1" ht="32.25" customHeight="1">
      <c r="A230" s="454"/>
      <c r="C230" s="485" t="s">
        <v>846</v>
      </c>
      <c r="D230" s="490"/>
      <c r="E230" s="195" t="s">
        <v>1560</v>
      </c>
      <c r="F230" s="960" t="s">
        <v>206</v>
      </c>
      <c r="G230" s="965"/>
      <c r="H230" s="965"/>
      <c r="I230" s="965"/>
      <c r="J230" s="500" t="str">
        <f>J229</f>
        <v>m3</v>
      </c>
      <c r="K230" s="39">
        <f>K228+K229</f>
        <v>63.29348550000001</v>
      </c>
      <c r="L230" s="21"/>
      <c r="M230" s="105"/>
      <c r="N230" s="966">
        <f t="shared" si="12"/>
        <v>0</v>
      </c>
      <c r="O230" s="966"/>
      <c r="P230" s="966"/>
      <c r="Q230" s="966"/>
      <c r="T230" s="506"/>
      <c r="U230" s="58"/>
      <c r="V230" s="58"/>
      <c r="W230" s="58"/>
      <c r="X230" s="58"/>
      <c r="Y230" s="58"/>
      <c r="Z230" s="58"/>
      <c r="AA230" s="507"/>
      <c r="AT230" s="448" t="s">
        <v>182</v>
      </c>
      <c r="AU230" s="448" t="s">
        <v>76</v>
      </c>
    </row>
    <row r="231" spans="1:47" s="162" customFormat="1" ht="32.25" customHeight="1">
      <c r="A231" s="457"/>
      <c r="B231" s="58"/>
      <c r="C231" s="501"/>
      <c r="D231" s="105" t="s">
        <v>254</v>
      </c>
      <c r="E231" s="502"/>
      <c r="F231" s="497"/>
      <c r="G231" s="497"/>
      <c r="H231" s="497"/>
      <c r="I231" s="497"/>
      <c r="J231" s="503"/>
      <c r="K231" s="84"/>
      <c r="L231" s="23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T231" s="448" t="s">
        <v>182</v>
      </c>
      <c r="AU231" s="448" t="s">
        <v>76</v>
      </c>
    </row>
    <row r="232" spans="1:65" s="162" customFormat="1" ht="32.25" customHeight="1">
      <c r="A232" s="457"/>
      <c r="B232" s="58"/>
      <c r="C232" s="485" t="s">
        <v>847</v>
      </c>
      <c r="D232" s="486"/>
      <c r="E232" s="195" t="s">
        <v>1567</v>
      </c>
      <c r="F232" s="967" t="s">
        <v>1568</v>
      </c>
      <c r="G232" s="967"/>
      <c r="H232" s="967"/>
      <c r="I232" s="967"/>
      <c r="J232" s="487" t="s">
        <v>131</v>
      </c>
      <c r="K232" s="66">
        <v>1</v>
      </c>
      <c r="L232" s="21"/>
      <c r="M232" s="105"/>
      <c r="N232" s="948">
        <f aca="true" t="shared" si="13" ref="N232">ROUND(L232*K232,2)</f>
        <v>0</v>
      </c>
      <c r="O232" s="948"/>
      <c r="P232" s="948"/>
      <c r="Q232" s="948"/>
      <c r="R232" s="58"/>
      <c r="S232" s="58"/>
      <c r="T232" s="483" t="s">
        <v>5</v>
      </c>
      <c r="U232" s="221" t="s">
        <v>36</v>
      </c>
      <c r="V232" s="408">
        <v>0</v>
      </c>
      <c r="W232" s="408">
        <f>V232*K266</f>
        <v>0</v>
      </c>
      <c r="X232" s="408">
        <v>0</v>
      </c>
      <c r="Y232" s="408">
        <f>X232*K266</f>
        <v>0</v>
      </c>
      <c r="Z232" s="408">
        <v>0</v>
      </c>
      <c r="AA232" s="409">
        <f>Z232*K266</f>
        <v>0</v>
      </c>
      <c r="AR232" s="448" t="s">
        <v>128</v>
      </c>
      <c r="AT232" s="448" t="s">
        <v>126</v>
      </c>
      <c r="AU232" s="448" t="s">
        <v>76</v>
      </c>
      <c r="AY232" s="448" t="s">
        <v>125</v>
      </c>
      <c r="BE232" s="484">
        <f>IF(U232="základní",N266,0)</f>
        <v>0</v>
      </c>
      <c r="BF232" s="484">
        <f>IF(U232="snížená",N266,0)</f>
        <v>0</v>
      </c>
      <c r="BG232" s="484">
        <f>IF(U232="zákl. přenesená",N266,0)</f>
        <v>0</v>
      </c>
      <c r="BH232" s="484">
        <f>IF(U232="sníž. přenesená",N266,0)</f>
        <v>0</v>
      </c>
      <c r="BI232" s="484">
        <f>IF(U232="nulová",N266,0)</f>
        <v>0</v>
      </c>
      <c r="BJ232" s="448" t="s">
        <v>80</v>
      </c>
      <c r="BK232" s="484">
        <f>ROUND(L266*K266,2)</f>
        <v>0</v>
      </c>
      <c r="BL232" s="448" t="s">
        <v>128</v>
      </c>
      <c r="BM232" s="448" t="s">
        <v>181</v>
      </c>
    </row>
    <row r="233" spans="1:65" s="162" customFormat="1" ht="32.25" customHeight="1">
      <c r="A233" s="457"/>
      <c r="B233" s="58"/>
      <c r="C233" s="485" t="s">
        <v>848</v>
      </c>
      <c r="D233" s="486"/>
      <c r="E233" s="195" t="s">
        <v>1569</v>
      </c>
      <c r="F233" s="967" t="s">
        <v>1574</v>
      </c>
      <c r="G233" s="967"/>
      <c r="H233" s="967"/>
      <c r="I233" s="967"/>
      <c r="J233" s="487" t="s">
        <v>694</v>
      </c>
      <c r="K233" s="66">
        <f>36</f>
        <v>36</v>
      </c>
      <c r="L233" s="21"/>
      <c r="M233" s="105"/>
      <c r="N233" s="948">
        <f aca="true" t="shared" si="14" ref="N233:N234">ROUND(L233*K233,2)</f>
        <v>0</v>
      </c>
      <c r="O233" s="948"/>
      <c r="P233" s="948"/>
      <c r="Q233" s="948"/>
      <c r="R233" s="58"/>
      <c r="S233" s="58"/>
      <c r="T233" s="89"/>
      <c r="U233" s="221"/>
      <c r="V233" s="408"/>
      <c r="W233" s="408"/>
      <c r="X233" s="408"/>
      <c r="Y233" s="408"/>
      <c r="Z233" s="408"/>
      <c r="AA233" s="409"/>
      <c r="AR233" s="448"/>
      <c r="AT233" s="448"/>
      <c r="AU233" s="448"/>
      <c r="AY233" s="448"/>
      <c r="BE233" s="484"/>
      <c r="BF233" s="484"/>
      <c r="BG233" s="484"/>
      <c r="BH233" s="484"/>
      <c r="BI233" s="484"/>
      <c r="BJ233" s="448"/>
      <c r="BK233" s="484"/>
      <c r="BL233" s="448"/>
      <c r="BM233" s="448"/>
    </row>
    <row r="234" spans="1:65" s="517" customFormat="1" ht="32.25" customHeight="1">
      <c r="A234" s="457"/>
      <c r="B234" s="509"/>
      <c r="C234" s="485" t="s">
        <v>849</v>
      </c>
      <c r="D234" s="510"/>
      <c r="E234" s="511" t="s">
        <v>1570</v>
      </c>
      <c r="F234" s="993" t="s">
        <v>1575</v>
      </c>
      <c r="G234" s="993"/>
      <c r="H234" s="993"/>
      <c r="I234" s="993"/>
      <c r="J234" s="512" t="s">
        <v>127</v>
      </c>
      <c r="K234" s="57">
        <v>659.8995</v>
      </c>
      <c r="L234" s="24"/>
      <c r="M234" s="105"/>
      <c r="N234" s="994">
        <f t="shared" si="14"/>
        <v>0</v>
      </c>
      <c r="O234" s="994"/>
      <c r="P234" s="994"/>
      <c r="Q234" s="994"/>
      <c r="R234" s="509"/>
      <c r="S234" s="509"/>
      <c r="T234" s="513"/>
      <c r="U234" s="514"/>
      <c r="V234" s="515"/>
      <c r="W234" s="515"/>
      <c r="X234" s="515"/>
      <c r="Y234" s="515"/>
      <c r="Z234" s="515"/>
      <c r="AA234" s="516"/>
      <c r="AD234" s="162"/>
      <c r="AE234" s="162"/>
      <c r="AR234" s="518"/>
      <c r="AT234" s="518"/>
      <c r="AU234" s="518"/>
      <c r="AY234" s="518"/>
      <c r="BE234" s="519"/>
      <c r="BF234" s="519"/>
      <c r="BG234" s="519"/>
      <c r="BH234" s="519"/>
      <c r="BI234" s="519"/>
      <c r="BJ234" s="518"/>
      <c r="BK234" s="519"/>
      <c r="BL234" s="518"/>
      <c r="BM234" s="518"/>
    </row>
    <row r="235" spans="1:47" s="517" customFormat="1" ht="32.25" customHeight="1">
      <c r="A235" s="457"/>
      <c r="B235" s="509"/>
      <c r="C235" s="485" t="s">
        <v>850</v>
      </c>
      <c r="D235" s="510"/>
      <c r="E235" s="511" t="s">
        <v>1571</v>
      </c>
      <c r="F235" s="987" t="s">
        <v>2220</v>
      </c>
      <c r="G235" s="987"/>
      <c r="H235" s="987"/>
      <c r="I235" s="987"/>
      <c r="J235" s="520" t="s">
        <v>127</v>
      </c>
      <c r="K235" s="75">
        <v>340.855</v>
      </c>
      <c r="L235" s="33">
        <v>0</v>
      </c>
      <c r="M235" s="105"/>
      <c r="N235" s="992">
        <v>0</v>
      </c>
      <c r="O235" s="992"/>
      <c r="P235" s="992"/>
      <c r="Q235" s="992"/>
      <c r="R235" s="509"/>
      <c r="S235" s="509"/>
      <c r="T235" s="509"/>
      <c r="U235" s="509"/>
      <c r="V235" s="509"/>
      <c r="W235" s="509"/>
      <c r="X235" s="509"/>
      <c r="Y235" s="509"/>
      <c r="Z235" s="509"/>
      <c r="AA235" s="521"/>
      <c r="AD235" s="162"/>
      <c r="AE235" s="162"/>
      <c r="AT235" s="518" t="s">
        <v>182</v>
      </c>
      <c r="AU235" s="518" t="s">
        <v>76</v>
      </c>
    </row>
    <row r="236" spans="1:65" s="517" customFormat="1" ht="32.25" customHeight="1">
      <c r="A236" s="457"/>
      <c r="B236" s="509"/>
      <c r="C236" s="485" t="s">
        <v>851</v>
      </c>
      <c r="D236" s="510"/>
      <c r="E236" s="511" t="s">
        <v>1572</v>
      </c>
      <c r="F236" s="993" t="s">
        <v>1576</v>
      </c>
      <c r="G236" s="993"/>
      <c r="H236" s="993"/>
      <c r="I236" s="993"/>
      <c r="J236" s="512" t="s">
        <v>127</v>
      </c>
      <c r="K236" s="57">
        <v>659.8995</v>
      </c>
      <c r="L236" s="24"/>
      <c r="M236" s="105"/>
      <c r="N236" s="994">
        <f aca="true" t="shared" si="15" ref="N236">ROUND(L236*K236,2)</f>
        <v>0</v>
      </c>
      <c r="O236" s="994"/>
      <c r="P236" s="994"/>
      <c r="Q236" s="994"/>
      <c r="R236" s="509"/>
      <c r="S236" s="509"/>
      <c r="T236" s="513"/>
      <c r="U236" s="514"/>
      <c r="V236" s="515"/>
      <c r="W236" s="515"/>
      <c r="X236" s="515"/>
      <c r="Y236" s="515"/>
      <c r="Z236" s="515"/>
      <c r="AA236" s="516"/>
      <c r="AD236" s="162"/>
      <c r="AE236" s="162"/>
      <c r="AR236" s="518"/>
      <c r="AT236" s="518"/>
      <c r="AU236" s="518"/>
      <c r="AY236" s="518"/>
      <c r="BE236" s="519"/>
      <c r="BF236" s="519"/>
      <c r="BG236" s="519"/>
      <c r="BH236" s="519"/>
      <c r="BI236" s="519"/>
      <c r="BJ236" s="518"/>
      <c r="BK236" s="519"/>
      <c r="BL236" s="518"/>
      <c r="BM236" s="518"/>
    </row>
    <row r="237" spans="1:47" s="517" customFormat="1" ht="32.25" customHeight="1">
      <c r="A237" s="457"/>
      <c r="B237" s="509"/>
      <c r="C237" s="485" t="s">
        <v>852</v>
      </c>
      <c r="D237" s="510"/>
      <c r="E237" s="511" t="s">
        <v>1573</v>
      </c>
      <c r="F237" s="987" t="s">
        <v>2221</v>
      </c>
      <c r="G237" s="987"/>
      <c r="H237" s="987"/>
      <c r="I237" s="987"/>
      <c r="J237" s="520" t="s">
        <v>127</v>
      </c>
      <c r="K237" s="75">
        <v>340.855</v>
      </c>
      <c r="L237" s="33">
        <v>0</v>
      </c>
      <c r="M237" s="105"/>
      <c r="N237" s="992">
        <v>0</v>
      </c>
      <c r="O237" s="992"/>
      <c r="P237" s="992"/>
      <c r="Q237" s="992"/>
      <c r="R237" s="509"/>
      <c r="S237" s="509"/>
      <c r="T237" s="509"/>
      <c r="U237" s="509"/>
      <c r="V237" s="509"/>
      <c r="W237" s="509"/>
      <c r="X237" s="509"/>
      <c r="Y237" s="509"/>
      <c r="Z237" s="509"/>
      <c r="AA237" s="521"/>
      <c r="AD237" s="162"/>
      <c r="AE237" s="162"/>
      <c r="AT237" s="518" t="s">
        <v>182</v>
      </c>
      <c r="AU237" s="518" t="s">
        <v>76</v>
      </c>
    </row>
    <row r="238" spans="1:47" s="162" customFormat="1" ht="32.25" customHeight="1">
      <c r="A238" s="454"/>
      <c r="C238" s="485" t="s">
        <v>853</v>
      </c>
      <c r="D238" s="490"/>
      <c r="E238" s="195" t="s">
        <v>1517</v>
      </c>
      <c r="F238" s="960" t="s">
        <v>243</v>
      </c>
      <c r="G238" s="965"/>
      <c r="H238" s="965"/>
      <c r="I238" s="965"/>
      <c r="J238" s="94" t="s">
        <v>129</v>
      </c>
      <c r="K238" s="39">
        <v>1.9</v>
      </c>
      <c r="L238" s="21"/>
      <c r="M238" s="105"/>
      <c r="N238" s="966">
        <f aca="true" t="shared" si="16" ref="N238:N240">ROUND(L238*K238,2)</f>
        <v>0</v>
      </c>
      <c r="O238" s="966"/>
      <c r="P238" s="966"/>
      <c r="Q238" s="966"/>
      <c r="T238" s="506"/>
      <c r="U238" s="58"/>
      <c r="V238" s="58"/>
      <c r="W238" s="58"/>
      <c r="X238" s="58"/>
      <c r="Y238" s="58"/>
      <c r="Z238" s="58"/>
      <c r="AA238" s="507"/>
      <c r="AT238" s="448" t="s">
        <v>182</v>
      </c>
      <c r="AU238" s="448" t="s">
        <v>76</v>
      </c>
    </row>
    <row r="239" spans="1:65" s="162" customFormat="1" ht="32.25" customHeight="1">
      <c r="A239" s="454"/>
      <c r="C239" s="485" t="s">
        <v>854</v>
      </c>
      <c r="D239" s="490"/>
      <c r="E239" s="195" t="s">
        <v>1518</v>
      </c>
      <c r="F239" s="960" t="s">
        <v>242</v>
      </c>
      <c r="G239" s="965"/>
      <c r="H239" s="965"/>
      <c r="I239" s="965"/>
      <c r="J239" s="94" t="s">
        <v>129</v>
      </c>
      <c r="K239" s="39">
        <f>(M237+K236)*0.03*0.2*2+(K234+M235)*0.003*2*0.8</f>
        <v>11.0863116</v>
      </c>
      <c r="L239" s="21"/>
      <c r="M239" s="105"/>
      <c r="N239" s="966">
        <f t="shared" si="16"/>
        <v>0</v>
      </c>
      <c r="O239" s="966"/>
      <c r="P239" s="966"/>
      <c r="Q239" s="966"/>
      <c r="T239" s="407" t="s">
        <v>5</v>
      </c>
      <c r="U239" s="221" t="s">
        <v>36</v>
      </c>
      <c r="V239" s="408">
        <v>0</v>
      </c>
      <c r="W239" s="408">
        <f>V239*K267</f>
        <v>0</v>
      </c>
      <c r="X239" s="408">
        <v>0</v>
      </c>
      <c r="Y239" s="408">
        <f>X239*K267</f>
        <v>0</v>
      </c>
      <c r="Z239" s="408">
        <v>0</v>
      </c>
      <c r="AA239" s="409">
        <f>Z239*K267</f>
        <v>0</v>
      </c>
      <c r="AR239" s="448" t="s">
        <v>128</v>
      </c>
      <c r="AT239" s="448" t="s">
        <v>126</v>
      </c>
      <c r="AU239" s="448" t="s">
        <v>76</v>
      </c>
      <c r="AY239" s="448" t="s">
        <v>125</v>
      </c>
      <c r="BE239" s="484">
        <f>IF(U239="základní",N267,0)</f>
        <v>0</v>
      </c>
      <c r="BF239" s="484">
        <f>IF(U239="snížená",N267,0)</f>
        <v>0</v>
      </c>
      <c r="BG239" s="484">
        <f>IF(U239="zákl. přenesená",N267,0)</f>
        <v>0</v>
      </c>
      <c r="BH239" s="484">
        <f>IF(U239="sníž. přenesená",N267,0)</f>
        <v>0</v>
      </c>
      <c r="BI239" s="484">
        <f>IF(U239="nulová",N267,0)</f>
        <v>0</v>
      </c>
      <c r="BJ239" s="448" t="s">
        <v>80</v>
      </c>
      <c r="BK239" s="484">
        <f>ROUND(L267*K267,2)</f>
        <v>0</v>
      </c>
      <c r="BL239" s="448" t="s">
        <v>128</v>
      </c>
      <c r="BM239" s="448" t="s">
        <v>151</v>
      </c>
    </row>
    <row r="240" spans="1:47" s="162" customFormat="1" ht="32.25" customHeight="1">
      <c r="A240" s="454"/>
      <c r="C240" s="485" t="s">
        <v>855</v>
      </c>
      <c r="D240" s="490"/>
      <c r="E240" s="195" t="s">
        <v>1577</v>
      </c>
      <c r="F240" s="960" t="s">
        <v>206</v>
      </c>
      <c r="G240" s="965"/>
      <c r="H240" s="965"/>
      <c r="I240" s="965"/>
      <c r="J240" s="500" t="str">
        <f>J239</f>
        <v>m3</v>
      </c>
      <c r="K240" s="39">
        <f>K238+K239</f>
        <v>12.9863116</v>
      </c>
      <c r="L240" s="21"/>
      <c r="M240" s="105"/>
      <c r="N240" s="966">
        <f t="shared" si="16"/>
        <v>0</v>
      </c>
      <c r="O240" s="966"/>
      <c r="P240" s="966"/>
      <c r="Q240" s="966"/>
      <c r="T240" s="506"/>
      <c r="U240" s="58"/>
      <c r="V240" s="58"/>
      <c r="W240" s="58"/>
      <c r="X240" s="58"/>
      <c r="Y240" s="58"/>
      <c r="Z240" s="58"/>
      <c r="AA240" s="507"/>
      <c r="AT240" s="448" t="s">
        <v>182</v>
      </c>
      <c r="AU240" s="448" t="s">
        <v>76</v>
      </c>
    </row>
    <row r="241" spans="1:65" s="162" customFormat="1" ht="32.25" customHeight="1">
      <c r="A241" s="457"/>
      <c r="B241" s="58"/>
      <c r="C241" s="58"/>
      <c r="D241" s="58"/>
      <c r="E241" s="58"/>
      <c r="F241" s="986"/>
      <c r="G241" s="973"/>
      <c r="H241" s="973"/>
      <c r="I241" s="973"/>
      <c r="J241" s="522"/>
      <c r="K241" s="523"/>
      <c r="L241" s="58"/>
      <c r="M241" s="105"/>
      <c r="N241" s="58"/>
      <c r="O241" s="58"/>
      <c r="P241" s="58"/>
      <c r="Q241" s="58"/>
      <c r="R241" s="58"/>
      <c r="S241" s="58"/>
      <c r="T241" s="483" t="s">
        <v>5</v>
      </c>
      <c r="U241" s="221" t="s">
        <v>36</v>
      </c>
      <c r="V241" s="408">
        <v>0</v>
      </c>
      <c r="W241" s="408">
        <f aca="true" t="shared" si="17" ref="W241:W245">V241*K271</f>
        <v>0</v>
      </c>
      <c r="X241" s="408">
        <v>0</v>
      </c>
      <c r="Y241" s="408">
        <f aca="true" t="shared" si="18" ref="Y241:Y245">X241*K271</f>
        <v>0</v>
      </c>
      <c r="Z241" s="408">
        <v>0</v>
      </c>
      <c r="AA241" s="409">
        <f aca="true" t="shared" si="19" ref="AA241:AA245">Z241*K271</f>
        <v>0</v>
      </c>
      <c r="AR241" s="448" t="s">
        <v>128</v>
      </c>
      <c r="AT241" s="448" t="s">
        <v>126</v>
      </c>
      <c r="AU241" s="448" t="s">
        <v>76</v>
      </c>
      <c r="AY241" s="448" t="s">
        <v>125</v>
      </c>
      <c r="BE241" s="484">
        <f aca="true" t="shared" si="20" ref="BE241:BE245">IF(U241="základní",N271,0)</f>
        <v>0</v>
      </c>
      <c r="BF241" s="484">
        <f aca="true" t="shared" si="21" ref="BF241:BF245">IF(U241="snížená",N271,0)</f>
        <v>0</v>
      </c>
      <c r="BG241" s="484">
        <f aca="true" t="shared" si="22" ref="BG241:BG245">IF(U241="zákl. přenesená",N271,0)</f>
        <v>0</v>
      </c>
      <c r="BH241" s="484">
        <f aca="true" t="shared" si="23" ref="BH241:BH245">IF(U241="sníž. přenesená",N271,0)</f>
        <v>0</v>
      </c>
      <c r="BI241" s="484">
        <f aca="true" t="shared" si="24" ref="BI241:BI245">IF(U241="nulová",N271,0)</f>
        <v>0</v>
      </c>
      <c r="BJ241" s="448" t="s">
        <v>80</v>
      </c>
      <c r="BK241" s="484">
        <f aca="true" t="shared" si="25" ref="BK241:BK245">ROUND(L271*K271,2)</f>
        <v>0</v>
      </c>
      <c r="BL241" s="448" t="s">
        <v>128</v>
      </c>
      <c r="BM241" s="448" t="s">
        <v>185</v>
      </c>
    </row>
    <row r="242" spans="1:65" s="162" customFormat="1" ht="32.25" customHeight="1">
      <c r="A242" s="457"/>
      <c r="B242" s="58"/>
      <c r="C242" s="522"/>
      <c r="D242" s="522"/>
      <c r="E242" s="524"/>
      <c r="F242" s="991"/>
      <c r="G242" s="991"/>
      <c r="H242" s="991"/>
      <c r="I242" s="991"/>
      <c r="J242" s="525"/>
      <c r="K242" s="523"/>
      <c r="L242" s="989"/>
      <c r="M242" s="989"/>
      <c r="N242" s="989"/>
      <c r="O242" s="989"/>
      <c r="P242" s="989"/>
      <c r="Q242" s="989"/>
      <c r="R242" s="58"/>
      <c r="S242" s="58"/>
      <c r="T242" s="483" t="s">
        <v>5</v>
      </c>
      <c r="U242" s="221" t="s">
        <v>36</v>
      </c>
      <c r="V242" s="408">
        <v>0</v>
      </c>
      <c r="W242" s="408">
        <f t="shared" si="17"/>
        <v>0</v>
      </c>
      <c r="X242" s="408">
        <v>0</v>
      </c>
      <c r="Y242" s="408">
        <f t="shared" si="18"/>
        <v>0</v>
      </c>
      <c r="Z242" s="408">
        <v>0</v>
      </c>
      <c r="AA242" s="409">
        <f t="shared" si="19"/>
        <v>0</v>
      </c>
      <c r="AR242" s="448" t="s">
        <v>128</v>
      </c>
      <c r="AT242" s="448" t="s">
        <v>126</v>
      </c>
      <c r="AU242" s="448" t="s">
        <v>76</v>
      </c>
      <c r="AY242" s="448" t="s">
        <v>125</v>
      </c>
      <c r="BE242" s="484">
        <f t="shared" si="20"/>
        <v>0</v>
      </c>
      <c r="BF242" s="484">
        <f t="shared" si="21"/>
        <v>0</v>
      </c>
      <c r="BG242" s="484">
        <f t="shared" si="22"/>
        <v>0</v>
      </c>
      <c r="BH242" s="484">
        <f t="shared" si="23"/>
        <v>0</v>
      </c>
      <c r="BI242" s="484">
        <f t="shared" si="24"/>
        <v>0</v>
      </c>
      <c r="BJ242" s="448" t="s">
        <v>80</v>
      </c>
      <c r="BK242" s="484">
        <f t="shared" si="25"/>
        <v>0</v>
      </c>
      <c r="BL242" s="448" t="s">
        <v>128</v>
      </c>
      <c r="BM242" s="448" t="s">
        <v>186</v>
      </c>
    </row>
    <row r="243" spans="1:65" s="162" customFormat="1" ht="32.25" customHeight="1">
      <c r="A243" s="457"/>
      <c r="B243" s="58"/>
      <c r="C243" s="58"/>
      <c r="D243" s="58"/>
      <c r="E243" s="58"/>
      <c r="F243" s="986"/>
      <c r="G243" s="973"/>
      <c r="H243" s="973"/>
      <c r="I243" s="973"/>
      <c r="J243" s="522"/>
      <c r="K243" s="523"/>
      <c r="L243" s="58"/>
      <c r="M243" s="58"/>
      <c r="N243" s="58"/>
      <c r="O243" s="58"/>
      <c r="P243" s="58"/>
      <c r="Q243" s="58"/>
      <c r="R243" s="58"/>
      <c r="S243" s="58"/>
      <c r="T243" s="483" t="s">
        <v>5</v>
      </c>
      <c r="U243" s="221" t="s">
        <v>36</v>
      </c>
      <c r="V243" s="408">
        <v>0</v>
      </c>
      <c r="W243" s="408">
        <f t="shared" si="17"/>
        <v>0</v>
      </c>
      <c r="X243" s="408">
        <v>0</v>
      </c>
      <c r="Y243" s="408">
        <f t="shared" si="18"/>
        <v>0</v>
      </c>
      <c r="Z243" s="408">
        <v>0</v>
      </c>
      <c r="AA243" s="409">
        <f t="shared" si="19"/>
        <v>0</v>
      </c>
      <c r="AR243" s="448" t="s">
        <v>128</v>
      </c>
      <c r="AT243" s="448" t="s">
        <v>126</v>
      </c>
      <c r="AU243" s="448" t="s">
        <v>76</v>
      </c>
      <c r="AY243" s="448" t="s">
        <v>125</v>
      </c>
      <c r="BE243" s="484">
        <f t="shared" si="20"/>
        <v>0</v>
      </c>
      <c r="BF243" s="484">
        <f t="shared" si="21"/>
        <v>0</v>
      </c>
      <c r="BG243" s="484">
        <f t="shared" si="22"/>
        <v>0</v>
      </c>
      <c r="BH243" s="484">
        <f t="shared" si="23"/>
        <v>0</v>
      </c>
      <c r="BI243" s="484">
        <f t="shared" si="24"/>
        <v>0</v>
      </c>
      <c r="BJ243" s="448" t="s">
        <v>80</v>
      </c>
      <c r="BK243" s="484">
        <f t="shared" si="25"/>
        <v>0</v>
      </c>
      <c r="BL243" s="448" t="s">
        <v>128</v>
      </c>
      <c r="BM243" s="448" t="s">
        <v>187</v>
      </c>
    </row>
    <row r="244" spans="1:65" s="162" customFormat="1" ht="32.25" customHeight="1">
      <c r="A244" s="457"/>
      <c r="B244" s="58"/>
      <c r="C244" s="522"/>
      <c r="D244" s="522"/>
      <c r="E244" s="524"/>
      <c r="F244" s="991"/>
      <c r="G244" s="991"/>
      <c r="H244" s="991"/>
      <c r="I244" s="991"/>
      <c r="J244" s="525"/>
      <c r="K244" s="523"/>
      <c r="L244" s="989"/>
      <c r="M244" s="989"/>
      <c r="N244" s="989"/>
      <c r="O244" s="989"/>
      <c r="P244" s="989"/>
      <c r="Q244" s="989"/>
      <c r="R244" s="58"/>
      <c r="S244" s="58"/>
      <c r="T244" s="483" t="s">
        <v>5</v>
      </c>
      <c r="U244" s="221" t="s">
        <v>36</v>
      </c>
      <c r="V244" s="408">
        <v>0</v>
      </c>
      <c r="W244" s="408">
        <f t="shared" si="17"/>
        <v>0</v>
      </c>
      <c r="X244" s="408">
        <v>0</v>
      </c>
      <c r="Y244" s="408">
        <f t="shared" si="18"/>
        <v>0</v>
      </c>
      <c r="Z244" s="408">
        <v>0</v>
      </c>
      <c r="AA244" s="409">
        <f t="shared" si="19"/>
        <v>0</v>
      </c>
      <c r="AR244" s="448" t="s">
        <v>128</v>
      </c>
      <c r="AT244" s="448" t="s">
        <v>126</v>
      </c>
      <c r="AU244" s="448" t="s">
        <v>76</v>
      </c>
      <c r="AY244" s="448" t="s">
        <v>125</v>
      </c>
      <c r="BE244" s="484">
        <f t="shared" si="20"/>
        <v>0</v>
      </c>
      <c r="BF244" s="484">
        <f t="shared" si="21"/>
        <v>0</v>
      </c>
      <c r="BG244" s="484">
        <f t="shared" si="22"/>
        <v>0</v>
      </c>
      <c r="BH244" s="484">
        <f t="shared" si="23"/>
        <v>0</v>
      </c>
      <c r="BI244" s="484">
        <f t="shared" si="24"/>
        <v>0</v>
      </c>
      <c r="BJ244" s="448" t="s">
        <v>80</v>
      </c>
      <c r="BK244" s="484">
        <f t="shared" si="25"/>
        <v>0</v>
      </c>
      <c r="BL244" s="448" t="s">
        <v>128</v>
      </c>
      <c r="BM244" s="448" t="s">
        <v>188</v>
      </c>
    </row>
    <row r="245" spans="1:65" s="162" customFormat="1" ht="44.25" customHeight="1">
      <c r="A245" s="457"/>
      <c r="B245" s="58"/>
      <c r="C245" s="58"/>
      <c r="D245" s="58"/>
      <c r="E245" s="58"/>
      <c r="F245" s="986"/>
      <c r="G245" s="973"/>
      <c r="H245" s="973"/>
      <c r="I245" s="973"/>
      <c r="J245" s="522"/>
      <c r="K245" s="523"/>
      <c r="L245" s="58"/>
      <c r="M245" s="58"/>
      <c r="N245" s="58"/>
      <c r="O245" s="58"/>
      <c r="P245" s="58"/>
      <c r="Q245" s="58"/>
      <c r="R245" s="58"/>
      <c r="S245" s="58"/>
      <c r="T245" s="483" t="s">
        <v>5</v>
      </c>
      <c r="U245" s="526" t="s">
        <v>36</v>
      </c>
      <c r="V245" s="527">
        <v>0</v>
      </c>
      <c r="W245" s="527">
        <f t="shared" si="17"/>
        <v>0</v>
      </c>
      <c r="X245" s="527">
        <v>0</v>
      </c>
      <c r="Y245" s="527">
        <f t="shared" si="18"/>
        <v>0</v>
      </c>
      <c r="Z245" s="527">
        <v>0</v>
      </c>
      <c r="AA245" s="528">
        <f t="shared" si="19"/>
        <v>0</v>
      </c>
      <c r="AR245" s="448" t="s">
        <v>128</v>
      </c>
      <c r="AT245" s="448" t="s">
        <v>126</v>
      </c>
      <c r="AU245" s="448" t="s">
        <v>76</v>
      </c>
      <c r="AY245" s="448" t="s">
        <v>125</v>
      </c>
      <c r="BE245" s="484">
        <f t="shared" si="20"/>
        <v>0</v>
      </c>
      <c r="BF245" s="484">
        <f t="shared" si="21"/>
        <v>0</v>
      </c>
      <c r="BG245" s="484">
        <f t="shared" si="22"/>
        <v>0</v>
      </c>
      <c r="BH245" s="484">
        <f t="shared" si="23"/>
        <v>0</v>
      </c>
      <c r="BI245" s="484">
        <f t="shared" si="24"/>
        <v>0</v>
      </c>
      <c r="BJ245" s="448" t="s">
        <v>80</v>
      </c>
      <c r="BK245" s="484">
        <f t="shared" si="25"/>
        <v>0</v>
      </c>
      <c r="BL245" s="448" t="s">
        <v>128</v>
      </c>
      <c r="BM245" s="448" t="s">
        <v>189</v>
      </c>
    </row>
    <row r="246" spans="1:19" s="162" customFormat="1" ht="6.95" customHeight="1">
      <c r="A246" s="457"/>
      <c r="B246" s="58"/>
      <c r="C246" s="522"/>
      <c r="D246" s="522"/>
      <c r="E246" s="524"/>
      <c r="F246" s="991"/>
      <c r="G246" s="991"/>
      <c r="H246" s="991"/>
      <c r="I246" s="991"/>
      <c r="J246" s="525"/>
      <c r="K246" s="523"/>
      <c r="L246" s="989"/>
      <c r="M246" s="989"/>
      <c r="N246" s="989"/>
      <c r="O246" s="989"/>
      <c r="P246" s="989"/>
      <c r="Q246" s="989"/>
      <c r="R246" s="58"/>
      <c r="S246" s="58"/>
    </row>
    <row r="247" spans="1:19" ht="13.5">
      <c r="A247" s="529"/>
      <c r="B247" s="157"/>
      <c r="C247" s="58"/>
      <c r="D247" s="58"/>
      <c r="E247" s="58"/>
      <c r="F247" s="986"/>
      <c r="G247" s="973"/>
      <c r="H247" s="973"/>
      <c r="I247" s="973"/>
      <c r="J247" s="58"/>
      <c r="K247" s="523"/>
      <c r="L247" s="58"/>
      <c r="M247" s="58"/>
      <c r="N247" s="58"/>
      <c r="O247" s="58"/>
      <c r="P247" s="58"/>
      <c r="Q247" s="58"/>
      <c r="R247" s="157"/>
      <c r="S247" s="157"/>
    </row>
    <row r="248" spans="1:19" ht="13.5">
      <c r="A248" s="529"/>
      <c r="B248" s="157"/>
      <c r="C248" s="522"/>
      <c r="D248" s="522"/>
      <c r="E248" s="524"/>
      <c r="F248" s="991"/>
      <c r="G248" s="991"/>
      <c r="H248" s="991"/>
      <c r="I248" s="991"/>
      <c r="J248" s="525"/>
      <c r="K248" s="523"/>
      <c r="L248" s="989"/>
      <c r="M248" s="989"/>
      <c r="N248" s="989"/>
      <c r="O248" s="989"/>
      <c r="P248" s="989"/>
      <c r="Q248" s="989"/>
      <c r="R248" s="157"/>
      <c r="S248" s="157"/>
    </row>
    <row r="249" spans="1:19" ht="13.5">
      <c r="A249" s="529"/>
      <c r="B249" s="157"/>
      <c r="C249" s="58"/>
      <c r="D249" s="58"/>
      <c r="E249" s="58"/>
      <c r="F249" s="986"/>
      <c r="G249" s="973"/>
      <c r="H249" s="973"/>
      <c r="I249" s="973"/>
      <c r="J249" s="58"/>
      <c r="K249" s="523"/>
      <c r="L249" s="58"/>
      <c r="M249" s="58"/>
      <c r="N249" s="58"/>
      <c r="O249" s="58"/>
      <c r="P249" s="58"/>
      <c r="Q249" s="58"/>
      <c r="R249" s="157"/>
      <c r="S249" s="157"/>
    </row>
    <row r="250" spans="1:19" ht="13.5">
      <c r="A250" s="529"/>
      <c r="B250" s="157"/>
      <c r="C250" s="522"/>
      <c r="D250" s="522"/>
      <c r="E250" s="524"/>
      <c r="F250" s="991"/>
      <c r="G250" s="991"/>
      <c r="H250" s="991"/>
      <c r="I250" s="991"/>
      <c r="J250" s="525"/>
      <c r="K250" s="523"/>
      <c r="L250" s="989"/>
      <c r="M250" s="989"/>
      <c r="N250" s="989"/>
      <c r="O250" s="989"/>
      <c r="P250" s="989"/>
      <c r="Q250" s="989"/>
      <c r="R250" s="157"/>
      <c r="S250" s="157"/>
    </row>
    <row r="251" spans="1:19" ht="13.5">
      <c r="A251" s="529"/>
      <c r="B251" s="157"/>
      <c r="C251" s="58"/>
      <c r="D251" s="58"/>
      <c r="E251" s="58"/>
      <c r="F251" s="986"/>
      <c r="G251" s="973"/>
      <c r="H251" s="973"/>
      <c r="I251" s="973"/>
      <c r="J251" s="58"/>
      <c r="K251" s="523"/>
      <c r="L251" s="58"/>
      <c r="M251" s="58"/>
      <c r="N251" s="58"/>
      <c r="O251" s="58"/>
      <c r="P251" s="58"/>
      <c r="Q251" s="58"/>
      <c r="R251" s="157"/>
      <c r="S251" s="157"/>
    </row>
    <row r="252" spans="1:19" ht="13.5">
      <c r="A252" s="529"/>
      <c r="B252" s="157"/>
      <c r="C252" s="522"/>
      <c r="D252" s="522"/>
      <c r="E252" s="524"/>
      <c r="F252" s="991"/>
      <c r="G252" s="991"/>
      <c r="H252" s="991"/>
      <c r="I252" s="991"/>
      <c r="J252" s="525"/>
      <c r="K252" s="523"/>
      <c r="L252" s="989"/>
      <c r="M252" s="989"/>
      <c r="N252" s="989"/>
      <c r="O252" s="989"/>
      <c r="P252" s="989"/>
      <c r="Q252" s="989"/>
      <c r="R252" s="157"/>
      <c r="S252" s="157"/>
    </row>
    <row r="253" spans="1:19" ht="13.5">
      <c r="A253" s="529"/>
      <c r="B253" s="157"/>
      <c r="C253" s="58"/>
      <c r="D253" s="58"/>
      <c r="E253" s="58"/>
      <c r="F253" s="986"/>
      <c r="G253" s="973"/>
      <c r="H253" s="973"/>
      <c r="I253" s="973"/>
      <c r="J253" s="58"/>
      <c r="K253" s="523"/>
      <c r="L253" s="58"/>
      <c r="M253" s="58"/>
      <c r="N253" s="58"/>
      <c r="O253" s="58"/>
      <c r="P253" s="58"/>
      <c r="Q253" s="58"/>
      <c r="R253" s="157"/>
      <c r="S253" s="157"/>
    </row>
    <row r="254" spans="1:19" ht="18">
      <c r="A254" s="529"/>
      <c r="B254" s="157"/>
      <c r="C254" s="181"/>
      <c r="D254" s="105"/>
      <c r="E254" s="105"/>
      <c r="F254" s="105"/>
      <c r="G254" s="105"/>
      <c r="H254" s="105"/>
      <c r="I254" s="105"/>
      <c r="J254" s="105"/>
      <c r="K254" s="530"/>
      <c r="L254" s="105"/>
      <c r="M254" s="105"/>
      <c r="N254" s="971"/>
      <c r="O254" s="926"/>
      <c r="P254" s="926"/>
      <c r="Q254" s="926"/>
      <c r="R254" s="157"/>
      <c r="S254" s="157"/>
    </row>
    <row r="255" spans="1:19" ht="13.5">
      <c r="A255" s="529"/>
      <c r="B255" s="157"/>
      <c r="C255" s="522"/>
      <c r="D255" s="522"/>
      <c r="E255" s="524"/>
      <c r="F255" s="991"/>
      <c r="G255" s="991"/>
      <c r="H255" s="991"/>
      <c r="I255" s="991"/>
      <c r="J255" s="525"/>
      <c r="K255" s="523"/>
      <c r="L255" s="989"/>
      <c r="M255" s="989"/>
      <c r="N255" s="989"/>
      <c r="O255" s="989"/>
      <c r="P255" s="989"/>
      <c r="Q255" s="989"/>
      <c r="R255" s="157"/>
      <c r="S255" s="157"/>
    </row>
    <row r="256" spans="1:19" ht="13.5">
      <c r="A256" s="529"/>
      <c r="B256" s="157"/>
      <c r="C256" s="58"/>
      <c r="D256" s="58"/>
      <c r="E256" s="58"/>
      <c r="F256" s="986"/>
      <c r="G256" s="973"/>
      <c r="H256" s="973"/>
      <c r="I256" s="973"/>
      <c r="J256" s="58"/>
      <c r="K256" s="523"/>
      <c r="L256" s="58"/>
      <c r="M256" s="58"/>
      <c r="N256" s="58"/>
      <c r="O256" s="58"/>
      <c r="P256" s="58"/>
      <c r="Q256" s="58"/>
      <c r="R256" s="157"/>
      <c r="S256" s="157"/>
    </row>
    <row r="257" spans="1:19" ht="13.5">
      <c r="A257" s="529"/>
      <c r="B257" s="157"/>
      <c r="C257" s="522"/>
      <c r="D257" s="522"/>
      <c r="E257" s="524"/>
      <c r="F257" s="991"/>
      <c r="G257" s="991"/>
      <c r="H257" s="991"/>
      <c r="I257" s="991"/>
      <c r="J257" s="525"/>
      <c r="K257" s="523"/>
      <c r="L257" s="989"/>
      <c r="M257" s="989"/>
      <c r="N257" s="989"/>
      <c r="O257" s="989"/>
      <c r="P257" s="989"/>
      <c r="Q257" s="989"/>
      <c r="R257" s="157"/>
      <c r="S257" s="157"/>
    </row>
    <row r="258" spans="1:19" ht="13.5">
      <c r="A258" s="529"/>
      <c r="B258" s="157"/>
      <c r="C258" s="58"/>
      <c r="D258" s="58"/>
      <c r="E258" s="58"/>
      <c r="F258" s="986"/>
      <c r="G258" s="973"/>
      <c r="H258" s="973"/>
      <c r="I258" s="973"/>
      <c r="J258" s="58"/>
      <c r="K258" s="523"/>
      <c r="L258" s="58"/>
      <c r="M258" s="58"/>
      <c r="N258" s="58"/>
      <c r="O258" s="58"/>
      <c r="P258" s="58"/>
      <c r="Q258" s="58"/>
      <c r="R258" s="157"/>
      <c r="S258" s="157"/>
    </row>
    <row r="259" spans="1:19" ht="18">
      <c r="A259" s="529"/>
      <c r="B259" s="157"/>
      <c r="C259" s="181"/>
      <c r="D259" s="105"/>
      <c r="E259" s="105"/>
      <c r="F259" s="105"/>
      <c r="G259" s="105"/>
      <c r="H259" s="105"/>
      <c r="I259" s="105"/>
      <c r="J259" s="105"/>
      <c r="K259" s="530"/>
      <c r="L259" s="105"/>
      <c r="M259" s="105"/>
      <c r="N259" s="971"/>
      <c r="O259" s="926"/>
      <c r="P259" s="926"/>
      <c r="Q259" s="926"/>
      <c r="R259" s="157"/>
      <c r="S259" s="157"/>
    </row>
    <row r="260" spans="1:19" ht="13.5">
      <c r="A260" s="529"/>
      <c r="B260" s="157"/>
      <c r="C260" s="522"/>
      <c r="D260" s="522"/>
      <c r="E260" s="524"/>
      <c r="F260" s="991"/>
      <c r="G260" s="991"/>
      <c r="H260" s="991"/>
      <c r="I260" s="991"/>
      <c r="J260" s="525"/>
      <c r="K260" s="523"/>
      <c r="L260" s="989"/>
      <c r="M260" s="989"/>
      <c r="N260" s="989"/>
      <c r="O260" s="989"/>
      <c r="P260" s="989"/>
      <c r="Q260" s="989"/>
      <c r="R260" s="157"/>
      <c r="S260" s="157"/>
    </row>
    <row r="261" spans="1:19" ht="13.5">
      <c r="A261" s="529"/>
      <c r="B261" s="157"/>
      <c r="C261" s="58"/>
      <c r="D261" s="58"/>
      <c r="E261" s="58"/>
      <c r="F261" s="986"/>
      <c r="G261" s="973"/>
      <c r="H261" s="973"/>
      <c r="I261" s="973"/>
      <c r="J261" s="58"/>
      <c r="K261" s="523"/>
      <c r="L261" s="58"/>
      <c r="M261" s="58"/>
      <c r="N261" s="58"/>
      <c r="O261" s="58"/>
      <c r="P261" s="58"/>
      <c r="Q261" s="58"/>
      <c r="R261" s="157"/>
      <c r="S261" s="157"/>
    </row>
    <row r="262" spans="1:19" ht="13.5">
      <c r="A262" s="529"/>
      <c r="B262" s="157"/>
      <c r="C262" s="522"/>
      <c r="D262" s="522"/>
      <c r="E262" s="524"/>
      <c r="F262" s="991"/>
      <c r="G262" s="991"/>
      <c r="H262" s="991"/>
      <c r="I262" s="991"/>
      <c r="J262" s="525"/>
      <c r="K262" s="523"/>
      <c r="L262" s="989"/>
      <c r="M262" s="989"/>
      <c r="N262" s="989"/>
      <c r="O262" s="989"/>
      <c r="P262" s="989"/>
      <c r="Q262" s="989"/>
      <c r="R262" s="157"/>
      <c r="S262" s="157"/>
    </row>
    <row r="263" spans="1:19" ht="13.5">
      <c r="A263" s="529"/>
      <c r="B263" s="157"/>
      <c r="C263" s="58"/>
      <c r="D263" s="58"/>
      <c r="E263" s="58"/>
      <c r="F263" s="986"/>
      <c r="G263" s="973"/>
      <c r="H263" s="973"/>
      <c r="I263" s="973"/>
      <c r="J263" s="58"/>
      <c r="K263" s="523"/>
      <c r="L263" s="58"/>
      <c r="M263" s="58"/>
      <c r="N263" s="58"/>
      <c r="O263" s="58"/>
      <c r="P263" s="58"/>
      <c r="Q263" s="58"/>
      <c r="R263" s="157"/>
      <c r="S263" s="157"/>
    </row>
    <row r="264" spans="1:19" ht="13.5">
      <c r="A264" s="529"/>
      <c r="B264" s="157"/>
      <c r="C264" s="522"/>
      <c r="D264" s="522"/>
      <c r="E264" s="524"/>
      <c r="F264" s="991"/>
      <c r="G264" s="991"/>
      <c r="H264" s="991"/>
      <c r="I264" s="991"/>
      <c r="J264" s="525"/>
      <c r="K264" s="523"/>
      <c r="L264" s="989"/>
      <c r="M264" s="989"/>
      <c r="N264" s="989"/>
      <c r="O264" s="989"/>
      <c r="P264" s="989"/>
      <c r="Q264" s="989"/>
      <c r="R264" s="157"/>
      <c r="S264" s="157"/>
    </row>
    <row r="265" spans="1:19" ht="13.5">
      <c r="A265" s="529"/>
      <c r="B265" s="157"/>
      <c r="C265" s="58"/>
      <c r="D265" s="58"/>
      <c r="E265" s="58"/>
      <c r="F265" s="986"/>
      <c r="G265" s="973"/>
      <c r="H265" s="973"/>
      <c r="I265" s="973"/>
      <c r="J265" s="58"/>
      <c r="K265" s="523"/>
      <c r="L265" s="58"/>
      <c r="M265" s="58"/>
      <c r="N265" s="58"/>
      <c r="O265" s="58"/>
      <c r="P265" s="58"/>
      <c r="Q265" s="58"/>
      <c r="R265" s="157"/>
      <c r="S265" s="157"/>
    </row>
    <row r="266" spans="1:19" ht="13.5">
      <c r="A266" s="529"/>
      <c r="B266" s="157"/>
      <c r="C266" s="522"/>
      <c r="D266" s="522"/>
      <c r="E266" s="524"/>
      <c r="F266" s="991"/>
      <c r="G266" s="991"/>
      <c r="H266" s="991"/>
      <c r="I266" s="991"/>
      <c r="J266" s="525"/>
      <c r="K266" s="523"/>
      <c r="L266" s="989"/>
      <c r="M266" s="989"/>
      <c r="N266" s="989"/>
      <c r="O266" s="989"/>
      <c r="P266" s="989"/>
      <c r="Q266" s="989"/>
      <c r="R266" s="157"/>
      <c r="S266" s="157"/>
    </row>
    <row r="267" spans="1:19" ht="13.5">
      <c r="A267" s="529"/>
      <c r="B267" s="157"/>
      <c r="C267" s="58"/>
      <c r="D267" s="58"/>
      <c r="E267" s="58"/>
      <c r="F267" s="986"/>
      <c r="G267" s="973"/>
      <c r="H267" s="973"/>
      <c r="I267" s="973"/>
      <c r="J267" s="58"/>
      <c r="K267" s="523"/>
      <c r="L267" s="58"/>
      <c r="M267" s="58"/>
      <c r="N267" s="58"/>
      <c r="O267" s="58"/>
      <c r="P267" s="58"/>
      <c r="Q267" s="58"/>
      <c r="R267" s="157"/>
      <c r="S267" s="157"/>
    </row>
    <row r="268" spans="1:19" ht="18">
      <c r="A268" s="529"/>
      <c r="B268" s="157"/>
      <c r="C268" s="181"/>
      <c r="D268" s="105"/>
      <c r="E268" s="105"/>
      <c r="F268" s="105"/>
      <c r="G268" s="105"/>
      <c r="H268" s="105"/>
      <c r="I268" s="105"/>
      <c r="J268" s="105"/>
      <c r="K268" s="530"/>
      <c r="L268" s="105"/>
      <c r="M268" s="105"/>
      <c r="N268" s="971"/>
      <c r="O268" s="926"/>
      <c r="P268" s="926"/>
      <c r="Q268" s="926"/>
      <c r="R268" s="157"/>
      <c r="S268" s="157"/>
    </row>
    <row r="269" spans="1:19" ht="13.5">
      <c r="A269" s="529"/>
      <c r="B269" s="157"/>
      <c r="C269" s="522"/>
      <c r="D269" s="522"/>
      <c r="E269" s="524"/>
      <c r="F269" s="991"/>
      <c r="G269" s="991"/>
      <c r="H269" s="991"/>
      <c r="I269" s="991"/>
      <c r="J269" s="525"/>
      <c r="K269" s="523"/>
      <c r="L269" s="989"/>
      <c r="M269" s="989"/>
      <c r="N269" s="989"/>
      <c r="O269" s="989"/>
      <c r="P269" s="989"/>
      <c r="Q269" s="989"/>
      <c r="R269" s="157"/>
      <c r="S269" s="157"/>
    </row>
    <row r="270" spans="1:19" ht="13.5">
      <c r="A270" s="529"/>
      <c r="B270" s="157"/>
      <c r="C270" s="522"/>
      <c r="D270" s="522"/>
      <c r="E270" s="524"/>
      <c r="F270" s="991"/>
      <c r="G270" s="991"/>
      <c r="H270" s="991"/>
      <c r="I270" s="991"/>
      <c r="J270" s="525"/>
      <c r="K270" s="523"/>
      <c r="L270" s="989"/>
      <c r="M270" s="989"/>
      <c r="N270" s="989"/>
      <c r="O270" s="989"/>
      <c r="P270" s="989"/>
      <c r="Q270" s="989"/>
      <c r="R270" s="157"/>
      <c r="S270" s="157"/>
    </row>
    <row r="271" spans="1:19" ht="13.5">
      <c r="A271" s="529"/>
      <c r="B271" s="157"/>
      <c r="C271" s="522"/>
      <c r="D271" s="522"/>
      <c r="E271" s="524"/>
      <c r="F271" s="991"/>
      <c r="G271" s="991"/>
      <c r="H271" s="991"/>
      <c r="I271" s="991"/>
      <c r="J271" s="525"/>
      <c r="K271" s="523"/>
      <c r="L271" s="989"/>
      <c r="M271" s="989"/>
      <c r="N271" s="989"/>
      <c r="O271" s="989"/>
      <c r="P271" s="989"/>
      <c r="Q271" s="989"/>
      <c r="R271" s="157"/>
      <c r="S271" s="157"/>
    </row>
    <row r="272" spans="1:19" ht="13.5">
      <c r="A272" s="529"/>
      <c r="B272" s="157"/>
      <c r="C272" s="522"/>
      <c r="D272" s="522"/>
      <c r="E272" s="524"/>
      <c r="F272" s="991"/>
      <c r="G272" s="991"/>
      <c r="H272" s="991"/>
      <c r="I272" s="991"/>
      <c r="J272" s="525"/>
      <c r="K272" s="523"/>
      <c r="L272" s="989"/>
      <c r="M272" s="989"/>
      <c r="N272" s="989"/>
      <c r="O272" s="989"/>
      <c r="P272" s="989"/>
      <c r="Q272" s="989"/>
      <c r="R272" s="157"/>
      <c r="S272" s="157"/>
    </row>
    <row r="273" spans="1:19" ht="13.5">
      <c r="A273" s="529"/>
      <c r="B273" s="157"/>
      <c r="C273" s="522"/>
      <c r="D273" s="522"/>
      <c r="E273" s="524"/>
      <c r="F273" s="991"/>
      <c r="G273" s="991"/>
      <c r="H273" s="991"/>
      <c r="I273" s="991"/>
      <c r="J273" s="525"/>
      <c r="K273" s="523"/>
      <c r="L273" s="989"/>
      <c r="M273" s="989"/>
      <c r="N273" s="989"/>
      <c r="O273" s="989"/>
      <c r="P273" s="989"/>
      <c r="Q273" s="989"/>
      <c r="R273" s="157"/>
      <c r="S273" s="157"/>
    </row>
    <row r="274" spans="1:19" ht="13.5">
      <c r="A274" s="529"/>
      <c r="B274" s="157"/>
      <c r="C274" s="522"/>
      <c r="D274" s="522"/>
      <c r="E274" s="524"/>
      <c r="F274" s="991"/>
      <c r="G274" s="991"/>
      <c r="H274" s="991"/>
      <c r="I274" s="991"/>
      <c r="J274" s="525"/>
      <c r="K274" s="531"/>
      <c r="L274" s="989"/>
      <c r="M274" s="989"/>
      <c r="N274" s="989"/>
      <c r="O274" s="989"/>
      <c r="P274" s="989"/>
      <c r="Q274" s="989"/>
      <c r="R274" s="157"/>
      <c r="S274" s="157"/>
    </row>
    <row r="275" spans="1:19" ht="13.5">
      <c r="A275" s="529"/>
      <c r="B275" s="157"/>
      <c r="C275" s="522"/>
      <c r="D275" s="522"/>
      <c r="E275" s="524"/>
      <c r="F275" s="991"/>
      <c r="G275" s="991"/>
      <c r="H275" s="991"/>
      <c r="I275" s="991"/>
      <c r="J275" s="525"/>
      <c r="K275" s="531"/>
      <c r="L275" s="989"/>
      <c r="M275" s="989"/>
      <c r="N275" s="989"/>
      <c r="O275" s="989"/>
      <c r="P275" s="989"/>
      <c r="Q275" s="989"/>
      <c r="R275" s="157"/>
      <c r="S275" s="157"/>
    </row>
    <row r="276" spans="1:19" ht="13.5">
      <c r="A276" s="529"/>
      <c r="B276" s="157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157"/>
      <c r="S276" s="157"/>
    </row>
    <row r="277" spans="1:19" ht="13.5">
      <c r="A277" s="529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</row>
  </sheetData>
  <sheetProtection sheet="1" objects="1" scenarios="1"/>
  <mergeCells count="373">
    <mergeCell ref="N213:Q213"/>
    <mergeCell ref="N215:Q215"/>
    <mergeCell ref="N218:Q218"/>
    <mergeCell ref="N188:Q188"/>
    <mergeCell ref="F189:I189"/>
    <mergeCell ref="N189:Q189"/>
    <mergeCell ref="F211:I211"/>
    <mergeCell ref="N237:Q237"/>
    <mergeCell ref="F236:I236"/>
    <mergeCell ref="N236:Q236"/>
    <mergeCell ref="N239:Q239"/>
    <mergeCell ref="F233:I233"/>
    <mergeCell ref="N233:Q233"/>
    <mergeCell ref="F234:I234"/>
    <mergeCell ref="N234:Q234"/>
    <mergeCell ref="F235:I235"/>
    <mergeCell ref="N235:Q235"/>
    <mergeCell ref="F227:I227"/>
    <mergeCell ref="F216:I216"/>
    <mergeCell ref="N225:Q225"/>
    <mergeCell ref="N226:Q226"/>
    <mergeCell ref="F212:I212"/>
    <mergeCell ref="N211:Q211"/>
    <mergeCell ref="F226:I226"/>
    <mergeCell ref="F225:I225"/>
    <mergeCell ref="N222:Q222"/>
    <mergeCell ref="N224:Q224"/>
    <mergeCell ref="F141:I141"/>
    <mergeCell ref="F148:I148"/>
    <mergeCell ref="F149:I149"/>
    <mergeCell ref="F150:I150"/>
    <mergeCell ref="N141:Q141"/>
    <mergeCell ref="N134:Q134"/>
    <mergeCell ref="N140:Q140"/>
    <mergeCell ref="F140:I140"/>
    <mergeCell ref="F188:I188"/>
    <mergeCell ref="N162:Q162"/>
    <mergeCell ref="N176:Q176"/>
    <mergeCell ref="N178:Q178"/>
    <mergeCell ref="N179:Q179"/>
    <mergeCell ref="N181:Q181"/>
    <mergeCell ref="N156:Q156"/>
    <mergeCell ref="F156:I156"/>
    <mergeCell ref="F162:I162"/>
    <mergeCell ref="F178:I178"/>
    <mergeCell ref="N165:Q165"/>
    <mergeCell ref="N173:Q173"/>
    <mergeCell ref="N174:Q174"/>
    <mergeCell ref="F163:I163"/>
    <mergeCell ref="N168:Q168"/>
    <mergeCell ref="N169:Q169"/>
    <mergeCell ref="F115:I115"/>
    <mergeCell ref="F116:I116"/>
    <mergeCell ref="F118:I118"/>
    <mergeCell ref="F119:I119"/>
    <mergeCell ref="F120:I120"/>
    <mergeCell ref="F121:I121"/>
    <mergeCell ref="F122:I122"/>
    <mergeCell ref="F117:I117"/>
    <mergeCell ref="N127:Q127"/>
    <mergeCell ref="N115:Q115"/>
    <mergeCell ref="N116:Q116"/>
    <mergeCell ref="N118:Q118"/>
    <mergeCell ref="N119:Q119"/>
    <mergeCell ref="N120:Q120"/>
    <mergeCell ref="N121:Q121"/>
    <mergeCell ref="N122:Q122"/>
    <mergeCell ref="N124:Q124"/>
    <mergeCell ref="N117:Q117"/>
    <mergeCell ref="F124:I124"/>
    <mergeCell ref="F126:I126"/>
    <mergeCell ref="F127:I127"/>
    <mergeCell ref="F123:I123"/>
    <mergeCell ref="N123:Q123"/>
    <mergeCell ref="F125:I125"/>
    <mergeCell ref="F175:I175"/>
    <mergeCell ref="F176:I176"/>
    <mergeCell ref="F159:I159"/>
    <mergeCell ref="F158:I158"/>
    <mergeCell ref="N159:Q159"/>
    <mergeCell ref="N157:Q157"/>
    <mergeCell ref="N158:Q158"/>
    <mergeCell ref="N183:Q183"/>
    <mergeCell ref="F180:I180"/>
    <mergeCell ref="N180:Q180"/>
    <mergeCell ref="F183:I183"/>
    <mergeCell ref="F165:I165"/>
    <mergeCell ref="F166:I166"/>
    <mergeCell ref="N161:Q161"/>
    <mergeCell ref="N163:Q163"/>
    <mergeCell ref="F164:I164"/>
    <mergeCell ref="N172:Q172"/>
    <mergeCell ref="N164:Q164"/>
    <mergeCell ref="N166:Q166"/>
    <mergeCell ref="F171:I171"/>
    <mergeCell ref="F172:I172"/>
    <mergeCell ref="F184:I184"/>
    <mergeCell ref="N185:Q185"/>
    <mergeCell ref="N184:Q184"/>
    <mergeCell ref="F179:I179"/>
    <mergeCell ref="F181:I181"/>
    <mergeCell ref="F186:I186"/>
    <mergeCell ref="F205:I205"/>
    <mergeCell ref="N203:Q203"/>
    <mergeCell ref="N210:Q210"/>
    <mergeCell ref="F209:I209"/>
    <mergeCell ref="N209:Q209"/>
    <mergeCell ref="F204:I204"/>
    <mergeCell ref="N193:Q193"/>
    <mergeCell ref="N205:Q205"/>
    <mergeCell ref="N207:Q207"/>
    <mergeCell ref="N186:Q186"/>
    <mergeCell ref="N187:Q187"/>
    <mergeCell ref="N208:Q208"/>
    <mergeCell ref="F202:I202"/>
    <mergeCell ref="N202:Q202"/>
    <mergeCell ref="N201:Q201"/>
    <mergeCell ref="N206:Q206"/>
    <mergeCell ref="F191:I191"/>
    <mergeCell ref="F210:I210"/>
    <mergeCell ref="N214:Q214"/>
    <mergeCell ref="F215:I215"/>
    <mergeCell ref="N216:Q216"/>
    <mergeCell ref="N217:Q217"/>
    <mergeCell ref="F217:I217"/>
    <mergeCell ref="F214:I214"/>
    <mergeCell ref="N274:Q274"/>
    <mergeCell ref="L274:M274"/>
    <mergeCell ref="N238:Q238"/>
    <mergeCell ref="F273:I273"/>
    <mergeCell ref="L273:M273"/>
    <mergeCell ref="N273:Q273"/>
    <mergeCell ref="F239:I239"/>
    <mergeCell ref="F240:I240"/>
    <mergeCell ref="F270:I270"/>
    <mergeCell ref="N252:Q252"/>
    <mergeCell ref="F238:I238"/>
    <mergeCell ref="N266:Q266"/>
    <mergeCell ref="F264:I264"/>
    <mergeCell ref="N240:Q240"/>
    <mergeCell ref="N242:Q242"/>
    <mergeCell ref="L244:M244"/>
    <mergeCell ref="N244:Q244"/>
    <mergeCell ref="F256:I256"/>
    <mergeCell ref="F275:I275"/>
    <mergeCell ref="L275:M275"/>
    <mergeCell ref="N275:Q275"/>
    <mergeCell ref="N257:Q257"/>
    <mergeCell ref="F258:I258"/>
    <mergeCell ref="F261:I261"/>
    <mergeCell ref="F260:I260"/>
    <mergeCell ref="F262:I262"/>
    <mergeCell ref="F274:I274"/>
    <mergeCell ref="L264:M264"/>
    <mergeCell ref="F272:I272"/>
    <mergeCell ref="L272:M272"/>
    <mergeCell ref="F263:I263"/>
    <mergeCell ref="N272:Q272"/>
    <mergeCell ref="N270:Q270"/>
    <mergeCell ref="F271:I271"/>
    <mergeCell ref="L271:M271"/>
    <mergeCell ref="N271:Q271"/>
    <mergeCell ref="L270:M270"/>
    <mergeCell ref="N269:Q269"/>
    <mergeCell ref="L269:M269"/>
    <mergeCell ref="F269:I269"/>
    <mergeCell ref="F265:I265"/>
    <mergeCell ref="F266:I266"/>
    <mergeCell ref="F253:I253"/>
    <mergeCell ref="N248:Q248"/>
    <mergeCell ref="F249:I249"/>
    <mergeCell ref="F250:I250"/>
    <mergeCell ref="F257:I257"/>
    <mergeCell ref="N268:Q268"/>
    <mergeCell ref="N262:Q262"/>
    <mergeCell ref="L266:M266"/>
    <mergeCell ref="F267:I267"/>
    <mergeCell ref="L262:M262"/>
    <mergeCell ref="L246:M246"/>
    <mergeCell ref="N246:Q246"/>
    <mergeCell ref="F242:I242"/>
    <mergeCell ref="L242:M242"/>
    <mergeCell ref="F246:I246"/>
    <mergeCell ref="F243:I243"/>
    <mergeCell ref="F251:I251"/>
    <mergeCell ref="F252:I252"/>
    <mergeCell ref="F255:I255"/>
    <mergeCell ref="F248:I248"/>
    <mergeCell ref="F244:I244"/>
    <mergeCell ref="F245:I245"/>
    <mergeCell ref="L255:M255"/>
    <mergeCell ref="L250:M250"/>
    <mergeCell ref="F247:I247"/>
    <mergeCell ref="H1:K1"/>
    <mergeCell ref="F224:I224"/>
    <mergeCell ref="F222:I222"/>
    <mergeCell ref="F223:I223"/>
    <mergeCell ref="F201:I201"/>
    <mergeCell ref="F221:I221"/>
    <mergeCell ref="F218:I218"/>
    <mergeCell ref="F213:I213"/>
    <mergeCell ref="F208:I208"/>
    <mergeCell ref="F207:I207"/>
    <mergeCell ref="F206:I206"/>
    <mergeCell ref="F219:I219"/>
    <mergeCell ref="F177:I177"/>
    <mergeCell ref="F182:I182"/>
    <mergeCell ref="F173:I173"/>
    <mergeCell ref="F161:I161"/>
    <mergeCell ref="F174:I174"/>
    <mergeCell ref="F167:I167"/>
    <mergeCell ref="F168:I168"/>
    <mergeCell ref="F169:I169"/>
    <mergeCell ref="F170:I170"/>
    <mergeCell ref="F203:I203"/>
    <mergeCell ref="F153:I153"/>
    <mergeCell ref="F154:I154"/>
    <mergeCell ref="S2:AC2"/>
    <mergeCell ref="N264:Q264"/>
    <mergeCell ref="N260:Q260"/>
    <mergeCell ref="N259:Q259"/>
    <mergeCell ref="L252:M252"/>
    <mergeCell ref="L257:M257"/>
    <mergeCell ref="L260:M260"/>
    <mergeCell ref="L248:M248"/>
    <mergeCell ref="N221:Q221"/>
    <mergeCell ref="N219:Q219"/>
    <mergeCell ref="N204:Q204"/>
    <mergeCell ref="N223:Q223"/>
    <mergeCell ref="N255:Q255"/>
    <mergeCell ref="N254:Q254"/>
    <mergeCell ref="N232:Q232"/>
    <mergeCell ref="N250:Q250"/>
    <mergeCell ref="N191:Q191"/>
    <mergeCell ref="N175:Q175"/>
    <mergeCell ref="N177:Q177"/>
    <mergeCell ref="N182:Q182"/>
    <mergeCell ref="N170:Q170"/>
    <mergeCell ref="N171:Q171"/>
    <mergeCell ref="M28:P28"/>
    <mergeCell ref="E25:P25"/>
    <mergeCell ref="F241:I241"/>
    <mergeCell ref="F199:I199"/>
    <mergeCell ref="F192:I192"/>
    <mergeCell ref="N197:Q197"/>
    <mergeCell ref="F194:I194"/>
    <mergeCell ref="N196:Q196"/>
    <mergeCell ref="F200:I200"/>
    <mergeCell ref="F198:I198"/>
    <mergeCell ref="N194:Q194"/>
    <mergeCell ref="N198:Q198"/>
    <mergeCell ref="N199:Q199"/>
    <mergeCell ref="N200:Q200"/>
    <mergeCell ref="N192:Q192"/>
    <mergeCell ref="F197:I197"/>
    <mergeCell ref="F229:I229"/>
    <mergeCell ref="N230:Q230"/>
    <mergeCell ref="N228:Q228"/>
    <mergeCell ref="F232:I232"/>
    <mergeCell ref="F237:I237"/>
    <mergeCell ref="F230:I230"/>
    <mergeCell ref="F228:I228"/>
    <mergeCell ref="N212:Q212"/>
    <mergeCell ref="N227:Q227"/>
    <mergeCell ref="N229:Q229"/>
    <mergeCell ref="F111:I111"/>
    <mergeCell ref="M108:Q108"/>
    <mergeCell ref="H35:J35"/>
    <mergeCell ref="F102:P102"/>
    <mergeCell ref="F78:P78"/>
    <mergeCell ref="N90:Q90"/>
    <mergeCell ref="F103:P103"/>
    <mergeCell ref="F104:P104"/>
    <mergeCell ref="F80:P80"/>
    <mergeCell ref="L94:Q94"/>
    <mergeCell ref="C100:Q100"/>
    <mergeCell ref="M37:P37"/>
    <mergeCell ref="L39:P39"/>
    <mergeCell ref="C76:Q76"/>
    <mergeCell ref="N92:Q92"/>
    <mergeCell ref="N89:Q89"/>
    <mergeCell ref="M82:P82"/>
    <mergeCell ref="M109:Q109"/>
    <mergeCell ref="L111:M111"/>
    <mergeCell ref="N111:Q111"/>
    <mergeCell ref="O12:P12"/>
    <mergeCell ref="O13:P13"/>
    <mergeCell ref="C87:G87"/>
    <mergeCell ref="N87:Q87"/>
    <mergeCell ref="M35:P35"/>
    <mergeCell ref="H36:J36"/>
    <mergeCell ref="M29:P29"/>
    <mergeCell ref="F82:J82"/>
    <mergeCell ref="F84:J84"/>
    <mergeCell ref="M84:Q84"/>
    <mergeCell ref="M85:Q85"/>
    <mergeCell ref="F79:P79"/>
    <mergeCell ref="M36:P36"/>
    <mergeCell ref="H37:J37"/>
    <mergeCell ref="M31:P31"/>
    <mergeCell ref="M34:P34"/>
    <mergeCell ref="M33:P33"/>
    <mergeCell ref="H33:J33"/>
    <mergeCell ref="N112:Q112"/>
    <mergeCell ref="N113:Q113"/>
    <mergeCell ref="F185:I185"/>
    <mergeCell ref="F187:I187"/>
    <mergeCell ref="C2:Q2"/>
    <mergeCell ref="C4:Q4"/>
    <mergeCell ref="F6:P6"/>
    <mergeCell ref="F7:P7"/>
    <mergeCell ref="F196:I196"/>
    <mergeCell ref="F193:I193"/>
    <mergeCell ref="F8:P8"/>
    <mergeCell ref="O10:P10"/>
    <mergeCell ref="N195:Q195"/>
    <mergeCell ref="O15:P15"/>
    <mergeCell ref="O16:P16"/>
    <mergeCell ref="O18:P18"/>
    <mergeCell ref="M106:P106"/>
    <mergeCell ref="H34:J34"/>
    <mergeCell ref="F195:I195"/>
    <mergeCell ref="O19:P19"/>
    <mergeCell ref="O21:P21"/>
    <mergeCell ref="O22:P22"/>
    <mergeCell ref="N167:Q167"/>
    <mergeCell ref="F157:I157"/>
    <mergeCell ref="F128:I128"/>
    <mergeCell ref="F129:I129"/>
    <mergeCell ref="N135:Q135"/>
    <mergeCell ref="N136:Q136"/>
    <mergeCell ref="N137:Q137"/>
    <mergeCell ref="N138:Q138"/>
    <mergeCell ref="N139:Q139"/>
    <mergeCell ref="N130:Q130"/>
    <mergeCell ref="N126:Q126"/>
    <mergeCell ref="F139:I139"/>
    <mergeCell ref="F137:I137"/>
    <mergeCell ref="F130:I130"/>
    <mergeCell ref="N128:Q128"/>
    <mergeCell ref="N129:Q129"/>
    <mergeCell ref="F134:I134"/>
    <mergeCell ref="F133:I133"/>
    <mergeCell ref="F132:I132"/>
    <mergeCell ref="N132:Q132"/>
    <mergeCell ref="N133:Q133"/>
    <mergeCell ref="F135:I135"/>
    <mergeCell ref="F136:I136"/>
    <mergeCell ref="F138:I138"/>
    <mergeCell ref="N125:Q125"/>
    <mergeCell ref="N153:Q153"/>
    <mergeCell ref="N154:Q154"/>
    <mergeCell ref="N155:Q155"/>
    <mergeCell ref="F146:I146"/>
    <mergeCell ref="F143:I143"/>
    <mergeCell ref="F144:I144"/>
    <mergeCell ref="F145:I145"/>
    <mergeCell ref="F147:I147"/>
    <mergeCell ref="F142:I142"/>
    <mergeCell ref="N145:Q145"/>
    <mergeCell ref="F155:I155"/>
    <mergeCell ref="N146:Q146"/>
    <mergeCell ref="N147:Q147"/>
    <mergeCell ref="N148:Q148"/>
    <mergeCell ref="N149:Q149"/>
    <mergeCell ref="N150:Q150"/>
    <mergeCell ref="F151:I151"/>
    <mergeCell ref="F152:I152"/>
    <mergeCell ref="N143:Q143"/>
    <mergeCell ref="N144:Q144"/>
    <mergeCell ref="N142:Q142"/>
    <mergeCell ref="N151:Q151"/>
    <mergeCell ref="N152:Q15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403"/>
  <sheetViews>
    <sheetView showGridLines="0" view="pageBreakPreview" zoomScaleSheetLayoutView="100" workbookViewId="0" topLeftCell="A1">
      <pane ySplit="1" topLeftCell="A85" activePane="bottomLeft" state="frozen"/>
      <selection pane="topLeft" activeCell="AE69" sqref="AE69"/>
      <selection pane="bottomLeft" activeCell="AH414" sqref="AH414"/>
    </sheetView>
  </sheetViews>
  <sheetFormatPr defaultColWidth="9.33203125" defaultRowHeight="13.5"/>
  <cols>
    <col min="1" max="1" width="8.33203125" style="541" customWidth="1"/>
    <col min="2" max="2" width="1.66796875" style="321" customWidth="1"/>
    <col min="3" max="3" width="4.16015625" style="321" customWidth="1"/>
    <col min="4" max="4" width="4.33203125" style="321" customWidth="1"/>
    <col min="5" max="5" width="17.16015625" style="321" customWidth="1"/>
    <col min="6" max="7" width="11.16015625" style="321" customWidth="1"/>
    <col min="8" max="8" width="12.5" style="321" customWidth="1"/>
    <col min="9" max="9" width="7" style="321" customWidth="1"/>
    <col min="10" max="10" width="5.33203125" style="321" customWidth="1"/>
    <col min="11" max="11" width="11.5" style="321" customWidth="1"/>
    <col min="12" max="12" width="12" style="321" customWidth="1"/>
    <col min="13" max="14" width="6" style="321" customWidth="1"/>
    <col min="15" max="15" width="2" style="321" customWidth="1"/>
    <col min="16" max="16" width="12.5" style="321" customWidth="1"/>
    <col min="17" max="17" width="4.16015625" style="321" customWidth="1"/>
    <col min="18" max="18" width="1.66796875" style="321" customWidth="1"/>
    <col min="19" max="19" width="8.16015625" style="321" customWidth="1"/>
    <col min="20" max="20" width="29.66015625" style="321" hidden="1" customWidth="1"/>
    <col min="21" max="21" width="16.33203125" style="321" hidden="1" customWidth="1"/>
    <col min="22" max="22" width="12.33203125" style="321" hidden="1" customWidth="1"/>
    <col min="23" max="23" width="16.33203125" style="321" hidden="1" customWidth="1"/>
    <col min="24" max="24" width="12.16015625" style="321" hidden="1" customWidth="1"/>
    <col min="25" max="25" width="15" style="321" hidden="1" customWidth="1"/>
    <col min="26" max="26" width="11" style="321" hidden="1" customWidth="1"/>
    <col min="27" max="27" width="15" style="321" hidden="1" customWidth="1"/>
    <col min="28" max="28" width="16.33203125" style="321" hidden="1" customWidth="1"/>
    <col min="29" max="29" width="11" style="321" hidden="1" customWidth="1"/>
    <col min="30" max="30" width="15" style="321" customWidth="1"/>
    <col min="31" max="31" width="16.33203125" style="321" customWidth="1"/>
    <col min="32" max="43" width="9.33203125" style="321" customWidth="1"/>
    <col min="44" max="65" width="9.33203125" style="321" hidden="1" customWidth="1"/>
    <col min="66" max="16384" width="9.33203125" style="321" customWidth="1"/>
  </cols>
  <sheetData>
    <row r="1" spans="1:66" ht="21.75" customHeight="1">
      <c r="A1" s="10"/>
      <c r="B1" s="4"/>
      <c r="C1" s="4"/>
      <c r="D1" s="5" t="s">
        <v>1</v>
      </c>
      <c r="E1" s="4"/>
      <c r="F1" s="6" t="s">
        <v>95</v>
      </c>
      <c r="G1" s="6"/>
      <c r="H1" s="914" t="s">
        <v>96</v>
      </c>
      <c r="I1" s="914"/>
      <c r="J1" s="914"/>
      <c r="K1" s="914"/>
      <c r="L1" s="6" t="s">
        <v>97</v>
      </c>
      <c r="M1" s="4"/>
      <c r="N1" s="4"/>
      <c r="O1" s="5" t="s">
        <v>98</v>
      </c>
      <c r="P1" s="4"/>
      <c r="Q1" s="4"/>
      <c r="R1" s="4"/>
      <c r="S1" s="6" t="s">
        <v>99</v>
      </c>
      <c r="T1" s="6"/>
      <c r="U1" s="3"/>
      <c r="V1" s="3"/>
      <c r="W1" s="3"/>
      <c r="X1" s="3"/>
      <c r="Y1" s="3"/>
      <c r="Z1" s="3"/>
      <c r="AA1" s="3"/>
      <c r="AB1" s="3"/>
      <c r="AC1" s="22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3:46" ht="36.95" customHeight="1">
      <c r="C2" s="915" t="s">
        <v>7</v>
      </c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S2" s="322" t="s">
        <v>8</v>
      </c>
      <c r="AC2" s="3"/>
      <c r="AT2" s="323" t="s">
        <v>87</v>
      </c>
    </row>
    <row r="3" spans="2:46" ht="6.95" customHeight="1">
      <c r="B3" s="324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6"/>
      <c r="AT3" s="323" t="s">
        <v>76</v>
      </c>
    </row>
    <row r="4" spans="2:46" ht="36.95" customHeight="1">
      <c r="B4" s="327"/>
      <c r="C4" s="917" t="s">
        <v>100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328"/>
      <c r="T4" s="329" t="s">
        <v>13</v>
      </c>
      <c r="AT4" s="323" t="s">
        <v>6</v>
      </c>
    </row>
    <row r="5" spans="2:18" ht="6.95" customHeight="1">
      <c r="B5" s="327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8"/>
    </row>
    <row r="6" spans="2:18" ht="25.35" customHeight="1">
      <c r="B6" s="327"/>
      <c r="C6" s="330"/>
      <c r="D6" s="331" t="s">
        <v>15</v>
      </c>
      <c r="E6" s="330"/>
      <c r="F6" s="919" t="s">
        <v>281</v>
      </c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330"/>
      <c r="R6" s="328"/>
    </row>
    <row r="7" spans="2:18" ht="25.35" customHeight="1">
      <c r="B7" s="327"/>
      <c r="C7" s="330"/>
      <c r="D7" s="331" t="s">
        <v>101</v>
      </c>
      <c r="E7" s="330"/>
      <c r="F7" s="919" t="s">
        <v>262</v>
      </c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330"/>
      <c r="R7" s="328"/>
    </row>
    <row r="8" spans="1:18" s="332" customFormat="1" ht="32.85" customHeight="1">
      <c r="A8" s="542"/>
      <c r="B8" s="333"/>
      <c r="C8" s="216"/>
      <c r="D8" s="334" t="s">
        <v>102</v>
      </c>
      <c r="E8" s="216"/>
      <c r="F8" s="923" t="s">
        <v>240</v>
      </c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216"/>
      <c r="R8" s="335"/>
    </row>
    <row r="9" spans="1:18" s="332" customFormat="1" ht="14.45" customHeight="1">
      <c r="A9" s="542"/>
      <c r="B9" s="333"/>
      <c r="C9" s="216"/>
      <c r="D9" s="331" t="s">
        <v>16</v>
      </c>
      <c r="E9" s="216"/>
      <c r="F9" s="336"/>
      <c r="G9" s="216"/>
      <c r="H9" s="216"/>
      <c r="I9" s="216"/>
      <c r="J9" s="216"/>
      <c r="K9" s="216"/>
      <c r="L9" s="216"/>
      <c r="M9" s="331" t="s">
        <v>17</v>
      </c>
      <c r="N9" s="216"/>
      <c r="O9" s="336" t="s">
        <v>5</v>
      </c>
      <c r="P9" s="216"/>
      <c r="Q9" s="216"/>
      <c r="R9" s="335"/>
    </row>
    <row r="10" spans="1:18" s="332" customFormat="1" ht="14.45" customHeight="1">
      <c r="A10" s="542"/>
      <c r="B10" s="333"/>
      <c r="C10" s="216"/>
      <c r="D10" s="331" t="s">
        <v>18</v>
      </c>
      <c r="E10" s="216"/>
      <c r="F10" s="87" t="s">
        <v>282</v>
      </c>
      <c r="G10" s="216"/>
      <c r="H10" s="216"/>
      <c r="I10" s="216"/>
      <c r="J10" s="216"/>
      <c r="K10" s="216"/>
      <c r="L10" s="216"/>
      <c r="M10" s="331" t="s">
        <v>19</v>
      </c>
      <c r="N10" s="216"/>
      <c r="O10" s="887">
        <v>43363</v>
      </c>
      <c r="P10" s="887"/>
      <c r="Q10" s="216"/>
      <c r="R10" s="335"/>
    </row>
    <row r="11" spans="1:18" s="332" customFormat="1" ht="10.9" customHeight="1">
      <c r="A11" s="542"/>
      <c r="B11" s="333"/>
      <c r="C11" s="216"/>
      <c r="D11" s="161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335"/>
    </row>
    <row r="12" spans="1:18" s="332" customFormat="1" ht="14.45" customHeight="1">
      <c r="A12" s="542"/>
      <c r="B12" s="333"/>
      <c r="C12" s="216"/>
      <c r="D12" s="331" t="s">
        <v>20</v>
      </c>
      <c r="E12" s="216"/>
      <c r="F12" s="87" t="s">
        <v>283</v>
      </c>
      <c r="G12" s="216"/>
      <c r="H12" s="216"/>
      <c r="I12" s="216"/>
      <c r="J12" s="216"/>
      <c r="K12" s="216"/>
      <c r="L12" s="216"/>
      <c r="M12" s="331" t="s">
        <v>21</v>
      </c>
      <c r="N12" s="216"/>
      <c r="O12" s="888" t="s">
        <v>5</v>
      </c>
      <c r="P12" s="888"/>
      <c r="Q12" s="216"/>
      <c r="R12" s="335"/>
    </row>
    <row r="13" spans="1:18" s="332" customFormat="1" ht="18" customHeight="1">
      <c r="A13" s="542"/>
      <c r="B13" s="333"/>
      <c r="C13" s="216"/>
      <c r="D13" s="216"/>
      <c r="F13" s="216"/>
      <c r="G13" s="216"/>
      <c r="H13" s="216"/>
      <c r="I13" s="216"/>
      <c r="J13" s="216"/>
      <c r="K13" s="216"/>
      <c r="L13" s="216"/>
      <c r="M13" s="331" t="s">
        <v>23</v>
      </c>
      <c r="N13" s="216"/>
      <c r="O13" s="888" t="s">
        <v>5</v>
      </c>
      <c r="P13" s="888"/>
      <c r="Q13" s="216"/>
      <c r="R13" s="335"/>
    </row>
    <row r="14" spans="1:18" s="332" customFormat="1" ht="6.95" customHeight="1">
      <c r="A14" s="542"/>
      <c r="B14" s="333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335"/>
    </row>
    <row r="15" spans="1:18" s="332" customFormat="1" ht="14.45" customHeight="1">
      <c r="A15" s="542"/>
      <c r="B15" s="333"/>
      <c r="C15" s="216"/>
      <c r="D15" s="331" t="s">
        <v>24</v>
      </c>
      <c r="E15" s="216"/>
      <c r="F15" s="7"/>
      <c r="G15" s="216"/>
      <c r="H15" s="216"/>
      <c r="I15" s="216"/>
      <c r="J15" s="216"/>
      <c r="K15" s="216"/>
      <c r="L15" s="216"/>
      <c r="M15" s="331" t="s">
        <v>21</v>
      </c>
      <c r="N15" s="216"/>
      <c r="O15" s="912" t="str">
        <f>IF('Rekapitulace stavby'!AN13="","",'Rekapitulace stavby'!AN13)</f>
        <v/>
      </c>
      <c r="P15" s="912"/>
      <c r="Q15" s="216"/>
      <c r="R15" s="335"/>
    </row>
    <row r="16" spans="1:18" s="332" customFormat="1" ht="18" customHeight="1">
      <c r="A16" s="542"/>
      <c r="B16" s="333"/>
      <c r="C16" s="216"/>
      <c r="D16" s="216"/>
      <c r="E16" s="336" t="str">
        <f>IF('Rekapitulace stavby'!E14="","",'Rekapitulace stavby'!E14)</f>
        <v xml:space="preserve"> </v>
      </c>
      <c r="F16" s="216"/>
      <c r="G16" s="216"/>
      <c r="H16" s="216"/>
      <c r="I16" s="216"/>
      <c r="J16" s="216"/>
      <c r="K16" s="216"/>
      <c r="L16" s="216"/>
      <c r="M16" s="331" t="s">
        <v>23</v>
      </c>
      <c r="N16" s="216"/>
      <c r="O16" s="912" t="str">
        <f>IF('Rekapitulace stavby'!AN14="","",'Rekapitulace stavby'!AN14)</f>
        <v/>
      </c>
      <c r="P16" s="912"/>
      <c r="Q16" s="216"/>
      <c r="R16" s="335"/>
    </row>
    <row r="17" spans="1:18" s="332" customFormat="1" ht="6.95" customHeight="1">
      <c r="A17" s="542"/>
      <c r="B17" s="33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335"/>
    </row>
    <row r="18" spans="1:18" s="332" customFormat="1" ht="14.45" customHeight="1">
      <c r="A18" s="542"/>
      <c r="B18" s="333"/>
      <c r="C18" s="216"/>
      <c r="D18" s="331" t="s">
        <v>26</v>
      </c>
      <c r="E18" s="216"/>
      <c r="F18" s="216" t="s">
        <v>204</v>
      </c>
      <c r="G18" s="216"/>
      <c r="H18" s="216"/>
      <c r="I18" s="216"/>
      <c r="J18" s="216"/>
      <c r="K18" s="216"/>
      <c r="L18" s="216"/>
      <c r="M18" s="331" t="s">
        <v>21</v>
      </c>
      <c r="N18" s="216"/>
      <c r="O18" s="888">
        <v>24270857</v>
      </c>
      <c r="P18" s="888"/>
      <c r="Q18" s="216"/>
      <c r="R18" s="335"/>
    </row>
    <row r="19" spans="1:18" s="332" customFormat="1" ht="18" customHeight="1">
      <c r="A19" s="542"/>
      <c r="B19" s="333"/>
      <c r="C19" s="216"/>
      <c r="D19" s="216"/>
      <c r="E19" s="336"/>
      <c r="F19" s="216"/>
      <c r="G19" s="216"/>
      <c r="H19" s="216"/>
      <c r="I19" s="216"/>
      <c r="J19" s="216"/>
      <c r="K19" s="216"/>
      <c r="L19" s="216"/>
      <c r="M19" s="331" t="s">
        <v>23</v>
      </c>
      <c r="N19" s="216"/>
      <c r="O19" s="888" t="s">
        <v>205</v>
      </c>
      <c r="P19" s="888"/>
      <c r="Q19" s="216"/>
      <c r="R19" s="335"/>
    </row>
    <row r="20" spans="1:18" s="332" customFormat="1" ht="6.95" customHeight="1">
      <c r="A20" s="542"/>
      <c r="B20" s="333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335"/>
    </row>
    <row r="21" spans="1:18" s="332" customFormat="1" ht="14.45" customHeight="1">
      <c r="A21" s="542"/>
      <c r="B21" s="333"/>
      <c r="C21" s="216"/>
      <c r="D21" s="331" t="s">
        <v>28</v>
      </c>
      <c r="E21" s="216"/>
      <c r="F21" s="216" t="s">
        <v>204</v>
      </c>
      <c r="G21" s="216"/>
      <c r="H21" s="216"/>
      <c r="I21" s="216"/>
      <c r="J21" s="216"/>
      <c r="K21" s="216"/>
      <c r="L21" s="216"/>
      <c r="M21" s="331" t="s">
        <v>21</v>
      </c>
      <c r="N21" s="216"/>
      <c r="O21" s="888">
        <v>24270857</v>
      </c>
      <c r="P21" s="888"/>
      <c r="Q21" s="216"/>
      <c r="R21" s="335"/>
    </row>
    <row r="22" spans="1:18" s="332" customFormat="1" ht="18" customHeight="1">
      <c r="A22" s="542"/>
      <c r="B22" s="333"/>
      <c r="C22" s="216"/>
      <c r="D22" s="216"/>
      <c r="E22" s="336"/>
      <c r="F22" s="216"/>
      <c r="G22" s="216"/>
      <c r="H22" s="216"/>
      <c r="I22" s="216"/>
      <c r="J22" s="216"/>
      <c r="K22" s="216"/>
      <c r="L22" s="216"/>
      <c r="M22" s="331" t="s">
        <v>23</v>
      </c>
      <c r="N22" s="216"/>
      <c r="O22" s="888" t="s">
        <v>205</v>
      </c>
      <c r="P22" s="888"/>
      <c r="Q22" s="216"/>
      <c r="R22" s="335"/>
    </row>
    <row r="23" spans="1:18" s="332" customFormat="1" ht="6.95" customHeight="1">
      <c r="A23" s="542"/>
      <c r="B23" s="333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335"/>
    </row>
    <row r="24" spans="1:18" s="332" customFormat="1" ht="14.45" customHeight="1">
      <c r="A24" s="542"/>
      <c r="B24" s="333"/>
      <c r="C24" s="216"/>
      <c r="D24" s="331" t="s">
        <v>29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335"/>
    </row>
    <row r="25" spans="1:18" s="332" customFormat="1" ht="180" customHeight="1">
      <c r="A25" s="542"/>
      <c r="B25" s="333"/>
      <c r="C25" s="216"/>
      <c r="D25" s="216"/>
      <c r="E25" s="885" t="s">
        <v>2224</v>
      </c>
      <c r="F25" s="886"/>
      <c r="G25" s="886"/>
      <c r="H25" s="886"/>
      <c r="I25" s="886"/>
      <c r="J25" s="886"/>
      <c r="K25" s="886"/>
      <c r="L25" s="886"/>
      <c r="M25" s="886"/>
      <c r="N25" s="886"/>
      <c r="O25" s="886"/>
      <c r="P25" s="886"/>
      <c r="Q25" s="216"/>
      <c r="R25" s="335"/>
    </row>
    <row r="26" spans="1:18" s="332" customFormat="1" ht="6.95" customHeight="1">
      <c r="A26" s="542"/>
      <c r="B26" s="333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335"/>
    </row>
    <row r="27" spans="1:18" s="332" customFormat="1" ht="6.95" customHeight="1">
      <c r="A27" s="542"/>
      <c r="B27" s="333"/>
      <c r="C27" s="216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216"/>
      <c r="R27" s="335"/>
    </row>
    <row r="28" spans="1:18" s="332" customFormat="1" ht="14.45" customHeight="1">
      <c r="A28" s="542"/>
      <c r="B28" s="333"/>
      <c r="C28" s="216"/>
      <c r="D28" s="338" t="s">
        <v>103</v>
      </c>
      <c r="E28" s="216"/>
      <c r="F28" s="216"/>
      <c r="G28" s="216"/>
      <c r="H28" s="216"/>
      <c r="I28" s="216"/>
      <c r="J28" s="216"/>
      <c r="K28" s="216"/>
      <c r="L28" s="216"/>
      <c r="M28" s="924">
        <f>N89</f>
        <v>0</v>
      </c>
      <c r="N28" s="924"/>
      <c r="O28" s="924"/>
      <c r="P28" s="924"/>
      <c r="Q28" s="216"/>
      <c r="R28" s="335"/>
    </row>
    <row r="29" spans="1:18" s="332" customFormat="1" ht="14.45" customHeight="1">
      <c r="A29" s="542"/>
      <c r="B29" s="333"/>
      <c r="C29" s="216"/>
      <c r="D29" s="339" t="s">
        <v>104</v>
      </c>
      <c r="E29" s="216"/>
      <c r="F29" s="216"/>
      <c r="G29" s="216"/>
      <c r="H29" s="216"/>
      <c r="I29" s="216"/>
      <c r="J29" s="216"/>
      <c r="K29" s="216"/>
      <c r="L29" s="216"/>
      <c r="M29" s="924">
        <f>N92</f>
        <v>0</v>
      </c>
      <c r="N29" s="924"/>
      <c r="O29" s="924"/>
      <c r="P29" s="924"/>
      <c r="Q29" s="216"/>
      <c r="R29" s="335"/>
    </row>
    <row r="30" spans="1:18" s="332" customFormat="1" ht="6.95" customHeight="1">
      <c r="A30" s="542"/>
      <c r="B30" s="333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335"/>
    </row>
    <row r="31" spans="1:18" s="332" customFormat="1" ht="25.35" customHeight="1">
      <c r="A31" s="542"/>
      <c r="B31" s="333"/>
      <c r="C31" s="216"/>
      <c r="D31" s="340" t="s">
        <v>32</v>
      </c>
      <c r="E31" s="216"/>
      <c r="F31" s="216"/>
      <c r="G31" s="216"/>
      <c r="H31" s="216"/>
      <c r="I31" s="216"/>
      <c r="J31" s="216"/>
      <c r="K31" s="216"/>
      <c r="L31" s="216"/>
      <c r="M31" s="921">
        <f>ROUND(M28+M29,2)</f>
        <v>0</v>
      </c>
      <c r="N31" s="878"/>
      <c r="O31" s="878"/>
      <c r="P31" s="878"/>
      <c r="Q31" s="216"/>
      <c r="R31" s="335"/>
    </row>
    <row r="32" spans="1:18" s="332" customFormat="1" ht="6.95" customHeight="1">
      <c r="A32" s="542"/>
      <c r="B32" s="333"/>
      <c r="C32" s="216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216"/>
      <c r="R32" s="335"/>
    </row>
    <row r="33" spans="1:18" s="332" customFormat="1" ht="14.45" customHeight="1">
      <c r="A33" s="542"/>
      <c r="B33" s="333"/>
      <c r="C33" s="216"/>
      <c r="D33" s="341" t="s">
        <v>33</v>
      </c>
      <c r="E33" s="341" t="s">
        <v>34</v>
      </c>
      <c r="F33" s="80">
        <v>0.21</v>
      </c>
      <c r="G33" s="342" t="s">
        <v>35</v>
      </c>
      <c r="H33" s="877">
        <v>0</v>
      </c>
      <c r="I33" s="878"/>
      <c r="J33" s="878"/>
      <c r="K33" s="216"/>
      <c r="L33" s="216"/>
      <c r="M33" s="877">
        <f>H33*F33</f>
        <v>0</v>
      </c>
      <c r="N33" s="878"/>
      <c r="O33" s="878"/>
      <c r="P33" s="878"/>
      <c r="Q33" s="216"/>
      <c r="R33" s="335"/>
    </row>
    <row r="34" spans="1:18" s="332" customFormat="1" ht="14.45" customHeight="1">
      <c r="A34" s="542"/>
      <c r="B34" s="333"/>
      <c r="C34" s="216"/>
      <c r="D34" s="216"/>
      <c r="E34" s="341" t="s">
        <v>36</v>
      </c>
      <c r="F34" s="80">
        <v>0.15</v>
      </c>
      <c r="G34" s="342" t="s">
        <v>35</v>
      </c>
      <c r="H34" s="877">
        <f>M31</f>
        <v>0</v>
      </c>
      <c r="I34" s="878"/>
      <c r="J34" s="878"/>
      <c r="K34" s="216"/>
      <c r="L34" s="216"/>
      <c r="M34" s="877">
        <f>H34*F34</f>
        <v>0</v>
      </c>
      <c r="N34" s="878"/>
      <c r="O34" s="878"/>
      <c r="P34" s="878"/>
      <c r="Q34" s="216"/>
      <c r="R34" s="335"/>
    </row>
    <row r="35" spans="1:18" s="332" customFormat="1" ht="14.45" customHeight="1" hidden="1">
      <c r="A35" s="542"/>
      <c r="B35" s="333"/>
      <c r="C35" s="216"/>
      <c r="D35" s="216"/>
      <c r="E35" s="341" t="s">
        <v>37</v>
      </c>
      <c r="F35" s="80">
        <v>0.21</v>
      </c>
      <c r="G35" s="342" t="s">
        <v>35</v>
      </c>
      <c r="H35" s="877">
        <f>ROUND((SUM(BG92:BG93)+SUM(BG112:BG114)),2)</f>
        <v>0</v>
      </c>
      <c r="I35" s="878"/>
      <c r="J35" s="878"/>
      <c r="K35" s="216"/>
      <c r="L35" s="216"/>
      <c r="M35" s="877">
        <v>0</v>
      </c>
      <c r="N35" s="878"/>
      <c r="O35" s="878"/>
      <c r="P35" s="878"/>
      <c r="Q35" s="216"/>
      <c r="R35" s="335"/>
    </row>
    <row r="36" spans="1:18" s="332" customFormat="1" ht="14.45" customHeight="1" hidden="1">
      <c r="A36" s="542"/>
      <c r="B36" s="333"/>
      <c r="C36" s="216"/>
      <c r="D36" s="216"/>
      <c r="E36" s="341" t="s">
        <v>38</v>
      </c>
      <c r="F36" s="80">
        <v>0.15</v>
      </c>
      <c r="G36" s="342" t="s">
        <v>35</v>
      </c>
      <c r="H36" s="877">
        <f>ROUND((SUM(BH92:BH93)+SUM(BH112:BH114)),2)</f>
        <v>0</v>
      </c>
      <c r="I36" s="878"/>
      <c r="J36" s="878"/>
      <c r="K36" s="216"/>
      <c r="L36" s="216"/>
      <c r="M36" s="877">
        <v>0</v>
      </c>
      <c r="N36" s="878"/>
      <c r="O36" s="878"/>
      <c r="P36" s="878"/>
      <c r="Q36" s="216"/>
      <c r="R36" s="335"/>
    </row>
    <row r="37" spans="1:18" s="332" customFormat="1" ht="14.45" customHeight="1" hidden="1">
      <c r="A37" s="542"/>
      <c r="B37" s="333"/>
      <c r="C37" s="216"/>
      <c r="D37" s="216"/>
      <c r="E37" s="341" t="s">
        <v>39</v>
      </c>
      <c r="F37" s="80">
        <v>0</v>
      </c>
      <c r="G37" s="342" t="s">
        <v>35</v>
      </c>
      <c r="H37" s="877">
        <f>ROUND((SUM(BI92:BI93)+SUM(BI112:BI114)),2)</f>
        <v>0</v>
      </c>
      <c r="I37" s="878"/>
      <c r="J37" s="878"/>
      <c r="K37" s="216"/>
      <c r="L37" s="216"/>
      <c r="M37" s="877">
        <v>0</v>
      </c>
      <c r="N37" s="878"/>
      <c r="O37" s="878"/>
      <c r="P37" s="878"/>
      <c r="Q37" s="216"/>
      <c r="R37" s="335"/>
    </row>
    <row r="38" spans="1:18" s="332" customFormat="1" ht="6.95" customHeight="1">
      <c r="A38" s="542"/>
      <c r="B38" s="333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335"/>
    </row>
    <row r="39" spans="1:18" s="332" customFormat="1" ht="25.35" customHeight="1">
      <c r="A39" s="542"/>
      <c r="B39" s="333"/>
      <c r="C39" s="343"/>
      <c r="D39" s="344" t="s">
        <v>40</v>
      </c>
      <c r="E39" s="345"/>
      <c r="F39" s="345"/>
      <c r="G39" s="346" t="s">
        <v>41</v>
      </c>
      <c r="H39" s="347" t="s">
        <v>42</v>
      </c>
      <c r="I39" s="345"/>
      <c r="J39" s="345"/>
      <c r="K39" s="345"/>
      <c r="L39" s="928">
        <f>SUM(M31:M37)</f>
        <v>0</v>
      </c>
      <c r="M39" s="928"/>
      <c r="N39" s="928"/>
      <c r="O39" s="928"/>
      <c r="P39" s="929"/>
      <c r="Q39" s="343"/>
      <c r="R39" s="335"/>
    </row>
    <row r="40" spans="1:18" s="332" customFormat="1" ht="14.45" customHeight="1" hidden="1">
      <c r="A40" s="542"/>
      <c r="B40" s="333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335"/>
    </row>
    <row r="41" spans="1:18" s="332" customFormat="1" ht="14.45" customHeight="1" hidden="1">
      <c r="A41" s="542"/>
      <c r="B41" s="333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335"/>
    </row>
    <row r="42" spans="2:18" ht="13.5" customHeight="1" hidden="1">
      <c r="B42" s="327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28"/>
    </row>
    <row r="43" spans="2:18" ht="13.5" customHeight="1" hidden="1">
      <c r="B43" s="327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28"/>
    </row>
    <row r="44" spans="2:18" ht="13.5" customHeight="1" hidden="1">
      <c r="B44" s="327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28"/>
    </row>
    <row r="45" spans="2:18" ht="13.5" customHeight="1" hidden="1">
      <c r="B45" s="327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28"/>
    </row>
    <row r="46" spans="2:18" ht="13.5" customHeight="1" hidden="1">
      <c r="B46" s="327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28"/>
    </row>
    <row r="47" spans="2:18" ht="13.5" customHeight="1" hidden="1">
      <c r="B47" s="327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28"/>
    </row>
    <row r="48" spans="2:18" ht="13.5" customHeight="1" hidden="1">
      <c r="B48" s="327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28"/>
    </row>
    <row r="49" spans="2:18" ht="13.5">
      <c r="B49" s="327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28"/>
    </row>
    <row r="50" spans="1:18" s="332" customFormat="1" ht="15">
      <c r="A50" s="542"/>
      <c r="B50" s="333"/>
      <c r="C50" s="216"/>
      <c r="D50" s="348" t="s">
        <v>43</v>
      </c>
      <c r="E50" s="337"/>
      <c r="F50" s="337"/>
      <c r="G50" s="337"/>
      <c r="H50" s="349"/>
      <c r="I50" s="216"/>
      <c r="J50" s="348" t="s">
        <v>44</v>
      </c>
      <c r="K50" s="337"/>
      <c r="L50" s="337"/>
      <c r="M50" s="337"/>
      <c r="N50" s="337"/>
      <c r="O50" s="337"/>
      <c r="P50" s="349"/>
      <c r="Q50" s="216"/>
      <c r="R50" s="335"/>
    </row>
    <row r="51" spans="2:18" ht="13.5">
      <c r="B51" s="327"/>
      <c r="C51" s="330"/>
      <c r="D51" s="350"/>
      <c r="E51" s="330"/>
      <c r="F51" s="330"/>
      <c r="G51" s="330"/>
      <c r="H51" s="351"/>
      <c r="I51" s="330"/>
      <c r="J51" s="350"/>
      <c r="K51" s="330"/>
      <c r="L51" s="330"/>
      <c r="M51" s="330"/>
      <c r="N51" s="330"/>
      <c r="O51" s="330"/>
      <c r="P51" s="351"/>
      <c r="Q51" s="330"/>
      <c r="R51" s="328"/>
    </row>
    <row r="52" spans="2:18" ht="13.5">
      <c r="B52" s="327"/>
      <c r="C52" s="330"/>
      <c r="D52" s="350"/>
      <c r="E52" s="330"/>
      <c r="F52" s="330"/>
      <c r="G52" s="330"/>
      <c r="H52" s="351"/>
      <c r="I52" s="330"/>
      <c r="J52" s="350"/>
      <c r="K52" s="330"/>
      <c r="L52" s="330"/>
      <c r="M52" s="330"/>
      <c r="N52" s="330"/>
      <c r="O52" s="330"/>
      <c r="P52" s="351"/>
      <c r="Q52" s="330"/>
      <c r="R52" s="328"/>
    </row>
    <row r="53" spans="2:18" ht="13.5">
      <c r="B53" s="327"/>
      <c r="C53" s="330"/>
      <c r="D53" s="350"/>
      <c r="E53" s="330"/>
      <c r="F53" s="330"/>
      <c r="G53" s="330"/>
      <c r="H53" s="351"/>
      <c r="I53" s="330"/>
      <c r="J53" s="350"/>
      <c r="K53" s="330"/>
      <c r="L53" s="330"/>
      <c r="M53" s="330"/>
      <c r="N53" s="330"/>
      <c r="O53" s="330"/>
      <c r="P53" s="351"/>
      <c r="Q53" s="330"/>
      <c r="R53" s="328"/>
    </row>
    <row r="54" spans="2:18" ht="13.5">
      <c r="B54" s="327"/>
      <c r="C54" s="330"/>
      <c r="D54" s="350"/>
      <c r="E54" s="330"/>
      <c r="F54" s="330"/>
      <c r="G54" s="330"/>
      <c r="H54" s="351"/>
      <c r="I54" s="330"/>
      <c r="J54" s="350"/>
      <c r="K54" s="330"/>
      <c r="L54" s="330"/>
      <c r="M54" s="330"/>
      <c r="N54" s="330"/>
      <c r="O54" s="330"/>
      <c r="P54" s="351"/>
      <c r="Q54" s="330"/>
      <c r="R54" s="328"/>
    </row>
    <row r="55" spans="2:18" ht="13.5">
      <c r="B55" s="327"/>
      <c r="C55" s="330"/>
      <c r="D55" s="350"/>
      <c r="E55" s="352"/>
      <c r="F55" s="330"/>
      <c r="G55" s="330"/>
      <c r="H55" s="351"/>
      <c r="I55" s="330"/>
      <c r="J55" s="350"/>
      <c r="K55" s="330"/>
      <c r="L55" s="330"/>
      <c r="M55" s="330"/>
      <c r="N55" s="330"/>
      <c r="O55" s="330"/>
      <c r="P55" s="351"/>
      <c r="Q55" s="330"/>
      <c r="R55" s="328"/>
    </row>
    <row r="56" spans="2:18" ht="13.5">
      <c r="B56" s="327"/>
      <c r="C56" s="330"/>
      <c r="D56" s="350"/>
      <c r="E56" s="330"/>
      <c r="F56" s="330"/>
      <c r="G56" s="330"/>
      <c r="H56" s="351"/>
      <c r="I56" s="330"/>
      <c r="J56" s="350"/>
      <c r="K56" s="330"/>
      <c r="L56" s="330"/>
      <c r="M56" s="330"/>
      <c r="N56" s="330"/>
      <c r="O56" s="330"/>
      <c r="P56" s="351"/>
      <c r="Q56" s="330"/>
      <c r="R56" s="328"/>
    </row>
    <row r="57" spans="2:18" ht="13.5">
      <c r="B57" s="327"/>
      <c r="C57" s="330"/>
      <c r="D57" s="350"/>
      <c r="E57" s="330"/>
      <c r="F57" s="330"/>
      <c r="G57" s="330"/>
      <c r="H57" s="351"/>
      <c r="I57" s="330"/>
      <c r="J57" s="350"/>
      <c r="K57" s="330"/>
      <c r="L57" s="330"/>
      <c r="M57" s="330"/>
      <c r="N57" s="330"/>
      <c r="O57" s="330"/>
      <c r="P57" s="351"/>
      <c r="Q57" s="330"/>
      <c r="R57" s="328"/>
    </row>
    <row r="58" spans="2:18" ht="13.5">
      <c r="B58" s="327"/>
      <c r="C58" s="330"/>
      <c r="D58" s="350"/>
      <c r="E58" s="330"/>
      <c r="F58" s="330"/>
      <c r="G58" s="330"/>
      <c r="H58" s="351"/>
      <c r="I58" s="330"/>
      <c r="J58" s="350"/>
      <c r="K58" s="330"/>
      <c r="L58" s="330"/>
      <c r="M58" s="330"/>
      <c r="N58" s="330"/>
      <c r="O58" s="330"/>
      <c r="P58" s="351"/>
      <c r="Q58" s="330"/>
      <c r="R58" s="328"/>
    </row>
    <row r="59" spans="1:18" s="332" customFormat="1" ht="15">
      <c r="A59" s="542"/>
      <c r="B59" s="333"/>
      <c r="C59" s="216"/>
      <c r="D59" s="353" t="s">
        <v>45</v>
      </c>
      <c r="E59" s="354"/>
      <c r="F59" s="354"/>
      <c r="G59" s="355" t="s">
        <v>46</v>
      </c>
      <c r="H59" s="356"/>
      <c r="I59" s="216"/>
      <c r="J59" s="353" t="s">
        <v>45</v>
      </c>
      <c r="K59" s="354"/>
      <c r="L59" s="354"/>
      <c r="M59" s="354"/>
      <c r="N59" s="355" t="s">
        <v>46</v>
      </c>
      <c r="O59" s="354"/>
      <c r="P59" s="356"/>
      <c r="Q59" s="216"/>
      <c r="R59" s="335"/>
    </row>
    <row r="60" spans="2:18" ht="13.5">
      <c r="B60" s="327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28"/>
    </row>
    <row r="61" spans="1:18" s="332" customFormat="1" ht="15">
      <c r="A61" s="542"/>
      <c r="B61" s="333"/>
      <c r="C61" s="216"/>
      <c r="D61" s="348" t="s">
        <v>47</v>
      </c>
      <c r="E61" s="337"/>
      <c r="F61" s="337"/>
      <c r="G61" s="337"/>
      <c r="H61" s="349"/>
      <c r="I61" s="216"/>
      <c r="J61" s="437" t="s">
        <v>48</v>
      </c>
      <c r="K61" s="438"/>
      <c r="L61" s="438"/>
      <c r="M61" s="438"/>
      <c r="N61" s="438"/>
      <c r="O61" s="438"/>
      <c r="P61" s="439"/>
      <c r="Q61" s="216"/>
      <c r="R61" s="335"/>
    </row>
    <row r="62" spans="2:18" ht="13.5">
      <c r="B62" s="327"/>
      <c r="C62" s="330"/>
      <c r="D62" s="350"/>
      <c r="E62" s="330"/>
      <c r="F62" s="330"/>
      <c r="G62" s="330"/>
      <c r="H62" s="351"/>
      <c r="I62" s="330"/>
      <c r="J62" s="440"/>
      <c r="K62" s="441"/>
      <c r="L62" s="441"/>
      <c r="M62" s="441"/>
      <c r="N62" s="441"/>
      <c r="O62" s="441"/>
      <c r="P62" s="442"/>
      <c r="Q62" s="330"/>
      <c r="R62" s="328"/>
    </row>
    <row r="63" spans="2:18" ht="13.5">
      <c r="B63" s="327"/>
      <c r="C63" s="330"/>
      <c r="D63" s="350"/>
      <c r="E63" s="330"/>
      <c r="F63" s="330"/>
      <c r="G63" s="330"/>
      <c r="H63" s="351"/>
      <c r="I63" s="330"/>
      <c r="J63" s="440"/>
      <c r="K63" s="441"/>
      <c r="L63" s="441"/>
      <c r="M63" s="441"/>
      <c r="N63" s="441"/>
      <c r="O63" s="441"/>
      <c r="P63" s="442"/>
      <c r="Q63" s="330"/>
      <c r="R63" s="328"/>
    </row>
    <row r="64" spans="2:18" ht="13.5">
      <c r="B64" s="327"/>
      <c r="C64" s="330"/>
      <c r="D64" s="350"/>
      <c r="E64" s="330"/>
      <c r="F64" s="330"/>
      <c r="G64" s="330"/>
      <c r="H64" s="351"/>
      <c r="I64" s="330"/>
      <c r="J64" s="440"/>
      <c r="K64" s="441"/>
      <c r="L64" s="441"/>
      <c r="M64" s="441"/>
      <c r="N64" s="441"/>
      <c r="O64" s="441"/>
      <c r="P64" s="442"/>
      <c r="Q64" s="330"/>
      <c r="R64" s="328"/>
    </row>
    <row r="65" spans="2:18" ht="13.5">
      <c r="B65" s="327"/>
      <c r="C65" s="330"/>
      <c r="D65" s="350"/>
      <c r="E65" s="330"/>
      <c r="F65" s="330"/>
      <c r="G65" s="330"/>
      <c r="H65" s="351"/>
      <c r="I65" s="330"/>
      <c r="J65" s="440"/>
      <c r="K65" s="441"/>
      <c r="L65" s="441"/>
      <c r="M65" s="441"/>
      <c r="N65" s="441"/>
      <c r="O65" s="441"/>
      <c r="P65" s="442"/>
      <c r="Q65" s="330"/>
      <c r="R65" s="328"/>
    </row>
    <row r="66" spans="2:18" ht="13.5">
      <c r="B66" s="327"/>
      <c r="C66" s="330"/>
      <c r="D66" s="350"/>
      <c r="E66" s="330"/>
      <c r="F66" s="330"/>
      <c r="G66" s="330"/>
      <c r="H66" s="351"/>
      <c r="I66" s="330"/>
      <c r="J66" s="440"/>
      <c r="K66" s="441"/>
      <c r="L66" s="441"/>
      <c r="M66" s="441"/>
      <c r="N66" s="441"/>
      <c r="O66" s="441"/>
      <c r="P66" s="442"/>
      <c r="Q66" s="330"/>
      <c r="R66" s="328"/>
    </row>
    <row r="67" spans="2:18" ht="13.5">
      <c r="B67" s="327"/>
      <c r="C67" s="330"/>
      <c r="D67" s="350"/>
      <c r="E67" s="330"/>
      <c r="F67" s="330"/>
      <c r="G67" s="330"/>
      <c r="H67" s="351"/>
      <c r="I67" s="330"/>
      <c r="J67" s="440"/>
      <c r="K67" s="441"/>
      <c r="L67" s="441"/>
      <c r="M67" s="441"/>
      <c r="N67" s="441"/>
      <c r="O67" s="441"/>
      <c r="P67" s="442"/>
      <c r="Q67" s="330"/>
      <c r="R67" s="328"/>
    </row>
    <row r="68" spans="2:18" ht="13.5">
      <c r="B68" s="327"/>
      <c r="C68" s="330"/>
      <c r="D68" s="350"/>
      <c r="E68" s="330"/>
      <c r="F68" s="330"/>
      <c r="G68" s="330"/>
      <c r="H68" s="351"/>
      <c r="I68" s="330"/>
      <c r="J68" s="440"/>
      <c r="K68" s="441"/>
      <c r="L68" s="441"/>
      <c r="M68" s="441"/>
      <c r="N68" s="441"/>
      <c r="O68" s="441"/>
      <c r="P68" s="442"/>
      <c r="Q68" s="330"/>
      <c r="R68" s="328"/>
    </row>
    <row r="69" spans="2:18" ht="13.5">
      <c r="B69" s="327"/>
      <c r="C69" s="330"/>
      <c r="D69" s="350"/>
      <c r="E69" s="330"/>
      <c r="F69" s="330"/>
      <c r="G69" s="330"/>
      <c r="H69" s="351"/>
      <c r="I69" s="330"/>
      <c r="J69" s="440"/>
      <c r="K69" s="441"/>
      <c r="L69" s="441"/>
      <c r="M69" s="441"/>
      <c r="N69" s="441"/>
      <c r="O69" s="441"/>
      <c r="P69" s="442"/>
      <c r="Q69" s="330"/>
      <c r="R69" s="328"/>
    </row>
    <row r="70" spans="1:18" s="332" customFormat="1" ht="15">
      <c r="A70" s="542"/>
      <c r="B70" s="333"/>
      <c r="C70" s="216"/>
      <c r="D70" s="353" t="s">
        <v>45</v>
      </c>
      <c r="E70" s="354"/>
      <c r="F70" s="354"/>
      <c r="G70" s="355" t="s">
        <v>46</v>
      </c>
      <c r="H70" s="356"/>
      <c r="I70" s="216"/>
      <c r="J70" s="443" t="s">
        <v>45</v>
      </c>
      <c r="K70" s="444"/>
      <c r="L70" s="444"/>
      <c r="M70" s="444"/>
      <c r="N70" s="445" t="s">
        <v>46</v>
      </c>
      <c r="O70" s="444"/>
      <c r="P70" s="446"/>
      <c r="Q70" s="216"/>
      <c r="R70" s="335"/>
    </row>
    <row r="71" spans="1:18" s="216" customFormat="1" ht="14.45" customHeight="1">
      <c r="A71" s="543"/>
      <c r="B71" s="333"/>
      <c r="R71" s="335"/>
    </row>
    <row r="75" spans="1:18" s="332" customFormat="1" ht="6.95" customHeight="1">
      <c r="A75" s="542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9"/>
    </row>
    <row r="76" spans="1:18" s="332" customFormat="1" ht="36.95" customHeight="1">
      <c r="A76" s="542"/>
      <c r="B76" s="333"/>
      <c r="C76" s="917" t="s">
        <v>105</v>
      </c>
      <c r="D76" s="918"/>
      <c r="E76" s="918"/>
      <c r="F76" s="918"/>
      <c r="G76" s="918"/>
      <c r="H76" s="918"/>
      <c r="I76" s="918"/>
      <c r="J76" s="918"/>
      <c r="K76" s="918"/>
      <c r="L76" s="918"/>
      <c r="M76" s="918"/>
      <c r="N76" s="918"/>
      <c r="O76" s="918"/>
      <c r="P76" s="918"/>
      <c r="Q76" s="918"/>
      <c r="R76" s="335"/>
    </row>
    <row r="77" spans="1:18" s="332" customFormat="1" ht="6.95" customHeight="1">
      <c r="A77" s="542"/>
      <c r="B77" s="333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335"/>
    </row>
    <row r="78" spans="1:18" s="332" customFormat="1" ht="30" customHeight="1">
      <c r="A78" s="542"/>
      <c r="B78" s="333"/>
      <c r="C78" s="331" t="s">
        <v>15</v>
      </c>
      <c r="D78" s="216"/>
      <c r="E78" s="216"/>
      <c r="F78" s="930" t="str">
        <f>F6</f>
        <v>STAVEBNÍ ÚPRAVY STÁVAJÍCÍHO OBJEKTU K BYDLENÍ V MLADÉ BOLESLAVY</v>
      </c>
      <c r="G78" s="920"/>
      <c r="H78" s="920"/>
      <c r="I78" s="920"/>
      <c r="J78" s="920"/>
      <c r="K78" s="920"/>
      <c r="L78" s="920"/>
      <c r="M78" s="920"/>
      <c r="N78" s="920"/>
      <c r="O78" s="920"/>
      <c r="P78" s="920"/>
      <c r="Q78" s="216"/>
      <c r="R78" s="335"/>
    </row>
    <row r="79" spans="2:18" ht="30" customHeight="1">
      <c r="B79" s="327"/>
      <c r="C79" s="331" t="s">
        <v>101</v>
      </c>
      <c r="D79" s="330"/>
      <c r="E79" s="330"/>
      <c r="F79" s="919" t="s">
        <v>262</v>
      </c>
      <c r="G79" s="922"/>
      <c r="H79" s="922"/>
      <c r="I79" s="922"/>
      <c r="J79" s="922"/>
      <c r="K79" s="922"/>
      <c r="L79" s="922"/>
      <c r="M79" s="922"/>
      <c r="N79" s="922"/>
      <c r="O79" s="922"/>
      <c r="P79" s="922"/>
      <c r="Q79" s="330"/>
      <c r="R79" s="328"/>
    </row>
    <row r="80" spans="1:30" s="332" customFormat="1" ht="36.95" customHeight="1">
      <c r="A80" s="542"/>
      <c r="B80" s="333"/>
      <c r="C80" s="360" t="s">
        <v>102</v>
      </c>
      <c r="D80" s="216"/>
      <c r="E80" s="216"/>
      <c r="F80" s="925" t="str">
        <f>F8</f>
        <v>02 - STAVEBNÍ ÚPRAVY</v>
      </c>
      <c r="G80" s="878"/>
      <c r="H80" s="878"/>
      <c r="I80" s="878"/>
      <c r="J80" s="878"/>
      <c r="K80" s="878"/>
      <c r="L80" s="878"/>
      <c r="M80" s="878"/>
      <c r="N80" s="878"/>
      <c r="O80" s="878"/>
      <c r="P80" s="878"/>
      <c r="Q80" s="216"/>
      <c r="R80" s="335"/>
      <c r="AD80" s="420"/>
    </row>
    <row r="81" spans="1:18" s="332" customFormat="1" ht="6.95" customHeight="1">
      <c r="A81" s="542"/>
      <c r="B81" s="333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335"/>
    </row>
    <row r="82" spans="1:18" s="332" customFormat="1" ht="36.75" customHeight="1">
      <c r="A82" s="542"/>
      <c r="B82" s="333"/>
      <c r="C82" s="331" t="s">
        <v>18</v>
      </c>
      <c r="D82" s="216"/>
      <c r="F82" s="933" t="str">
        <f>F10</f>
        <v>NÁDRAŽNÍ ULICE č.p.43, Mladá Boleslav</v>
      </c>
      <c r="G82" s="933"/>
      <c r="H82" s="933"/>
      <c r="I82" s="933"/>
      <c r="J82" s="933"/>
      <c r="K82" s="331" t="s">
        <v>19</v>
      </c>
      <c r="L82" s="216"/>
      <c r="M82" s="887">
        <f>IF(O10="","",O10)</f>
        <v>43363</v>
      </c>
      <c r="N82" s="887"/>
      <c r="O82" s="887"/>
      <c r="P82" s="887"/>
      <c r="Q82" s="216"/>
      <c r="R82" s="335"/>
    </row>
    <row r="83" spans="1:18" s="332" customFormat="1" ht="13.5">
      <c r="A83" s="542"/>
      <c r="B83" s="333"/>
      <c r="C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335"/>
    </row>
    <row r="84" spans="1:18" s="332" customFormat="1" ht="15">
      <c r="A84" s="542"/>
      <c r="B84" s="333"/>
      <c r="C84" s="331" t="s">
        <v>20</v>
      </c>
      <c r="D84" s="216"/>
      <c r="E84" s="216"/>
      <c r="F84" s="933" t="str">
        <f>F12</f>
        <v>R-MOSTY, Z.S.</v>
      </c>
      <c r="G84" s="933"/>
      <c r="H84" s="933"/>
      <c r="I84" s="933"/>
      <c r="J84" s="933"/>
      <c r="K84" s="331" t="s">
        <v>26</v>
      </c>
      <c r="L84" s="216"/>
      <c r="M84" s="888" t="str">
        <f>F18</f>
        <v>Design&amp;Build s.r.o.</v>
      </c>
      <c r="N84" s="888"/>
      <c r="O84" s="888"/>
      <c r="P84" s="888"/>
      <c r="Q84" s="888"/>
      <c r="R84" s="335"/>
    </row>
    <row r="85" spans="1:18" s="332" customFormat="1" ht="14.45" customHeight="1">
      <c r="A85" s="542"/>
      <c r="B85" s="333"/>
      <c r="C85" s="331" t="s">
        <v>24</v>
      </c>
      <c r="D85" s="216"/>
      <c r="E85" s="216"/>
      <c r="F85" s="436" t="str">
        <f>IF(E16="","",E16)</f>
        <v xml:space="preserve"> </v>
      </c>
      <c r="G85" s="216"/>
      <c r="H85" s="216"/>
      <c r="I85" s="216"/>
      <c r="J85" s="216"/>
      <c r="K85" s="331" t="s">
        <v>28</v>
      </c>
      <c r="L85" s="216"/>
      <c r="M85" s="888" t="str">
        <f>M84</f>
        <v>Design&amp;Build s.r.o.</v>
      </c>
      <c r="N85" s="888"/>
      <c r="O85" s="888"/>
      <c r="P85" s="888"/>
      <c r="Q85" s="888"/>
      <c r="R85" s="335"/>
    </row>
    <row r="86" spans="1:18" s="332" customFormat="1" ht="10.35" customHeight="1">
      <c r="A86" s="542"/>
      <c r="B86" s="333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335"/>
    </row>
    <row r="87" spans="1:18" s="332" customFormat="1" ht="29.25" customHeight="1">
      <c r="A87" s="542"/>
      <c r="B87" s="333"/>
      <c r="C87" s="935" t="s">
        <v>106</v>
      </c>
      <c r="D87" s="936"/>
      <c r="E87" s="936"/>
      <c r="F87" s="936"/>
      <c r="G87" s="936"/>
      <c r="H87" s="343"/>
      <c r="I87" s="343"/>
      <c r="J87" s="343"/>
      <c r="K87" s="343"/>
      <c r="L87" s="343"/>
      <c r="M87" s="343"/>
      <c r="N87" s="935" t="s">
        <v>107</v>
      </c>
      <c r="O87" s="936"/>
      <c r="P87" s="936"/>
      <c r="Q87" s="936"/>
      <c r="R87" s="335"/>
    </row>
    <row r="88" spans="1:18" s="332" customFormat="1" ht="10.35" customHeight="1">
      <c r="A88" s="542"/>
      <c r="B88" s="333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335"/>
    </row>
    <row r="89" spans="1:47" s="332" customFormat="1" ht="29.25" customHeight="1">
      <c r="A89" s="542"/>
      <c r="B89" s="333"/>
      <c r="C89" s="361" t="s">
        <v>108</v>
      </c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937">
        <f>N112</f>
        <v>0</v>
      </c>
      <c r="O89" s="931"/>
      <c r="P89" s="931"/>
      <c r="Q89" s="931"/>
      <c r="R89" s="335"/>
      <c r="AU89" s="323" t="s">
        <v>109</v>
      </c>
    </row>
    <row r="90" spans="1:18" s="365" customFormat="1" ht="24.95" customHeight="1">
      <c r="A90" s="542"/>
      <c r="B90" s="362"/>
      <c r="C90" s="363"/>
      <c r="D90" s="544" t="str">
        <f>F80</f>
        <v>02 - STAVEBNÍ ÚPRAVY</v>
      </c>
      <c r="E90" s="363"/>
      <c r="F90" s="363"/>
      <c r="G90" s="363"/>
      <c r="H90" s="363"/>
      <c r="I90" s="363"/>
      <c r="J90" s="363"/>
      <c r="K90" s="363"/>
      <c r="L90" s="363"/>
      <c r="M90" s="363"/>
      <c r="N90" s="944">
        <f>N113</f>
        <v>0</v>
      </c>
      <c r="O90" s="1034"/>
      <c r="P90" s="1034"/>
      <c r="Q90" s="1034"/>
      <c r="R90" s="364"/>
    </row>
    <row r="91" spans="1:18" s="332" customFormat="1" ht="21.75" customHeight="1">
      <c r="A91" s="542"/>
      <c r="B91" s="333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335"/>
    </row>
    <row r="92" spans="1:21" s="332" customFormat="1" ht="29.25" customHeight="1">
      <c r="A92" s="542"/>
      <c r="B92" s="333"/>
      <c r="C92" s="361" t="s">
        <v>110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931">
        <v>0</v>
      </c>
      <c r="O92" s="932"/>
      <c r="P92" s="932"/>
      <c r="Q92" s="932"/>
      <c r="R92" s="335"/>
      <c r="T92" s="368"/>
      <c r="U92" s="369" t="s">
        <v>33</v>
      </c>
    </row>
    <row r="93" spans="1:18" s="332" customFormat="1" ht="18" customHeight="1">
      <c r="A93" s="542"/>
      <c r="B93" s="333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335"/>
    </row>
    <row r="94" spans="1:18" s="332" customFormat="1" ht="29.25" customHeight="1">
      <c r="A94" s="542"/>
      <c r="B94" s="333"/>
      <c r="C94" s="370" t="s">
        <v>94</v>
      </c>
      <c r="D94" s="343"/>
      <c r="E94" s="343"/>
      <c r="F94" s="343"/>
      <c r="G94" s="343"/>
      <c r="H94" s="343"/>
      <c r="I94" s="343"/>
      <c r="J94" s="343"/>
      <c r="K94" s="343"/>
      <c r="L94" s="934">
        <f>ROUND(SUM(N89+N92),2)</f>
        <v>0</v>
      </c>
      <c r="M94" s="934"/>
      <c r="N94" s="934"/>
      <c r="O94" s="934"/>
      <c r="P94" s="934"/>
      <c r="Q94" s="934"/>
      <c r="R94" s="335"/>
    </row>
    <row r="95" spans="1:18" s="332" customFormat="1" ht="6.95" customHeight="1">
      <c r="A95" s="542"/>
      <c r="B95" s="371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3"/>
    </row>
    <row r="99" spans="1:18" s="332" customFormat="1" ht="6.95" customHeight="1">
      <c r="A99" s="542"/>
      <c r="B99" s="357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9"/>
    </row>
    <row r="100" spans="1:18" s="332" customFormat="1" ht="36.95" customHeight="1">
      <c r="A100" s="542"/>
      <c r="B100" s="333"/>
      <c r="C100" s="917" t="s">
        <v>111</v>
      </c>
      <c r="D100" s="878"/>
      <c r="E100" s="878"/>
      <c r="F100" s="878"/>
      <c r="G100" s="878"/>
      <c r="H100" s="878"/>
      <c r="I100" s="878"/>
      <c r="J100" s="878"/>
      <c r="K100" s="878"/>
      <c r="L100" s="878"/>
      <c r="M100" s="878"/>
      <c r="N100" s="878"/>
      <c r="O100" s="878"/>
      <c r="P100" s="878"/>
      <c r="Q100" s="878"/>
      <c r="R100" s="335"/>
    </row>
    <row r="101" spans="1:18" s="332" customFormat="1" ht="6.95" customHeight="1">
      <c r="A101" s="542"/>
      <c r="B101" s="333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35"/>
    </row>
    <row r="102" spans="1:18" s="332" customFormat="1" ht="30" customHeight="1">
      <c r="A102" s="542"/>
      <c r="B102" s="333"/>
      <c r="C102" s="331" t="s">
        <v>15</v>
      </c>
      <c r="D102" s="216"/>
      <c r="E102" s="216"/>
      <c r="F102" s="930" t="str">
        <f>F6</f>
        <v>STAVEBNÍ ÚPRAVY STÁVAJÍCÍHO OBJEKTU K BYDLENÍ V MLADÉ BOLESLAVY</v>
      </c>
      <c r="G102" s="920"/>
      <c r="H102" s="920"/>
      <c r="I102" s="920"/>
      <c r="J102" s="920"/>
      <c r="K102" s="920"/>
      <c r="L102" s="920"/>
      <c r="M102" s="920"/>
      <c r="N102" s="920"/>
      <c r="O102" s="920"/>
      <c r="P102" s="920"/>
      <c r="Q102" s="216"/>
      <c r="R102" s="335"/>
    </row>
    <row r="103" spans="2:18" ht="30" customHeight="1">
      <c r="B103" s="327"/>
      <c r="C103" s="331" t="s">
        <v>101</v>
      </c>
      <c r="D103" s="330"/>
      <c r="E103" s="330"/>
      <c r="F103" s="919" t="s">
        <v>262</v>
      </c>
      <c r="G103" s="922"/>
      <c r="H103" s="922"/>
      <c r="I103" s="922"/>
      <c r="J103" s="922"/>
      <c r="K103" s="922"/>
      <c r="L103" s="922"/>
      <c r="M103" s="922"/>
      <c r="N103" s="922"/>
      <c r="O103" s="922"/>
      <c r="P103" s="922"/>
      <c r="Q103" s="330"/>
      <c r="R103" s="328"/>
    </row>
    <row r="104" spans="1:18" s="332" customFormat="1" ht="36.95" customHeight="1">
      <c r="A104" s="542"/>
      <c r="B104" s="333"/>
      <c r="C104" s="360" t="s">
        <v>102</v>
      </c>
      <c r="D104" s="216"/>
      <c r="E104" s="216"/>
      <c r="F104" s="925" t="str">
        <f>F8</f>
        <v>02 - STAVEBNÍ ÚPRAVY</v>
      </c>
      <c r="G104" s="878"/>
      <c r="H104" s="878"/>
      <c r="I104" s="878"/>
      <c r="J104" s="878"/>
      <c r="K104" s="878"/>
      <c r="L104" s="878"/>
      <c r="M104" s="878"/>
      <c r="N104" s="878"/>
      <c r="O104" s="878"/>
      <c r="P104" s="878"/>
      <c r="Q104" s="216"/>
      <c r="R104" s="335"/>
    </row>
    <row r="105" spans="1:18" s="332" customFormat="1" ht="6.95" customHeight="1">
      <c r="A105" s="542"/>
      <c r="B105" s="333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335"/>
    </row>
    <row r="106" spans="1:18" s="332" customFormat="1" ht="18" customHeight="1">
      <c r="A106" s="542"/>
      <c r="B106" s="333"/>
      <c r="C106" s="331" t="s">
        <v>18</v>
      </c>
      <c r="D106" s="216"/>
      <c r="E106" s="216"/>
      <c r="F106" s="336" t="str">
        <f>F82</f>
        <v>NÁDRAŽNÍ ULICE č.p.43, Mladá Boleslav</v>
      </c>
      <c r="G106" s="216"/>
      <c r="H106" s="216"/>
      <c r="I106" s="216"/>
      <c r="J106" s="216"/>
      <c r="K106" s="331" t="s">
        <v>19</v>
      </c>
      <c r="L106" s="216"/>
      <c r="M106" s="887">
        <f>IF(O10="","",O10)</f>
        <v>43363</v>
      </c>
      <c r="N106" s="887"/>
      <c r="O106" s="887"/>
      <c r="P106" s="887"/>
      <c r="Q106" s="216"/>
      <c r="R106" s="335"/>
    </row>
    <row r="107" spans="1:18" s="332" customFormat="1" ht="6.95" customHeight="1">
      <c r="A107" s="542"/>
      <c r="B107" s="333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335"/>
    </row>
    <row r="108" spans="1:18" s="332" customFormat="1" ht="15">
      <c r="A108" s="542"/>
      <c r="B108" s="333"/>
      <c r="C108" s="331" t="s">
        <v>20</v>
      </c>
      <c r="D108" s="216"/>
      <c r="E108" s="216"/>
      <c r="F108" s="336" t="str">
        <f>F12</f>
        <v>R-MOSTY, Z.S.</v>
      </c>
      <c r="G108" s="216"/>
      <c r="H108" s="216"/>
      <c r="I108" s="216"/>
      <c r="J108" s="216"/>
      <c r="K108" s="331" t="s">
        <v>26</v>
      </c>
      <c r="L108" s="216"/>
      <c r="M108" s="888" t="str">
        <f>M84</f>
        <v>Design&amp;Build s.r.o.</v>
      </c>
      <c r="N108" s="888"/>
      <c r="O108" s="888"/>
      <c r="P108" s="888"/>
      <c r="Q108" s="888"/>
      <c r="R108" s="335"/>
    </row>
    <row r="109" spans="1:18" s="332" customFormat="1" ht="14.45" customHeight="1">
      <c r="A109" s="542"/>
      <c r="B109" s="333"/>
      <c r="C109" s="331" t="s">
        <v>24</v>
      </c>
      <c r="D109" s="216"/>
      <c r="E109" s="216"/>
      <c r="F109" s="436" t="str">
        <f>IF(E16="","",E16)</f>
        <v xml:space="preserve"> </v>
      </c>
      <c r="G109" s="216"/>
      <c r="H109" s="216"/>
      <c r="I109" s="216"/>
      <c r="J109" s="216"/>
      <c r="K109" s="331" t="s">
        <v>28</v>
      </c>
      <c r="L109" s="216"/>
      <c r="M109" s="888" t="str">
        <f>M108</f>
        <v>Design&amp;Build s.r.o.</v>
      </c>
      <c r="N109" s="888"/>
      <c r="O109" s="888"/>
      <c r="P109" s="888"/>
      <c r="Q109" s="888"/>
      <c r="R109" s="335"/>
    </row>
    <row r="110" spans="1:18" s="332" customFormat="1" ht="10.35" customHeight="1">
      <c r="A110" s="542"/>
      <c r="B110" s="333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335"/>
    </row>
    <row r="111" spans="1:27" s="374" customFormat="1" ht="29.25" customHeight="1">
      <c r="A111" s="545"/>
      <c r="B111" s="375"/>
      <c r="C111" s="376" t="s">
        <v>112</v>
      </c>
      <c r="D111" s="377" t="s">
        <v>113</v>
      </c>
      <c r="E111" s="377" t="s">
        <v>51</v>
      </c>
      <c r="F111" s="950" t="s">
        <v>114</v>
      </c>
      <c r="G111" s="950"/>
      <c r="H111" s="950"/>
      <c r="I111" s="950"/>
      <c r="J111" s="377" t="s">
        <v>115</v>
      </c>
      <c r="K111" s="377" t="s">
        <v>116</v>
      </c>
      <c r="L111" s="949" t="s">
        <v>117</v>
      </c>
      <c r="M111" s="949"/>
      <c r="N111" s="950" t="s">
        <v>107</v>
      </c>
      <c r="O111" s="950"/>
      <c r="P111" s="950"/>
      <c r="Q111" s="951"/>
      <c r="R111" s="378"/>
      <c r="T111" s="379" t="s">
        <v>118</v>
      </c>
      <c r="U111" s="380" t="s">
        <v>33</v>
      </c>
      <c r="V111" s="380" t="s">
        <v>119</v>
      </c>
      <c r="W111" s="380" t="s">
        <v>120</v>
      </c>
      <c r="X111" s="380" t="s">
        <v>121</v>
      </c>
      <c r="Y111" s="380" t="s">
        <v>122</v>
      </c>
      <c r="Z111" s="380" t="s">
        <v>123</v>
      </c>
      <c r="AA111" s="381" t="s">
        <v>124</v>
      </c>
    </row>
    <row r="112" spans="1:63" s="332" customFormat="1" ht="29.25" customHeight="1">
      <c r="A112" s="542"/>
      <c r="B112" s="333"/>
      <c r="C112" s="382" t="s">
        <v>103</v>
      </c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952">
        <f>SUM(N113)</f>
        <v>0</v>
      </c>
      <c r="O112" s="953"/>
      <c r="P112" s="953"/>
      <c r="Q112" s="953"/>
      <c r="R112" s="335"/>
      <c r="T112" s="383"/>
      <c r="U112" s="337"/>
      <c r="V112" s="337"/>
      <c r="W112" s="384" t="e">
        <f>W113+#REF!+#REF!+#REF!+#REF!+#REF!+#REF!+#REF!+#REF!+#REF!+#REF!</f>
        <v>#REF!</v>
      </c>
      <c r="X112" s="337"/>
      <c r="Y112" s="384" t="e">
        <f>Y113+#REF!+#REF!+#REF!+#REF!+#REF!+#REF!+#REF!+#REF!+#REF!+#REF!</f>
        <v>#REF!</v>
      </c>
      <c r="Z112" s="337"/>
      <c r="AA112" s="385" t="e">
        <f>AA113+#REF!+#REF!+#REF!+#REF!+#REF!+#REF!+#REF!+#REF!+#REF!+#REF!</f>
        <v>#REF!</v>
      </c>
      <c r="AU112" s="323" t="s">
        <v>109</v>
      </c>
      <c r="BK112" s="387" t="e">
        <f>BK113+#REF!+#REF!+#REF!+#REF!+#REF!+#REF!+#REF!+#REF!+#REF!+#REF!</f>
        <v>#REF!</v>
      </c>
    </row>
    <row r="113" spans="1:63" s="394" customFormat="1" ht="41.45" customHeight="1">
      <c r="A113" s="546"/>
      <c r="B113" s="389"/>
      <c r="C113" s="388"/>
      <c r="D113" s="390" t="str">
        <f>F104</f>
        <v>02 - STAVEBNÍ ÚPRAVY</v>
      </c>
      <c r="E113" s="390"/>
      <c r="F113" s="390"/>
      <c r="G113" s="390"/>
      <c r="H113" s="390"/>
      <c r="I113" s="390"/>
      <c r="J113" s="390"/>
      <c r="K113" s="390"/>
      <c r="L113" s="390"/>
      <c r="M113" s="390"/>
      <c r="N113" s="943">
        <f>SUM(N115:Q411)</f>
        <v>0</v>
      </c>
      <c r="O113" s="944"/>
      <c r="P113" s="944"/>
      <c r="Q113" s="944"/>
      <c r="R113" s="391"/>
      <c r="S113" s="388"/>
      <c r="T113" s="388"/>
      <c r="U113" s="388"/>
      <c r="V113" s="388"/>
      <c r="W113" s="392" t="e">
        <f>SUM(#REF!)</f>
        <v>#REF!</v>
      </c>
      <c r="X113" s="388"/>
      <c r="Y113" s="392" t="e">
        <f>SUM(#REF!)</f>
        <v>#REF!</v>
      </c>
      <c r="Z113" s="388"/>
      <c r="AA113" s="393" t="e">
        <f>SUM(#REF!)</f>
        <v>#REF!</v>
      </c>
      <c r="AU113" s="395" t="s">
        <v>69</v>
      </c>
      <c r="AY113" s="396" t="s">
        <v>125</v>
      </c>
      <c r="BK113" s="397" t="e">
        <f>SUM(#REF!)</f>
        <v>#REF!</v>
      </c>
    </row>
    <row r="114" spans="1:63" s="394" customFormat="1" ht="31.5" customHeight="1">
      <c r="A114" s="546"/>
      <c r="B114" s="389"/>
      <c r="C114" s="547"/>
      <c r="D114" s="105" t="s">
        <v>1776</v>
      </c>
      <c r="E114" s="105"/>
      <c r="F114" s="105"/>
      <c r="G114" s="105"/>
      <c r="H114" s="105"/>
      <c r="I114" s="105"/>
      <c r="J114" s="548"/>
      <c r="K114" s="65"/>
      <c r="L114" s="105"/>
      <c r="M114" s="105"/>
      <c r="N114" s="481"/>
      <c r="O114" s="482"/>
      <c r="P114" s="482"/>
      <c r="Q114" s="482"/>
      <c r="R114" s="391"/>
      <c r="S114" s="388"/>
      <c r="T114" s="388"/>
      <c r="U114" s="388"/>
      <c r="V114" s="388"/>
      <c r="W114" s="392"/>
      <c r="X114" s="388"/>
      <c r="Y114" s="392"/>
      <c r="Z114" s="388"/>
      <c r="AA114" s="393"/>
      <c r="AC114" s="105"/>
      <c r="AU114" s="395"/>
      <c r="AY114" s="396"/>
      <c r="BK114" s="397"/>
    </row>
    <row r="115" spans="1:31" ht="31.5" customHeight="1">
      <c r="A115" s="549"/>
      <c r="B115" s="330"/>
      <c r="C115" s="550" t="s">
        <v>207</v>
      </c>
      <c r="D115" s="486"/>
      <c r="E115" s="511" t="s">
        <v>1807</v>
      </c>
      <c r="F115" s="960" t="s">
        <v>1777</v>
      </c>
      <c r="G115" s="960"/>
      <c r="H115" s="960"/>
      <c r="I115" s="960"/>
      <c r="J115" s="94" t="s">
        <v>133</v>
      </c>
      <c r="K115" s="43">
        <v>123.80000000000001</v>
      </c>
      <c r="L115" s="21"/>
      <c r="M115" s="105"/>
      <c r="N115" s="948">
        <f aca="true" t="shared" si="0" ref="N115:N137">ROUND(L115*K115,2)</f>
        <v>0</v>
      </c>
      <c r="O115" s="948"/>
      <c r="P115" s="948"/>
      <c r="Q115" s="948"/>
      <c r="R115" s="330"/>
      <c r="S115" s="388"/>
      <c r="AE115" s="394"/>
    </row>
    <row r="116" spans="1:31" ht="31.5" customHeight="1">
      <c r="A116" s="549"/>
      <c r="B116" s="330"/>
      <c r="C116" s="550" t="s">
        <v>208</v>
      </c>
      <c r="D116" s="551"/>
      <c r="E116" s="511" t="s">
        <v>1808</v>
      </c>
      <c r="F116" s="1001" t="s">
        <v>346</v>
      </c>
      <c r="G116" s="1002"/>
      <c r="H116" s="1002"/>
      <c r="I116" s="1003"/>
      <c r="J116" s="101" t="s">
        <v>133</v>
      </c>
      <c r="K116" s="40">
        <v>148.56</v>
      </c>
      <c r="L116" s="21"/>
      <c r="M116" s="105"/>
      <c r="N116" s="998">
        <f t="shared" si="0"/>
        <v>0</v>
      </c>
      <c r="O116" s="998"/>
      <c r="P116" s="998"/>
      <c r="Q116" s="998"/>
      <c r="R116" s="330"/>
      <c r="S116" s="388"/>
      <c r="AE116" s="394"/>
    </row>
    <row r="117" spans="1:31" ht="31.5" customHeight="1">
      <c r="A117" s="549"/>
      <c r="B117" s="330"/>
      <c r="C117" s="550" t="s">
        <v>209</v>
      </c>
      <c r="D117" s="486"/>
      <c r="E117" s="511" t="s">
        <v>1809</v>
      </c>
      <c r="F117" s="960" t="s">
        <v>1778</v>
      </c>
      <c r="G117" s="960"/>
      <c r="H117" s="960"/>
      <c r="I117" s="960"/>
      <c r="J117" s="94" t="s">
        <v>133</v>
      </c>
      <c r="K117" s="57">
        <v>4.43</v>
      </c>
      <c r="L117" s="21"/>
      <c r="M117" s="105"/>
      <c r="N117" s="948">
        <f t="shared" si="0"/>
        <v>0</v>
      </c>
      <c r="O117" s="948"/>
      <c r="P117" s="948"/>
      <c r="Q117" s="948"/>
      <c r="R117" s="330"/>
      <c r="S117" s="388"/>
      <c r="AE117" s="394"/>
    </row>
    <row r="118" spans="1:31" ht="31.5" customHeight="1">
      <c r="A118" s="549"/>
      <c r="B118" s="330"/>
      <c r="C118" s="550" t="s">
        <v>210</v>
      </c>
      <c r="D118" s="552"/>
      <c r="E118" s="511" t="s">
        <v>1810</v>
      </c>
      <c r="F118" s="1005" t="s">
        <v>1779</v>
      </c>
      <c r="G118" s="1006"/>
      <c r="H118" s="1006"/>
      <c r="I118" s="1007"/>
      <c r="J118" s="553" t="s">
        <v>133</v>
      </c>
      <c r="K118" s="60">
        <v>5.316</v>
      </c>
      <c r="L118" s="27"/>
      <c r="M118" s="105"/>
      <c r="N118" s="998">
        <f t="shared" si="0"/>
        <v>0</v>
      </c>
      <c r="O118" s="998"/>
      <c r="P118" s="998"/>
      <c r="Q118" s="998"/>
      <c r="R118" s="330"/>
      <c r="S118" s="388"/>
      <c r="AE118" s="394"/>
    </row>
    <row r="119" spans="1:31" ht="31.5" customHeight="1">
      <c r="A119" s="549"/>
      <c r="B119" s="330"/>
      <c r="C119" s="550" t="s">
        <v>211</v>
      </c>
      <c r="D119" s="486"/>
      <c r="E119" s="511" t="s">
        <v>1811</v>
      </c>
      <c r="F119" s="960" t="s">
        <v>1780</v>
      </c>
      <c r="G119" s="960"/>
      <c r="H119" s="960"/>
      <c r="I119" s="960"/>
      <c r="J119" s="94" t="s">
        <v>133</v>
      </c>
      <c r="K119" s="57">
        <v>21.959999999999997</v>
      </c>
      <c r="L119" s="21"/>
      <c r="M119" s="105"/>
      <c r="N119" s="948">
        <f t="shared" si="0"/>
        <v>0</v>
      </c>
      <c r="O119" s="948"/>
      <c r="P119" s="948"/>
      <c r="Q119" s="948"/>
      <c r="R119" s="330"/>
      <c r="S119" s="388"/>
      <c r="AE119" s="394"/>
    </row>
    <row r="120" spans="1:31" ht="31.5" customHeight="1">
      <c r="A120" s="549"/>
      <c r="B120" s="330"/>
      <c r="C120" s="550" t="s">
        <v>212</v>
      </c>
      <c r="D120" s="552"/>
      <c r="E120" s="511" t="s">
        <v>1812</v>
      </c>
      <c r="F120" s="1005" t="s">
        <v>352</v>
      </c>
      <c r="G120" s="1006"/>
      <c r="H120" s="1006"/>
      <c r="I120" s="1007"/>
      <c r="J120" s="553" t="s">
        <v>133</v>
      </c>
      <c r="K120" s="60">
        <v>26.351999999999997</v>
      </c>
      <c r="L120" s="27"/>
      <c r="M120" s="105"/>
      <c r="N120" s="998">
        <f t="shared" si="0"/>
        <v>0</v>
      </c>
      <c r="O120" s="998"/>
      <c r="P120" s="998"/>
      <c r="Q120" s="998"/>
      <c r="R120" s="330"/>
      <c r="S120" s="388"/>
      <c r="AE120" s="394"/>
    </row>
    <row r="121" spans="1:31" ht="31.5" customHeight="1">
      <c r="A121" s="549"/>
      <c r="B121" s="330"/>
      <c r="C121" s="550" t="s">
        <v>213</v>
      </c>
      <c r="D121" s="195"/>
      <c r="E121" s="511" t="s">
        <v>1813</v>
      </c>
      <c r="F121" s="960" t="s">
        <v>1781</v>
      </c>
      <c r="G121" s="960"/>
      <c r="H121" s="960"/>
      <c r="I121" s="960"/>
      <c r="J121" s="94" t="s">
        <v>133</v>
      </c>
      <c r="K121" s="61">
        <v>73.465</v>
      </c>
      <c r="L121" s="25"/>
      <c r="M121" s="105"/>
      <c r="N121" s="948">
        <f t="shared" si="0"/>
        <v>0</v>
      </c>
      <c r="O121" s="948"/>
      <c r="P121" s="948"/>
      <c r="Q121" s="948"/>
      <c r="R121" s="330"/>
      <c r="S121" s="388"/>
      <c r="AE121" s="394"/>
    </row>
    <row r="122" spans="1:31" ht="31.5" customHeight="1">
      <c r="A122" s="549"/>
      <c r="B122" s="330"/>
      <c r="C122" s="550" t="s">
        <v>214</v>
      </c>
      <c r="D122" s="552"/>
      <c r="E122" s="511" t="s">
        <v>1814</v>
      </c>
      <c r="F122" s="1005" t="s">
        <v>348</v>
      </c>
      <c r="G122" s="1006"/>
      <c r="H122" s="1006"/>
      <c r="I122" s="1007"/>
      <c r="J122" s="553" t="s">
        <v>133</v>
      </c>
      <c r="K122" s="60">
        <v>88.158</v>
      </c>
      <c r="L122" s="27"/>
      <c r="M122" s="105"/>
      <c r="N122" s="998">
        <f t="shared" si="0"/>
        <v>0</v>
      </c>
      <c r="O122" s="998"/>
      <c r="P122" s="998"/>
      <c r="Q122" s="998"/>
      <c r="R122" s="330"/>
      <c r="S122" s="388"/>
      <c r="AE122" s="394"/>
    </row>
    <row r="123" spans="1:31" ht="31.5" customHeight="1">
      <c r="A123" s="549"/>
      <c r="B123" s="330"/>
      <c r="C123" s="550" t="s">
        <v>215</v>
      </c>
      <c r="D123" s="195"/>
      <c r="E123" s="511" t="s">
        <v>1815</v>
      </c>
      <c r="F123" s="960" t="s">
        <v>1782</v>
      </c>
      <c r="G123" s="960"/>
      <c r="H123" s="960"/>
      <c r="I123" s="960"/>
      <c r="J123" s="94" t="s">
        <v>133</v>
      </c>
      <c r="K123" s="61">
        <v>10.53</v>
      </c>
      <c r="L123" s="21"/>
      <c r="M123" s="105"/>
      <c r="N123" s="948">
        <f t="shared" si="0"/>
        <v>0</v>
      </c>
      <c r="O123" s="948"/>
      <c r="P123" s="948"/>
      <c r="Q123" s="948"/>
      <c r="R123" s="330"/>
      <c r="S123" s="388"/>
      <c r="AE123" s="394"/>
    </row>
    <row r="124" spans="1:31" ht="31.5" customHeight="1">
      <c r="A124" s="549"/>
      <c r="B124" s="330"/>
      <c r="C124" s="550" t="s">
        <v>216</v>
      </c>
      <c r="D124" s="554"/>
      <c r="E124" s="511" t="s">
        <v>1816</v>
      </c>
      <c r="F124" s="1005" t="s">
        <v>349</v>
      </c>
      <c r="G124" s="1006"/>
      <c r="H124" s="1006"/>
      <c r="I124" s="1007"/>
      <c r="J124" s="555" t="s">
        <v>133</v>
      </c>
      <c r="K124" s="62">
        <v>12.636</v>
      </c>
      <c r="L124" s="27"/>
      <c r="M124" s="105"/>
      <c r="N124" s="998">
        <f t="shared" si="0"/>
        <v>0</v>
      </c>
      <c r="O124" s="998"/>
      <c r="P124" s="998"/>
      <c r="Q124" s="998"/>
      <c r="R124" s="330"/>
      <c r="S124" s="388"/>
      <c r="AE124" s="394"/>
    </row>
    <row r="125" spans="1:31" ht="31.5" customHeight="1">
      <c r="A125" s="549"/>
      <c r="B125" s="330"/>
      <c r="C125" s="550" t="s">
        <v>217</v>
      </c>
      <c r="D125" s="195"/>
      <c r="E125" s="511" t="s">
        <v>1817</v>
      </c>
      <c r="F125" s="960" t="s">
        <v>1783</v>
      </c>
      <c r="G125" s="960"/>
      <c r="H125" s="960"/>
      <c r="I125" s="960"/>
      <c r="J125" s="94" t="s">
        <v>133</v>
      </c>
      <c r="K125" s="61">
        <v>99.97</v>
      </c>
      <c r="L125" s="21"/>
      <c r="M125" s="105"/>
      <c r="N125" s="948">
        <f t="shared" si="0"/>
        <v>0</v>
      </c>
      <c r="O125" s="948"/>
      <c r="P125" s="948"/>
      <c r="Q125" s="948"/>
      <c r="R125" s="330"/>
      <c r="S125" s="388"/>
      <c r="AE125" s="394"/>
    </row>
    <row r="126" spans="1:31" ht="31.5" customHeight="1">
      <c r="A126" s="549"/>
      <c r="B126" s="330"/>
      <c r="C126" s="550" t="s">
        <v>218</v>
      </c>
      <c r="D126" s="556"/>
      <c r="E126" s="511" t="s">
        <v>1818</v>
      </c>
      <c r="F126" s="1000" t="s">
        <v>353</v>
      </c>
      <c r="G126" s="1000"/>
      <c r="H126" s="1000"/>
      <c r="I126" s="1000"/>
      <c r="J126" s="101" t="s">
        <v>133</v>
      </c>
      <c r="K126" s="40">
        <v>119.964</v>
      </c>
      <c r="L126" s="27"/>
      <c r="M126" s="105"/>
      <c r="N126" s="998">
        <f t="shared" si="0"/>
        <v>0</v>
      </c>
      <c r="O126" s="998"/>
      <c r="P126" s="998"/>
      <c r="Q126" s="998"/>
      <c r="R126" s="330"/>
      <c r="S126" s="388"/>
      <c r="AE126" s="394"/>
    </row>
    <row r="127" spans="1:31" ht="31.5" customHeight="1">
      <c r="A127" s="549"/>
      <c r="B127" s="330"/>
      <c r="C127" s="550" t="s">
        <v>219</v>
      </c>
      <c r="D127" s="195"/>
      <c r="E127" s="511" t="s">
        <v>1819</v>
      </c>
      <c r="F127" s="960" t="s">
        <v>1784</v>
      </c>
      <c r="G127" s="960"/>
      <c r="H127" s="960"/>
      <c r="I127" s="960"/>
      <c r="J127" s="94" t="s">
        <v>133</v>
      </c>
      <c r="K127" s="61">
        <v>21.4</v>
      </c>
      <c r="L127" s="25"/>
      <c r="M127" s="105"/>
      <c r="N127" s="948">
        <f t="shared" si="0"/>
        <v>0</v>
      </c>
      <c r="O127" s="948"/>
      <c r="P127" s="948"/>
      <c r="Q127" s="948"/>
      <c r="R127" s="330"/>
      <c r="S127" s="388"/>
      <c r="AE127" s="394"/>
    </row>
    <row r="128" spans="3:31" ht="31.5" customHeight="1">
      <c r="C128" s="550" t="s">
        <v>220</v>
      </c>
      <c r="D128" s="556"/>
      <c r="E128" s="511" t="s">
        <v>1820</v>
      </c>
      <c r="F128" s="1005" t="s">
        <v>351</v>
      </c>
      <c r="G128" s="1006"/>
      <c r="H128" s="1006"/>
      <c r="I128" s="1007"/>
      <c r="J128" s="101" t="s">
        <v>133</v>
      </c>
      <c r="K128" s="40">
        <v>25.679999999999996</v>
      </c>
      <c r="L128" s="21"/>
      <c r="M128" s="105"/>
      <c r="N128" s="998">
        <f t="shared" si="0"/>
        <v>0</v>
      </c>
      <c r="O128" s="998"/>
      <c r="P128" s="998"/>
      <c r="Q128" s="998"/>
      <c r="S128" s="388"/>
      <c r="AE128" s="394"/>
    </row>
    <row r="129" spans="3:31" ht="31.5" customHeight="1">
      <c r="C129" s="550" t="s">
        <v>221</v>
      </c>
      <c r="D129" s="557"/>
      <c r="E129" s="511" t="s">
        <v>1821</v>
      </c>
      <c r="F129" s="960" t="s">
        <v>1785</v>
      </c>
      <c r="G129" s="960"/>
      <c r="H129" s="960"/>
      <c r="I129" s="960"/>
      <c r="J129" s="558" t="s">
        <v>133</v>
      </c>
      <c r="K129" s="63">
        <v>32.629999999999995</v>
      </c>
      <c r="L129" s="21"/>
      <c r="M129" s="105"/>
      <c r="N129" s="948">
        <f t="shared" si="0"/>
        <v>0</v>
      </c>
      <c r="O129" s="948"/>
      <c r="P129" s="948"/>
      <c r="Q129" s="948"/>
      <c r="S129" s="388"/>
      <c r="AE129" s="394"/>
    </row>
    <row r="130" spans="3:31" ht="31.5" customHeight="1">
      <c r="C130" s="550" t="s">
        <v>222</v>
      </c>
      <c r="D130" s="552"/>
      <c r="E130" s="511" t="s">
        <v>1822</v>
      </c>
      <c r="F130" s="1005" t="s">
        <v>1786</v>
      </c>
      <c r="G130" s="1006"/>
      <c r="H130" s="1006"/>
      <c r="I130" s="1007"/>
      <c r="J130" s="553" t="s">
        <v>133</v>
      </c>
      <c r="K130" s="60">
        <v>39.15599999999999</v>
      </c>
      <c r="L130" s="27"/>
      <c r="M130" s="105"/>
      <c r="N130" s="998">
        <f t="shared" si="0"/>
        <v>0</v>
      </c>
      <c r="O130" s="998"/>
      <c r="P130" s="998"/>
      <c r="Q130" s="998"/>
      <c r="S130" s="388"/>
      <c r="AE130" s="394"/>
    </row>
    <row r="131" spans="3:31" ht="31.5" customHeight="1">
      <c r="C131" s="550" t="s">
        <v>223</v>
      </c>
      <c r="D131" s="557"/>
      <c r="E131" s="511" t="s">
        <v>1823</v>
      </c>
      <c r="F131" s="960" t="s">
        <v>1787</v>
      </c>
      <c r="G131" s="960"/>
      <c r="H131" s="960"/>
      <c r="I131" s="960"/>
      <c r="J131" s="558" t="s">
        <v>133</v>
      </c>
      <c r="K131" s="63">
        <v>5.065</v>
      </c>
      <c r="L131" s="21"/>
      <c r="M131" s="105"/>
      <c r="N131" s="948">
        <f t="shared" si="0"/>
        <v>0</v>
      </c>
      <c r="O131" s="948"/>
      <c r="P131" s="948"/>
      <c r="Q131" s="948"/>
      <c r="S131" s="388"/>
      <c r="AE131" s="394"/>
    </row>
    <row r="132" spans="3:31" ht="31.5" customHeight="1">
      <c r="C132" s="550" t="s">
        <v>224</v>
      </c>
      <c r="D132" s="554"/>
      <c r="E132" s="511" t="s">
        <v>1824</v>
      </c>
      <c r="F132" s="1000" t="s">
        <v>350</v>
      </c>
      <c r="G132" s="1000"/>
      <c r="H132" s="1000"/>
      <c r="I132" s="1000"/>
      <c r="J132" s="555" t="s">
        <v>133</v>
      </c>
      <c r="K132" s="62">
        <v>6.078</v>
      </c>
      <c r="L132" s="27"/>
      <c r="M132" s="105"/>
      <c r="N132" s="998">
        <f t="shared" si="0"/>
        <v>0</v>
      </c>
      <c r="O132" s="998"/>
      <c r="P132" s="998"/>
      <c r="Q132" s="998"/>
      <c r="S132" s="388"/>
      <c r="AE132" s="394"/>
    </row>
    <row r="133" spans="3:31" ht="44.25" customHeight="1">
      <c r="C133" s="550" t="s">
        <v>225</v>
      </c>
      <c r="D133" s="486"/>
      <c r="E133" s="511" t="s">
        <v>1825</v>
      </c>
      <c r="F133" s="960" t="s">
        <v>1788</v>
      </c>
      <c r="G133" s="960"/>
      <c r="H133" s="960"/>
      <c r="I133" s="960"/>
      <c r="J133" s="94" t="s">
        <v>198</v>
      </c>
      <c r="K133" s="57">
        <v>18</v>
      </c>
      <c r="L133" s="21"/>
      <c r="M133" s="105"/>
      <c r="N133" s="948">
        <f t="shared" si="0"/>
        <v>0</v>
      </c>
      <c r="O133" s="948"/>
      <c r="P133" s="948"/>
      <c r="Q133" s="948"/>
      <c r="S133" s="388"/>
      <c r="AE133" s="394"/>
    </row>
    <row r="134" spans="3:31" ht="31.5" customHeight="1">
      <c r="C134" s="550" t="s">
        <v>226</v>
      </c>
      <c r="D134" s="551"/>
      <c r="E134" s="511" t="s">
        <v>1826</v>
      </c>
      <c r="F134" s="1005" t="s">
        <v>347</v>
      </c>
      <c r="G134" s="1006"/>
      <c r="H134" s="1006"/>
      <c r="I134" s="1007"/>
      <c r="J134" s="101" t="s">
        <v>198</v>
      </c>
      <c r="K134" s="48">
        <v>18</v>
      </c>
      <c r="L134" s="27"/>
      <c r="M134" s="105"/>
      <c r="N134" s="998">
        <f t="shared" si="0"/>
        <v>0</v>
      </c>
      <c r="O134" s="998"/>
      <c r="P134" s="998"/>
      <c r="Q134" s="998"/>
      <c r="S134" s="388"/>
      <c r="AE134" s="394"/>
    </row>
    <row r="135" spans="3:31" ht="31.5" customHeight="1">
      <c r="C135" s="550" t="s">
        <v>227</v>
      </c>
      <c r="D135" s="559"/>
      <c r="E135" s="511" t="s">
        <v>1827</v>
      </c>
      <c r="F135" s="999" t="s">
        <v>247</v>
      </c>
      <c r="G135" s="999"/>
      <c r="H135" s="999"/>
      <c r="I135" s="999"/>
      <c r="J135" s="102" t="s">
        <v>131</v>
      </c>
      <c r="K135" s="44">
        <v>1</v>
      </c>
      <c r="L135" s="21"/>
      <c r="M135" s="105"/>
      <c r="N135" s="994">
        <f t="shared" si="0"/>
        <v>0</v>
      </c>
      <c r="O135" s="994"/>
      <c r="P135" s="994"/>
      <c r="Q135" s="994"/>
      <c r="S135" s="388"/>
      <c r="AE135" s="394"/>
    </row>
    <row r="136" spans="3:31" ht="31.5" customHeight="1">
      <c r="C136" s="550" t="s">
        <v>228</v>
      </c>
      <c r="D136" s="195"/>
      <c r="E136" s="511" t="s">
        <v>1828</v>
      </c>
      <c r="F136" s="947" t="s">
        <v>206</v>
      </c>
      <c r="G136" s="947"/>
      <c r="H136" s="947"/>
      <c r="I136" s="947"/>
      <c r="J136" s="96" t="s">
        <v>338</v>
      </c>
      <c r="K136" s="64">
        <v>17.963</v>
      </c>
      <c r="L136" s="29"/>
      <c r="M136" s="105"/>
      <c r="N136" s="948">
        <f t="shared" si="0"/>
        <v>0</v>
      </c>
      <c r="O136" s="948"/>
      <c r="P136" s="948"/>
      <c r="Q136" s="948"/>
      <c r="AE136" s="394"/>
    </row>
    <row r="137" spans="3:31" ht="31.5" customHeight="1">
      <c r="C137" s="550" t="s">
        <v>229</v>
      </c>
      <c r="D137" s="195"/>
      <c r="E137" s="511" t="s">
        <v>1829</v>
      </c>
      <c r="F137" s="954" t="s">
        <v>2226</v>
      </c>
      <c r="G137" s="954"/>
      <c r="H137" s="954"/>
      <c r="I137" s="954"/>
      <c r="J137" s="103" t="s">
        <v>2227</v>
      </c>
      <c r="K137" s="45">
        <v>1</v>
      </c>
      <c r="L137" s="36"/>
      <c r="M137" s="105"/>
      <c r="N137" s="1009">
        <f t="shared" si="0"/>
        <v>0</v>
      </c>
      <c r="O137" s="1009"/>
      <c r="P137" s="1009"/>
      <c r="Q137" s="1009"/>
      <c r="R137" s="560"/>
      <c r="AE137" s="394"/>
    </row>
    <row r="138" spans="3:31" ht="31.5" customHeight="1">
      <c r="C138" s="547"/>
      <c r="D138" s="105" t="s">
        <v>1789</v>
      </c>
      <c r="E138" s="105"/>
      <c r="F138" s="105"/>
      <c r="G138" s="105"/>
      <c r="H138" s="105"/>
      <c r="I138" s="105"/>
      <c r="J138" s="548"/>
      <c r="K138" s="65"/>
      <c r="L138" s="532"/>
      <c r="M138" s="105"/>
      <c r="N138" s="481"/>
      <c r="O138" s="482"/>
      <c r="P138" s="482"/>
      <c r="Q138" s="482"/>
      <c r="AE138" s="394"/>
    </row>
    <row r="139" spans="3:17" ht="43.5" customHeight="1">
      <c r="C139" s="195" t="s">
        <v>806</v>
      </c>
      <c r="D139" s="195"/>
      <c r="E139" s="511" t="s">
        <v>1830</v>
      </c>
      <c r="F139" s="995" t="s">
        <v>2204</v>
      </c>
      <c r="G139" s="996"/>
      <c r="H139" s="996"/>
      <c r="I139" s="997"/>
      <c r="J139" s="94" t="s">
        <v>129</v>
      </c>
      <c r="K139" s="61">
        <f>7.76928/2</f>
        <v>3.88464</v>
      </c>
      <c r="L139" s="21"/>
      <c r="M139" s="105"/>
      <c r="N139" s="948">
        <f aca="true" t="shared" si="1" ref="N139:N140">ROUND(L139*K139,2)</f>
        <v>0</v>
      </c>
      <c r="O139" s="948"/>
      <c r="P139" s="948"/>
      <c r="Q139" s="948"/>
    </row>
    <row r="140" spans="3:17" ht="31.5" customHeight="1">
      <c r="C140" s="195" t="s">
        <v>807</v>
      </c>
      <c r="D140" s="195"/>
      <c r="E140" s="511" t="s">
        <v>1831</v>
      </c>
      <c r="F140" s="995" t="s">
        <v>1790</v>
      </c>
      <c r="G140" s="996"/>
      <c r="H140" s="996"/>
      <c r="I140" s="997"/>
      <c r="J140" s="94" t="s">
        <v>129</v>
      </c>
      <c r="K140" s="61">
        <v>3.721000000000001</v>
      </c>
      <c r="L140" s="21"/>
      <c r="M140" s="105"/>
      <c r="N140" s="948">
        <f t="shared" si="1"/>
        <v>0</v>
      </c>
      <c r="O140" s="948"/>
      <c r="P140" s="948"/>
      <c r="Q140" s="948"/>
    </row>
    <row r="141" spans="3:17" ht="31.5" customHeight="1">
      <c r="C141" s="550" t="s">
        <v>828</v>
      </c>
      <c r="D141" s="486"/>
      <c r="E141" s="511" t="s">
        <v>1832</v>
      </c>
      <c r="F141" s="995" t="s">
        <v>1791</v>
      </c>
      <c r="G141" s="996"/>
      <c r="H141" s="996"/>
      <c r="I141" s="997"/>
      <c r="J141" s="94" t="s">
        <v>129</v>
      </c>
      <c r="K141" s="66">
        <v>0.133632</v>
      </c>
      <c r="L141" s="21"/>
      <c r="M141" s="105"/>
      <c r="N141" s="994">
        <f>ROUND(L141*K141,2)</f>
        <v>0</v>
      </c>
      <c r="O141" s="994"/>
      <c r="P141" s="994"/>
      <c r="Q141" s="994"/>
    </row>
    <row r="142" spans="3:17" ht="44.25" customHeight="1">
      <c r="C142" s="550" t="s">
        <v>237</v>
      </c>
      <c r="D142" s="195"/>
      <c r="E142" s="511" t="s">
        <v>1833</v>
      </c>
      <c r="F142" s="1005" t="s">
        <v>1792</v>
      </c>
      <c r="G142" s="1006"/>
      <c r="H142" s="1006"/>
      <c r="I142" s="1007"/>
      <c r="J142" s="101" t="s">
        <v>129</v>
      </c>
      <c r="K142" s="40">
        <v>0.1485</v>
      </c>
      <c r="L142" s="27"/>
      <c r="M142" s="105"/>
      <c r="N142" s="998">
        <f aca="true" t="shared" si="2" ref="N142:N148">ROUND(L142*K142,2)</f>
        <v>0</v>
      </c>
      <c r="O142" s="998"/>
      <c r="P142" s="998"/>
      <c r="Q142" s="998"/>
    </row>
    <row r="143" spans="3:17" ht="31.5" customHeight="1">
      <c r="C143" s="550" t="s">
        <v>239</v>
      </c>
      <c r="D143" s="556"/>
      <c r="E143" s="511" t="s">
        <v>1834</v>
      </c>
      <c r="F143" s="1005" t="s">
        <v>2196</v>
      </c>
      <c r="G143" s="1006"/>
      <c r="H143" s="1006"/>
      <c r="I143" s="1007"/>
      <c r="J143" s="101" t="s">
        <v>129</v>
      </c>
      <c r="K143" s="40">
        <v>12.949653200000004</v>
      </c>
      <c r="L143" s="27"/>
      <c r="M143" s="105"/>
      <c r="N143" s="998">
        <f t="shared" si="2"/>
        <v>0</v>
      </c>
      <c r="O143" s="998"/>
      <c r="P143" s="998"/>
      <c r="Q143" s="998"/>
    </row>
    <row r="144" spans="3:17" ht="31.5" customHeight="1">
      <c r="C144" s="195" t="s">
        <v>809</v>
      </c>
      <c r="D144" s="556"/>
      <c r="E144" s="511" t="s">
        <v>1835</v>
      </c>
      <c r="F144" s="1005" t="s">
        <v>333</v>
      </c>
      <c r="G144" s="1006"/>
      <c r="H144" s="1006"/>
      <c r="I144" s="1007"/>
      <c r="J144" s="101" t="s">
        <v>133</v>
      </c>
      <c r="K144" s="40">
        <v>136.4</v>
      </c>
      <c r="L144" s="27"/>
      <c r="M144" s="105"/>
      <c r="N144" s="998">
        <f t="shared" si="2"/>
        <v>0</v>
      </c>
      <c r="O144" s="998"/>
      <c r="P144" s="998"/>
      <c r="Q144" s="998"/>
    </row>
    <row r="145" spans="3:17" ht="31.5" customHeight="1">
      <c r="C145" s="195" t="s">
        <v>810</v>
      </c>
      <c r="D145" s="556"/>
      <c r="E145" s="511" t="s">
        <v>1836</v>
      </c>
      <c r="F145" s="1005" t="s">
        <v>334</v>
      </c>
      <c r="G145" s="1006"/>
      <c r="H145" s="1006"/>
      <c r="I145" s="1007"/>
      <c r="J145" s="101" t="s">
        <v>198</v>
      </c>
      <c r="K145" s="40">
        <v>760</v>
      </c>
      <c r="L145" s="27"/>
      <c r="M145" s="105"/>
      <c r="N145" s="998">
        <f t="shared" si="2"/>
        <v>0</v>
      </c>
      <c r="O145" s="998"/>
      <c r="P145" s="998"/>
      <c r="Q145" s="998"/>
    </row>
    <row r="146" spans="3:17" ht="31.5" customHeight="1">
      <c r="C146" s="195" t="s">
        <v>811</v>
      </c>
      <c r="D146" s="559"/>
      <c r="E146" s="511" t="s">
        <v>1837</v>
      </c>
      <c r="F146" s="999" t="s">
        <v>247</v>
      </c>
      <c r="G146" s="999"/>
      <c r="H146" s="999"/>
      <c r="I146" s="999"/>
      <c r="J146" s="102" t="s">
        <v>131</v>
      </c>
      <c r="K146" s="44">
        <v>1</v>
      </c>
      <c r="L146" s="21"/>
      <c r="M146" s="105"/>
      <c r="N146" s="994">
        <f t="shared" si="2"/>
        <v>0</v>
      </c>
      <c r="O146" s="994"/>
      <c r="P146" s="994"/>
      <c r="Q146" s="994"/>
    </row>
    <row r="147" spans="3:17" ht="31.5" customHeight="1">
      <c r="C147" s="195" t="s">
        <v>812</v>
      </c>
      <c r="D147" s="195"/>
      <c r="E147" s="511" t="s">
        <v>1838</v>
      </c>
      <c r="F147" s="947" t="s">
        <v>206</v>
      </c>
      <c r="G147" s="947"/>
      <c r="H147" s="947"/>
      <c r="I147" s="947"/>
      <c r="J147" s="96" t="s">
        <v>338</v>
      </c>
      <c r="K147" s="64">
        <f>(K145*0.1+K144*1+K143*950+K142*950)/1000</f>
        <v>12.655645540000004</v>
      </c>
      <c r="L147" s="29"/>
      <c r="M147" s="105"/>
      <c r="N147" s="948">
        <f t="shared" si="2"/>
        <v>0</v>
      </c>
      <c r="O147" s="948"/>
      <c r="P147" s="948"/>
      <c r="Q147" s="948"/>
    </row>
    <row r="148" spans="3:30" ht="31.5" customHeight="1">
      <c r="C148" s="195" t="s">
        <v>813</v>
      </c>
      <c r="D148" s="195"/>
      <c r="E148" s="511" t="s">
        <v>1839</v>
      </c>
      <c r="F148" s="954" t="s">
        <v>2226</v>
      </c>
      <c r="G148" s="954"/>
      <c r="H148" s="954"/>
      <c r="I148" s="954"/>
      <c r="J148" s="103" t="s">
        <v>2227</v>
      </c>
      <c r="K148" s="45">
        <v>1</v>
      </c>
      <c r="L148" s="36"/>
      <c r="M148" s="561"/>
      <c r="N148" s="1009">
        <f t="shared" si="2"/>
        <v>0</v>
      </c>
      <c r="O148" s="1009"/>
      <c r="P148" s="1009"/>
      <c r="Q148" s="1009"/>
      <c r="AD148" s="562"/>
    </row>
    <row r="149" spans="3:17" ht="31.5" customHeight="1">
      <c r="C149" s="547"/>
      <c r="D149" s="105" t="s">
        <v>1793</v>
      </c>
      <c r="E149" s="105"/>
      <c r="F149" s="105"/>
      <c r="G149" s="105"/>
      <c r="H149" s="105"/>
      <c r="I149" s="105"/>
      <c r="J149" s="548"/>
      <c r="K149" s="65"/>
      <c r="L149" s="532"/>
      <c r="M149" s="105"/>
      <c r="N149" s="481"/>
      <c r="O149" s="482"/>
      <c r="P149" s="482"/>
      <c r="Q149" s="482"/>
    </row>
    <row r="150" spans="3:17" ht="31.5" customHeight="1">
      <c r="C150" s="550" t="s">
        <v>814</v>
      </c>
      <c r="D150" s="486"/>
      <c r="E150" s="511" t="s">
        <v>1840</v>
      </c>
      <c r="F150" s="995" t="s">
        <v>356</v>
      </c>
      <c r="G150" s="996"/>
      <c r="H150" s="996"/>
      <c r="I150" s="997"/>
      <c r="J150" s="94" t="s">
        <v>129</v>
      </c>
      <c r="K150" s="66">
        <v>0.4073</v>
      </c>
      <c r="L150" s="21"/>
      <c r="M150" s="105"/>
      <c r="N150" s="994">
        <f>ROUND(L150*K150,2)</f>
        <v>0</v>
      </c>
      <c r="O150" s="994"/>
      <c r="P150" s="994"/>
      <c r="Q150" s="994"/>
    </row>
    <row r="151" spans="3:17" ht="31.5" customHeight="1">
      <c r="C151" s="550" t="s">
        <v>815</v>
      </c>
      <c r="D151" s="486"/>
      <c r="E151" s="511" t="s">
        <v>1841</v>
      </c>
      <c r="F151" s="995" t="s">
        <v>336</v>
      </c>
      <c r="G151" s="996"/>
      <c r="H151" s="996"/>
      <c r="I151" s="997"/>
      <c r="J151" s="94" t="s">
        <v>127</v>
      </c>
      <c r="K151" s="66">
        <v>3.69</v>
      </c>
      <c r="L151" s="21"/>
      <c r="M151" s="105"/>
      <c r="N151" s="994">
        <f>ROUND(L151*K151,2)</f>
        <v>0</v>
      </c>
      <c r="O151" s="994"/>
      <c r="P151" s="994"/>
      <c r="Q151" s="994"/>
    </row>
    <row r="152" spans="3:17" ht="31.5" customHeight="1">
      <c r="C152" s="550" t="s">
        <v>237</v>
      </c>
      <c r="D152" s="486"/>
      <c r="E152" s="511" t="s">
        <v>1842</v>
      </c>
      <c r="F152" s="957" t="s">
        <v>337</v>
      </c>
      <c r="G152" s="958"/>
      <c r="H152" s="958"/>
      <c r="I152" s="959"/>
      <c r="J152" s="94" t="s">
        <v>338</v>
      </c>
      <c r="K152" s="66">
        <v>0.04</v>
      </c>
      <c r="L152" s="21"/>
      <c r="M152" s="105"/>
      <c r="N152" s="994">
        <f>ROUND(L152*K152,2)</f>
        <v>0</v>
      </c>
      <c r="O152" s="994"/>
      <c r="P152" s="994"/>
      <c r="Q152" s="994"/>
    </row>
    <row r="153" spans="3:17" ht="31.5" customHeight="1">
      <c r="C153" s="550" t="s">
        <v>238</v>
      </c>
      <c r="D153" s="551"/>
      <c r="E153" s="511" t="s">
        <v>1843</v>
      </c>
      <c r="F153" s="1022" t="s">
        <v>359</v>
      </c>
      <c r="G153" s="1023"/>
      <c r="H153" s="1023"/>
      <c r="I153" s="1024"/>
      <c r="J153" s="101" t="s">
        <v>338</v>
      </c>
      <c r="K153" s="67">
        <v>0.044000000000000004</v>
      </c>
      <c r="L153" s="27"/>
      <c r="M153" s="105"/>
      <c r="N153" s="998">
        <f aca="true" t="shared" si="3" ref="N153:N157">ROUND(L153*K153,2)</f>
        <v>0</v>
      </c>
      <c r="O153" s="998"/>
      <c r="P153" s="998"/>
      <c r="Q153" s="998"/>
    </row>
    <row r="154" spans="3:17" ht="31.5" customHeight="1">
      <c r="C154" s="550" t="s">
        <v>239</v>
      </c>
      <c r="D154" s="486"/>
      <c r="E154" s="511" t="s">
        <v>1844</v>
      </c>
      <c r="F154" s="995" t="s">
        <v>354</v>
      </c>
      <c r="G154" s="996"/>
      <c r="H154" s="996"/>
      <c r="I154" s="997"/>
      <c r="J154" s="94" t="s">
        <v>198</v>
      </c>
      <c r="K154" s="66">
        <v>89</v>
      </c>
      <c r="L154" s="21"/>
      <c r="M154" s="105"/>
      <c r="N154" s="994">
        <f t="shared" si="3"/>
        <v>0</v>
      </c>
      <c r="O154" s="994"/>
      <c r="P154" s="994"/>
      <c r="Q154" s="994"/>
    </row>
    <row r="155" spans="3:17" ht="31.5" customHeight="1">
      <c r="C155" s="550" t="s">
        <v>816</v>
      </c>
      <c r="D155" s="551"/>
      <c r="E155" s="511" t="s">
        <v>1845</v>
      </c>
      <c r="F155" s="1005" t="s">
        <v>355</v>
      </c>
      <c r="G155" s="1006"/>
      <c r="H155" s="1006"/>
      <c r="I155" s="1007"/>
      <c r="J155" s="101" t="s">
        <v>198</v>
      </c>
      <c r="K155" s="67">
        <v>89</v>
      </c>
      <c r="L155" s="27"/>
      <c r="M155" s="105"/>
      <c r="N155" s="998">
        <f t="shared" si="3"/>
        <v>0</v>
      </c>
      <c r="O155" s="998"/>
      <c r="P155" s="998"/>
      <c r="Q155" s="998"/>
    </row>
    <row r="156" spans="3:17" ht="31.5" customHeight="1">
      <c r="C156" s="550" t="s">
        <v>817</v>
      </c>
      <c r="D156" s="490"/>
      <c r="E156" s="511" t="s">
        <v>1846</v>
      </c>
      <c r="F156" s="995" t="s">
        <v>335</v>
      </c>
      <c r="G156" s="996"/>
      <c r="H156" s="996"/>
      <c r="I156" s="997"/>
      <c r="J156" s="563" t="s">
        <v>129</v>
      </c>
      <c r="K156" s="38">
        <v>0.7191500000000001</v>
      </c>
      <c r="L156" s="21"/>
      <c r="M156" s="105"/>
      <c r="N156" s="994">
        <f t="shared" si="3"/>
        <v>0</v>
      </c>
      <c r="O156" s="994"/>
      <c r="P156" s="994"/>
      <c r="Q156" s="994"/>
    </row>
    <row r="157" spans="3:17" ht="31.5" customHeight="1">
      <c r="C157" s="550" t="s">
        <v>818</v>
      </c>
      <c r="D157" s="486"/>
      <c r="E157" s="511" t="s">
        <v>1847</v>
      </c>
      <c r="F157" s="1025" t="s">
        <v>362</v>
      </c>
      <c r="G157" s="1026"/>
      <c r="H157" s="1026"/>
      <c r="I157" s="1027"/>
      <c r="J157" s="133" t="s">
        <v>127</v>
      </c>
      <c r="K157" s="68">
        <v>7.575</v>
      </c>
      <c r="L157" s="21"/>
      <c r="M157" s="105"/>
      <c r="N157" s="994">
        <f t="shared" si="3"/>
        <v>0</v>
      </c>
      <c r="O157" s="994"/>
      <c r="P157" s="994"/>
      <c r="Q157" s="994"/>
    </row>
    <row r="158" spans="3:17" ht="31.5" customHeight="1">
      <c r="C158" s="550" t="s">
        <v>819</v>
      </c>
      <c r="D158" s="486"/>
      <c r="E158" s="511" t="s">
        <v>1848</v>
      </c>
      <c r="F158" s="1025" t="s">
        <v>449</v>
      </c>
      <c r="G158" s="1026"/>
      <c r="H158" s="1026"/>
      <c r="I158" s="1027"/>
      <c r="J158" s="133" t="s">
        <v>129</v>
      </c>
      <c r="K158" s="68">
        <v>0.13999999999999999</v>
      </c>
      <c r="L158" s="21"/>
      <c r="M158" s="105"/>
      <c r="N158" s="994">
        <f>ROUND(L158*K158,2)</f>
        <v>0</v>
      </c>
      <c r="O158" s="994"/>
      <c r="P158" s="994"/>
      <c r="Q158" s="994"/>
    </row>
    <row r="159" spans="3:17" ht="31.5" customHeight="1">
      <c r="C159" s="550" t="s">
        <v>820</v>
      </c>
      <c r="D159" s="486"/>
      <c r="E159" s="511" t="s">
        <v>1849</v>
      </c>
      <c r="F159" s="1025" t="s">
        <v>423</v>
      </c>
      <c r="G159" s="1026"/>
      <c r="H159" s="1026"/>
      <c r="I159" s="1027"/>
      <c r="J159" s="133" t="s">
        <v>127</v>
      </c>
      <c r="K159" s="68">
        <v>11.125</v>
      </c>
      <c r="L159" s="21"/>
      <c r="M159" s="105"/>
      <c r="N159" s="994">
        <f>ROUND(L159*K159,2)</f>
        <v>0</v>
      </c>
      <c r="O159" s="994"/>
      <c r="P159" s="994"/>
      <c r="Q159" s="994"/>
    </row>
    <row r="160" spans="3:17" ht="31.5" customHeight="1">
      <c r="C160" s="550" t="s">
        <v>821</v>
      </c>
      <c r="D160" s="486"/>
      <c r="E160" s="511" t="s">
        <v>1850</v>
      </c>
      <c r="F160" s="1025" t="s">
        <v>428</v>
      </c>
      <c r="G160" s="1026"/>
      <c r="H160" s="1026"/>
      <c r="I160" s="1027"/>
      <c r="J160" s="133" t="s">
        <v>127</v>
      </c>
      <c r="K160" s="68">
        <v>3.404</v>
      </c>
      <c r="L160" s="21"/>
      <c r="M160" s="105"/>
      <c r="N160" s="994">
        <f aca="true" t="shared" si="4" ref="N160:N163">ROUND(L160*K160,2)</f>
        <v>0</v>
      </c>
      <c r="O160" s="994"/>
      <c r="P160" s="994"/>
      <c r="Q160" s="994"/>
    </row>
    <row r="161" spans="3:17" ht="31.5" customHeight="1">
      <c r="C161" s="550" t="s">
        <v>822</v>
      </c>
      <c r="D161" s="486"/>
      <c r="E161" s="511" t="s">
        <v>1851</v>
      </c>
      <c r="F161" s="1025" t="s">
        <v>425</v>
      </c>
      <c r="G161" s="1026"/>
      <c r="H161" s="1026"/>
      <c r="I161" s="1027"/>
      <c r="J161" s="133" t="s">
        <v>338</v>
      </c>
      <c r="K161" s="68">
        <v>0.23362499999999997</v>
      </c>
      <c r="L161" s="21"/>
      <c r="M161" s="105"/>
      <c r="N161" s="994">
        <f t="shared" si="4"/>
        <v>0</v>
      </c>
      <c r="O161" s="994"/>
      <c r="P161" s="994"/>
      <c r="Q161" s="994"/>
    </row>
    <row r="162" spans="3:17" ht="31.5" customHeight="1">
      <c r="C162" s="550" t="s">
        <v>823</v>
      </c>
      <c r="D162" s="551"/>
      <c r="E162" s="511" t="s">
        <v>1852</v>
      </c>
      <c r="F162" s="1005" t="s">
        <v>426</v>
      </c>
      <c r="G162" s="1006"/>
      <c r="H162" s="1006"/>
      <c r="I162" s="1007"/>
      <c r="J162" s="101" t="s">
        <v>338</v>
      </c>
      <c r="K162" s="67">
        <v>0.2569875</v>
      </c>
      <c r="L162" s="27"/>
      <c r="M162" s="105"/>
      <c r="N162" s="998">
        <f t="shared" si="4"/>
        <v>0</v>
      </c>
      <c r="O162" s="998"/>
      <c r="P162" s="998"/>
      <c r="Q162" s="998"/>
    </row>
    <row r="163" spans="3:17" ht="31.5" customHeight="1">
      <c r="C163" s="550" t="s">
        <v>824</v>
      </c>
      <c r="D163" s="486"/>
      <c r="E163" s="511" t="s">
        <v>1853</v>
      </c>
      <c r="F163" s="1025" t="s">
        <v>424</v>
      </c>
      <c r="G163" s="1026"/>
      <c r="H163" s="1026"/>
      <c r="I163" s="1027"/>
      <c r="J163" s="133" t="s">
        <v>129</v>
      </c>
      <c r="K163" s="68">
        <v>2.3362499999999997</v>
      </c>
      <c r="L163" s="21"/>
      <c r="M163" s="105"/>
      <c r="N163" s="994">
        <f t="shared" si="4"/>
        <v>0</v>
      </c>
      <c r="O163" s="994"/>
      <c r="P163" s="994"/>
      <c r="Q163" s="994"/>
    </row>
    <row r="164" spans="3:17" ht="31.5" customHeight="1">
      <c r="C164" s="550" t="s">
        <v>825</v>
      </c>
      <c r="D164" s="486"/>
      <c r="E164" s="511" t="s">
        <v>1854</v>
      </c>
      <c r="F164" s="1025" t="s">
        <v>427</v>
      </c>
      <c r="G164" s="1026"/>
      <c r="H164" s="1026"/>
      <c r="I164" s="1027"/>
      <c r="J164" s="133" t="s">
        <v>129</v>
      </c>
      <c r="K164" s="68">
        <v>0.37029999999999996</v>
      </c>
      <c r="L164" s="21"/>
      <c r="M164" s="105"/>
      <c r="N164" s="994">
        <f>ROUND(L164*K164,2)</f>
        <v>0</v>
      </c>
      <c r="O164" s="994"/>
      <c r="P164" s="994"/>
      <c r="Q164" s="994"/>
    </row>
    <row r="165" spans="3:17" ht="31.5" customHeight="1">
      <c r="C165" s="550" t="s">
        <v>826</v>
      </c>
      <c r="D165" s="551"/>
      <c r="E165" s="511" t="s">
        <v>1855</v>
      </c>
      <c r="F165" s="1005" t="s">
        <v>357</v>
      </c>
      <c r="G165" s="1006"/>
      <c r="H165" s="1006"/>
      <c r="I165" s="1007"/>
      <c r="J165" s="101" t="s">
        <v>129</v>
      </c>
      <c r="K165" s="67">
        <v>3.973</v>
      </c>
      <c r="L165" s="27"/>
      <c r="M165" s="105"/>
      <c r="N165" s="998">
        <f aca="true" t="shared" si="5" ref="N165:N166">ROUND(L165*K165,2)</f>
        <v>0</v>
      </c>
      <c r="O165" s="998"/>
      <c r="P165" s="998"/>
      <c r="Q165" s="998"/>
    </row>
    <row r="166" spans="3:17" ht="31.5" customHeight="1">
      <c r="C166" s="550" t="s">
        <v>827</v>
      </c>
      <c r="D166" s="551"/>
      <c r="E166" s="511" t="s">
        <v>1856</v>
      </c>
      <c r="F166" s="1005" t="s">
        <v>358</v>
      </c>
      <c r="G166" s="1006"/>
      <c r="H166" s="1006"/>
      <c r="I166" s="1007"/>
      <c r="J166" s="101" t="s">
        <v>127</v>
      </c>
      <c r="K166" s="67">
        <v>28.373400000000004</v>
      </c>
      <c r="L166" s="27"/>
      <c r="M166" s="105"/>
      <c r="N166" s="998">
        <f t="shared" si="5"/>
        <v>0</v>
      </c>
      <c r="O166" s="998"/>
      <c r="P166" s="998"/>
      <c r="Q166" s="998"/>
    </row>
    <row r="167" spans="3:17" ht="31.5" customHeight="1">
      <c r="C167" s="550" t="s">
        <v>828</v>
      </c>
      <c r="D167" s="559"/>
      <c r="E167" s="511" t="s">
        <v>1857</v>
      </c>
      <c r="F167" s="999" t="s">
        <v>247</v>
      </c>
      <c r="G167" s="999"/>
      <c r="H167" s="999"/>
      <c r="I167" s="999"/>
      <c r="J167" s="102" t="s">
        <v>131</v>
      </c>
      <c r="K167" s="44">
        <v>1</v>
      </c>
      <c r="L167" s="21"/>
      <c r="M167" s="105"/>
      <c r="N167" s="994">
        <f>ROUND(L167*K167,2)</f>
        <v>0</v>
      </c>
      <c r="O167" s="994"/>
      <c r="P167" s="994"/>
      <c r="Q167" s="994"/>
    </row>
    <row r="168" spans="3:17" ht="31.5" customHeight="1">
      <c r="C168" s="550" t="s">
        <v>829</v>
      </c>
      <c r="D168" s="195"/>
      <c r="E168" s="511" t="s">
        <v>1858</v>
      </c>
      <c r="F168" s="947" t="s">
        <v>206</v>
      </c>
      <c r="G168" s="947"/>
      <c r="H168" s="947"/>
      <c r="I168" s="947"/>
      <c r="J168" s="96" t="s">
        <v>338</v>
      </c>
      <c r="K168" s="64">
        <f>(K166*0.22*1000+K165*2500+K162*1000+K161*1000+K155*1.8*0.3*0.09*2500+K153*1000+K150*2500)*1.5/1000</f>
        <v>42.81151575</v>
      </c>
      <c r="L168" s="29"/>
      <c r="M168" s="105"/>
      <c r="N168" s="948">
        <f aca="true" t="shared" si="6" ref="N168:N169">ROUND(L168*K168,2)</f>
        <v>0</v>
      </c>
      <c r="O168" s="948"/>
      <c r="P168" s="948"/>
      <c r="Q168" s="948"/>
    </row>
    <row r="169" spans="3:30" ht="31.5" customHeight="1">
      <c r="C169" s="550" t="s">
        <v>830</v>
      </c>
      <c r="D169" s="195"/>
      <c r="E169" s="511" t="s">
        <v>1859</v>
      </c>
      <c r="F169" s="954" t="s">
        <v>2226</v>
      </c>
      <c r="G169" s="954"/>
      <c r="H169" s="954"/>
      <c r="I169" s="954"/>
      <c r="J169" s="103" t="s">
        <v>2227</v>
      </c>
      <c r="K169" s="45">
        <v>1</v>
      </c>
      <c r="L169" s="36"/>
      <c r="M169" s="561"/>
      <c r="N169" s="1009">
        <f t="shared" si="6"/>
        <v>0</v>
      </c>
      <c r="O169" s="1009"/>
      <c r="P169" s="1009"/>
      <c r="Q169" s="1009"/>
      <c r="AD169" s="562"/>
    </row>
    <row r="170" spans="3:17" ht="31.5" customHeight="1">
      <c r="C170" s="547"/>
      <c r="D170" s="105" t="s">
        <v>332</v>
      </c>
      <c r="E170" s="105"/>
      <c r="F170" s="105"/>
      <c r="G170" s="105"/>
      <c r="H170" s="105"/>
      <c r="I170" s="105"/>
      <c r="J170" s="548"/>
      <c r="K170" s="65"/>
      <c r="L170" s="532"/>
      <c r="M170" s="105"/>
      <c r="N170" s="481"/>
      <c r="O170" s="482"/>
      <c r="P170" s="482"/>
      <c r="Q170" s="482"/>
    </row>
    <row r="171" spans="3:17" ht="41.25" customHeight="1">
      <c r="C171" s="195" t="s">
        <v>857</v>
      </c>
      <c r="D171" s="195"/>
      <c r="E171" s="511" t="s">
        <v>1861</v>
      </c>
      <c r="F171" s="960" t="s">
        <v>330</v>
      </c>
      <c r="G171" s="960"/>
      <c r="H171" s="960"/>
      <c r="I171" s="960"/>
      <c r="J171" s="94" t="s">
        <v>127</v>
      </c>
      <c r="K171" s="61">
        <v>251.48542500000002</v>
      </c>
      <c r="L171" s="21"/>
      <c r="M171" s="105"/>
      <c r="N171" s="994">
        <f aca="true" t="shared" si="7" ref="N171:N178">ROUND(L171*K171,2)</f>
        <v>0</v>
      </c>
      <c r="O171" s="994"/>
      <c r="P171" s="994"/>
      <c r="Q171" s="994"/>
    </row>
    <row r="172" spans="3:17" ht="31.5" customHeight="1">
      <c r="C172" s="556" t="s">
        <v>858</v>
      </c>
      <c r="D172" s="556"/>
      <c r="E172" s="511" t="s">
        <v>1862</v>
      </c>
      <c r="F172" s="1000" t="s">
        <v>360</v>
      </c>
      <c r="G172" s="1000"/>
      <c r="H172" s="1000"/>
      <c r="I172" s="1000"/>
      <c r="J172" s="101" t="s">
        <v>127</v>
      </c>
      <c r="K172" s="40">
        <v>276.63396750000004</v>
      </c>
      <c r="L172" s="27"/>
      <c r="M172" s="105"/>
      <c r="N172" s="998">
        <f t="shared" si="7"/>
        <v>0</v>
      </c>
      <c r="O172" s="998"/>
      <c r="P172" s="998"/>
      <c r="Q172" s="998"/>
    </row>
    <row r="173" spans="3:17" ht="41.25" customHeight="1">
      <c r="C173" s="550" t="s">
        <v>887</v>
      </c>
      <c r="D173" s="486"/>
      <c r="E173" s="511" t="s">
        <v>1863</v>
      </c>
      <c r="F173" s="960" t="s">
        <v>331</v>
      </c>
      <c r="G173" s="960"/>
      <c r="H173" s="960"/>
      <c r="I173" s="960"/>
      <c r="J173" s="94" t="s">
        <v>127</v>
      </c>
      <c r="K173" s="66">
        <v>16.9119</v>
      </c>
      <c r="L173" s="21"/>
      <c r="M173" s="105"/>
      <c r="N173" s="994">
        <f t="shared" si="7"/>
        <v>0</v>
      </c>
      <c r="O173" s="994"/>
      <c r="P173" s="994"/>
      <c r="Q173" s="994"/>
    </row>
    <row r="174" spans="3:17" ht="31.5" customHeight="1">
      <c r="C174" s="556" t="s">
        <v>888</v>
      </c>
      <c r="D174" s="551"/>
      <c r="E174" s="511" t="s">
        <v>1864</v>
      </c>
      <c r="F174" s="1000" t="s">
        <v>363</v>
      </c>
      <c r="G174" s="1000"/>
      <c r="H174" s="1000"/>
      <c r="I174" s="1000"/>
      <c r="J174" s="101" t="s">
        <v>127</v>
      </c>
      <c r="K174" s="67">
        <v>18.60309</v>
      </c>
      <c r="L174" s="27"/>
      <c r="M174" s="105"/>
      <c r="N174" s="998">
        <f t="shared" si="7"/>
        <v>0</v>
      </c>
      <c r="O174" s="998"/>
      <c r="P174" s="998"/>
      <c r="Q174" s="998"/>
    </row>
    <row r="175" spans="3:17" ht="31.5" customHeight="1">
      <c r="C175" s="556" t="s">
        <v>866</v>
      </c>
      <c r="D175" s="490"/>
      <c r="E175" s="511" t="s">
        <v>1865</v>
      </c>
      <c r="F175" s="1060" t="s">
        <v>1860</v>
      </c>
      <c r="G175" s="1060"/>
      <c r="H175" s="1060"/>
      <c r="I175" s="1060"/>
      <c r="J175" s="563" t="s">
        <v>129</v>
      </c>
      <c r="K175" s="38">
        <v>13.426889749999999</v>
      </c>
      <c r="L175" s="21"/>
      <c r="M175" s="105"/>
      <c r="N175" s="994">
        <f t="shared" si="7"/>
        <v>0</v>
      </c>
      <c r="O175" s="994"/>
      <c r="P175" s="994"/>
      <c r="Q175" s="994"/>
    </row>
    <row r="176" spans="3:17" ht="31.5" customHeight="1">
      <c r="C176" s="556" t="s">
        <v>860</v>
      </c>
      <c r="D176" s="559"/>
      <c r="E176" s="511" t="s">
        <v>1866</v>
      </c>
      <c r="F176" s="999" t="s">
        <v>247</v>
      </c>
      <c r="G176" s="999"/>
      <c r="H176" s="999"/>
      <c r="I176" s="999"/>
      <c r="J176" s="102" t="s">
        <v>131</v>
      </c>
      <c r="K176" s="44">
        <v>1</v>
      </c>
      <c r="L176" s="21"/>
      <c r="M176" s="105"/>
      <c r="N176" s="994">
        <f t="shared" si="7"/>
        <v>0</v>
      </c>
      <c r="O176" s="994"/>
      <c r="P176" s="994"/>
      <c r="Q176" s="994"/>
    </row>
    <row r="177" spans="3:30" ht="31.5" customHeight="1">
      <c r="C177" s="195" t="s">
        <v>861</v>
      </c>
      <c r="D177" s="195"/>
      <c r="E177" s="511" t="s">
        <v>1867</v>
      </c>
      <c r="F177" s="954" t="s">
        <v>206</v>
      </c>
      <c r="G177" s="954"/>
      <c r="H177" s="954"/>
      <c r="I177" s="954"/>
      <c r="J177" s="103" t="s">
        <v>2227</v>
      </c>
      <c r="K177" s="45">
        <v>1</v>
      </c>
      <c r="L177" s="36"/>
      <c r="M177" s="561"/>
      <c r="N177" s="1009">
        <f t="shared" si="7"/>
        <v>0</v>
      </c>
      <c r="O177" s="1009"/>
      <c r="P177" s="1009"/>
      <c r="Q177" s="1009"/>
      <c r="AD177" s="562"/>
    </row>
    <row r="178" spans="3:30" ht="31.5" customHeight="1">
      <c r="C178" s="556" t="s">
        <v>862</v>
      </c>
      <c r="D178" s="195"/>
      <c r="E178" s="511" t="s">
        <v>1868</v>
      </c>
      <c r="F178" s="954" t="s">
        <v>2226</v>
      </c>
      <c r="G178" s="954"/>
      <c r="H178" s="954"/>
      <c r="I178" s="954"/>
      <c r="J178" s="103" t="s">
        <v>2227</v>
      </c>
      <c r="K178" s="45">
        <v>1</v>
      </c>
      <c r="L178" s="36"/>
      <c r="M178" s="561"/>
      <c r="N178" s="1009">
        <f t="shared" si="7"/>
        <v>0</v>
      </c>
      <c r="O178" s="1009"/>
      <c r="P178" s="1009"/>
      <c r="Q178" s="1009"/>
      <c r="AD178" s="562"/>
    </row>
    <row r="179" spans="3:17" ht="31.5" customHeight="1">
      <c r="C179" s="547"/>
      <c r="D179" s="564" t="s">
        <v>339</v>
      </c>
      <c r="E179" s="105"/>
      <c r="F179" s="105"/>
      <c r="G179" s="105"/>
      <c r="H179" s="105"/>
      <c r="I179" s="105"/>
      <c r="J179" s="548"/>
      <c r="K179" s="65"/>
      <c r="L179" s="532"/>
      <c r="M179" s="105"/>
      <c r="N179" s="481"/>
      <c r="O179" s="482"/>
      <c r="P179" s="482"/>
      <c r="Q179" s="482"/>
    </row>
    <row r="180" spans="3:17" ht="44.25" customHeight="1">
      <c r="C180" s="195" t="s">
        <v>896</v>
      </c>
      <c r="D180" s="490"/>
      <c r="E180" s="511" t="s">
        <v>1869</v>
      </c>
      <c r="F180" s="960" t="s">
        <v>1794</v>
      </c>
      <c r="G180" s="960"/>
      <c r="H180" s="960"/>
      <c r="I180" s="960"/>
      <c r="J180" s="563" t="s">
        <v>127</v>
      </c>
      <c r="K180" s="38">
        <v>113.68430000000001</v>
      </c>
      <c r="L180" s="21"/>
      <c r="M180" s="105"/>
      <c r="N180" s="994">
        <f aca="true" t="shared" si="8" ref="N180:N193">ROUND(L180*K180,2)</f>
        <v>0</v>
      </c>
      <c r="O180" s="994"/>
      <c r="P180" s="994"/>
      <c r="Q180" s="994"/>
    </row>
    <row r="181" spans="3:17" ht="31.5" customHeight="1">
      <c r="C181" s="550" t="s">
        <v>895</v>
      </c>
      <c r="D181" s="490"/>
      <c r="E181" s="511" t="s">
        <v>1870</v>
      </c>
      <c r="F181" s="947" t="s">
        <v>1795</v>
      </c>
      <c r="G181" s="1018"/>
      <c r="H181" s="1018"/>
      <c r="I181" s="1018"/>
      <c r="J181" s="198" t="s">
        <v>127</v>
      </c>
      <c r="K181" s="38">
        <v>41.1176</v>
      </c>
      <c r="L181" s="21"/>
      <c r="M181" s="105"/>
      <c r="N181" s="994">
        <f t="shared" si="8"/>
        <v>0</v>
      </c>
      <c r="O181" s="994"/>
      <c r="P181" s="994"/>
      <c r="Q181" s="994"/>
    </row>
    <row r="182" spans="3:17" ht="31.5" customHeight="1">
      <c r="C182" s="195">
        <v>167</v>
      </c>
      <c r="D182" s="490"/>
      <c r="E182" s="511" t="s">
        <v>1871</v>
      </c>
      <c r="F182" s="947" t="s">
        <v>1796</v>
      </c>
      <c r="G182" s="1018"/>
      <c r="H182" s="1018"/>
      <c r="I182" s="1018"/>
      <c r="J182" s="563" t="s">
        <v>127</v>
      </c>
      <c r="K182" s="38">
        <v>26.0636</v>
      </c>
      <c r="L182" s="21"/>
      <c r="M182" s="105"/>
      <c r="N182" s="994">
        <f t="shared" si="8"/>
        <v>0</v>
      </c>
      <c r="O182" s="994"/>
      <c r="P182" s="994"/>
      <c r="Q182" s="994"/>
    </row>
    <row r="183" spans="3:17" ht="31.5" customHeight="1">
      <c r="C183" s="195">
        <v>193</v>
      </c>
      <c r="D183" s="490"/>
      <c r="E183" s="511" t="s">
        <v>1872</v>
      </c>
      <c r="F183" s="947" t="s">
        <v>1797</v>
      </c>
      <c r="G183" s="1018"/>
      <c r="H183" s="1018"/>
      <c r="I183" s="1018"/>
      <c r="J183" s="198" t="s">
        <v>127</v>
      </c>
      <c r="K183" s="38">
        <v>29.086</v>
      </c>
      <c r="L183" s="21"/>
      <c r="M183" s="105"/>
      <c r="N183" s="994">
        <f t="shared" si="8"/>
        <v>0</v>
      </c>
      <c r="O183" s="994"/>
      <c r="P183" s="994"/>
      <c r="Q183" s="994"/>
    </row>
    <row r="184" spans="3:17" ht="31.5" customHeight="1">
      <c r="C184" s="195">
        <v>192</v>
      </c>
      <c r="D184" s="195"/>
      <c r="E184" s="511" t="s">
        <v>1873</v>
      </c>
      <c r="F184" s="947" t="s">
        <v>1798</v>
      </c>
      <c r="G184" s="1018"/>
      <c r="H184" s="1018"/>
      <c r="I184" s="1018"/>
      <c r="J184" s="563" t="s">
        <v>127</v>
      </c>
      <c r="K184" s="43">
        <v>85.5607</v>
      </c>
      <c r="L184" s="21"/>
      <c r="M184" s="105"/>
      <c r="N184" s="994">
        <f t="shared" si="8"/>
        <v>0</v>
      </c>
      <c r="O184" s="994"/>
      <c r="P184" s="994"/>
      <c r="Q184" s="994"/>
    </row>
    <row r="185" spans="3:17" ht="31.5" customHeight="1">
      <c r="C185" s="195">
        <v>185</v>
      </c>
      <c r="D185" s="490"/>
      <c r="E185" s="511" t="s">
        <v>1874</v>
      </c>
      <c r="F185" s="947" t="s">
        <v>340</v>
      </c>
      <c r="G185" s="1018"/>
      <c r="H185" s="1018"/>
      <c r="I185" s="1018"/>
      <c r="J185" s="198" t="s">
        <v>127</v>
      </c>
      <c r="K185" s="38">
        <v>6.292</v>
      </c>
      <c r="L185" s="21"/>
      <c r="M185" s="105"/>
      <c r="N185" s="994">
        <f t="shared" si="8"/>
        <v>0</v>
      </c>
      <c r="O185" s="994"/>
      <c r="P185" s="994"/>
      <c r="Q185" s="994"/>
    </row>
    <row r="186" spans="3:17" ht="31.5" customHeight="1">
      <c r="C186" s="565">
        <v>186</v>
      </c>
      <c r="D186" s="490"/>
      <c r="E186" s="511" t="s">
        <v>1875</v>
      </c>
      <c r="F186" s="947" t="s">
        <v>341</v>
      </c>
      <c r="G186" s="1018"/>
      <c r="H186" s="1018"/>
      <c r="I186" s="1018"/>
      <c r="J186" s="198" t="s">
        <v>127</v>
      </c>
      <c r="K186" s="38">
        <v>5.3952</v>
      </c>
      <c r="L186" s="21"/>
      <c r="M186" s="105"/>
      <c r="N186" s="994">
        <f t="shared" si="8"/>
        <v>0</v>
      </c>
      <c r="O186" s="994"/>
      <c r="P186" s="994"/>
      <c r="Q186" s="994"/>
    </row>
    <row r="187" spans="3:17" ht="31.5" customHeight="1">
      <c r="C187" s="195">
        <v>170</v>
      </c>
      <c r="D187" s="490"/>
      <c r="E187" s="511" t="s">
        <v>1876</v>
      </c>
      <c r="F187" s="947" t="s">
        <v>343</v>
      </c>
      <c r="G187" s="1018"/>
      <c r="H187" s="1018"/>
      <c r="I187" s="1018"/>
      <c r="J187" s="198" t="s">
        <v>127</v>
      </c>
      <c r="K187" s="38">
        <v>2.07</v>
      </c>
      <c r="L187" s="21"/>
      <c r="M187" s="105"/>
      <c r="N187" s="994">
        <f t="shared" si="8"/>
        <v>0</v>
      </c>
      <c r="O187" s="994"/>
      <c r="P187" s="994"/>
      <c r="Q187" s="994"/>
    </row>
    <row r="188" spans="3:17" ht="31.5" customHeight="1">
      <c r="C188" s="195">
        <v>198</v>
      </c>
      <c r="D188" s="490"/>
      <c r="E188" s="511" t="s">
        <v>1877</v>
      </c>
      <c r="F188" s="947" t="s">
        <v>344</v>
      </c>
      <c r="G188" s="1018"/>
      <c r="H188" s="1018"/>
      <c r="I188" s="1018"/>
      <c r="J188" s="198" t="s">
        <v>127</v>
      </c>
      <c r="K188" s="38">
        <v>23.048000000000002</v>
      </c>
      <c r="L188" s="21"/>
      <c r="M188" s="105"/>
      <c r="N188" s="994">
        <f t="shared" si="8"/>
        <v>0</v>
      </c>
      <c r="O188" s="994"/>
      <c r="P188" s="994"/>
      <c r="Q188" s="994"/>
    </row>
    <row r="189" spans="3:17" ht="31.5" customHeight="1">
      <c r="C189" s="195">
        <v>187</v>
      </c>
      <c r="D189" s="566"/>
      <c r="E189" s="511" t="s">
        <v>1878</v>
      </c>
      <c r="F189" s="960" t="s">
        <v>342</v>
      </c>
      <c r="G189" s="960"/>
      <c r="H189" s="960"/>
      <c r="I189" s="960"/>
      <c r="J189" s="94" t="s">
        <v>127</v>
      </c>
      <c r="K189" s="61">
        <v>176.0544</v>
      </c>
      <c r="L189" s="21"/>
      <c r="M189" s="105"/>
      <c r="N189" s="994">
        <f t="shared" si="8"/>
        <v>0</v>
      </c>
      <c r="O189" s="994"/>
      <c r="P189" s="994"/>
      <c r="Q189" s="994"/>
    </row>
    <row r="190" spans="3:17" ht="31.5" customHeight="1">
      <c r="C190" s="195">
        <v>196</v>
      </c>
      <c r="D190" s="195"/>
      <c r="E190" s="511" t="s">
        <v>1879</v>
      </c>
      <c r="F190" s="960" t="s">
        <v>1799</v>
      </c>
      <c r="G190" s="960"/>
      <c r="H190" s="960"/>
      <c r="I190" s="960"/>
      <c r="J190" s="102" t="s">
        <v>127</v>
      </c>
      <c r="K190" s="43">
        <v>40.1</v>
      </c>
      <c r="L190" s="21"/>
      <c r="M190" s="105"/>
      <c r="N190" s="994">
        <f t="shared" si="8"/>
        <v>0</v>
      </c>
      <c r="O190" s="994"/>
      <c r="P190" s="994"/>
      <c r="Q190" s="994"/>
    </row>
    <row r="191" spans="3:17" ht="31.5" customHeight="1">
      <c r="C191" s="550" t="s">
        <v>899</v>
      </c>
      <c r="D191" s="559"/>
      <c r="E191" s="511" t="s">
        <v>1880</v>
      </c>
      <c r="F191" s="999" t="s">
        <v>247</v>
      </c>
      <c r="G191" s="999"/>
      <c r="H191" s="999"/>
      <c r="I191" s="999"/>
      <c r="J191" s="102" t="s">
        <v>131</v>
      </c>
      <c r="K191" s="44">
        <v>1</v>
      </c>
      <c r="L191" s="21"/>
      <c r="M191" s="105"/>
      <c r="N191" s="994">
        <f t="shared" si="8"/>
        <v>0</v>
      </c>
      <c r="O191" s="994"/>
      <c r="P191" s="994"/>
      <c r="Q191" s="994"/>
    </row>
    <row r="192" spans="3:30" ht="31.5" customHeight="1">
      <c r="C192" s="195" t="s">
        <v>900</v>
      </c>
      <c r="D192" s="195"/>
      <c r="E192" s="511" t="s">
        <v>1881</v>
      </c>
      <c r="F192" s="954" t="s">
        <v>206</v>
      </c>
      <c r="G192" s="954"/>
      <c r="H192" s="954"/>
      <c r="I192" s="954"/>
      <c r="J192" s="103" t="s">
        <v>2227</v>
      </c>
      <c r="K192" s="45">
        <v>1</v>
      </c>
      <c r="L192" s="36"/>
      <c r="M192" s="561"/>
      <c r="N192" s="1009">
        <f t="shared" si="8"/>
        <v>0</v>
      </c>
      <c r="O192" s="1009"/>
      <c r="P192" s="1009"/>
      <c r="Q192" s="1009"/>
      <c r="AD192" s="562"/>
    </row>
    <row r="193" spans="3:30" ht="31.5" customHeight="1">
      <c r="C193" s="550" t="s">
        <v>901</v>
      </c>
      <c r="D193" s="195"/>
      <c r="E193" s="511" t="s">
        <v>1882</v>
      </c>
      <c r="F193" s="954" t="s">
        <v>2226</v>
      </c>
      <c r="G193" s="954"/>
      <c r="H193" s="954"/>
      <c r="I193" s="954"/>
      <c r="J193" s="103" t="s">
        <v>2227</v>
      </c>
      <c r="K193" s="45">
        <v>1</v>
      </c>
      <c r="L193" s="36"/>
      <c r="M193" s="561"/>
      <c r="N193" s="1009">
        <f t="shared" si="8"/>
        <v>0</v>
      </c>
      <c r="O193" s="1009"/>
      <c r="P193" s="1009"/>
      <c r="Q193" s="1009"/>
      <c r="AD193" s="562"/>
    </row>
    <row r="194" spans="3:17" ht="31.5" customHeight="1">
      <c r="C194" s="547"/>
      <c r="D194" s="564" t="s">
        <v>345</v>
      </c>
      <c r="E194" s="105"/>
      <c r="F194" s="105"/>
      <c r="G194" s="105"/>
      <c r="H194" s="105"/>
      <c r="I194" s="105"/>
      <c r="J194" s="548"/>
      <c r="K194" s="65"/>
      <c r="L194" s="532"/>
      <c r="M194" s="105"/>
      <c r="N194" s="481"/>
      <c r="O194" s="482"/>
      <c r="P194" s="482"/>
      <c r="Q194" s="482"/>
    </row>
    <row r="195" spans="3:17" ht="44.25" customHeight="1">
      <c r="C195" s="195" t="s">
        <v>1426</v>
      </c>
      <c r="D195" s="490"/>
      <c r="E195" s="511" t="s">
        <v>1884</v>
      </c>
      <c r="F195" s="995" t="s">
        <v>364</v>
      </c>
      <c r="G195" s="996"/>
      <c r="H195" s="996"/>
      <c r="I195" s="997"/>
      <c r="J195" s="94" t="s">
        <v>127</v>
      </c>
      <c r="K195" s="61">
        <v>101.2</v>
      </c>
      <c r="L195" s="21"/>
      <c r="M195" s="105"/>
      <c r="N195" s="994">
        <f aca="true" t="shared" si="9" ref="N195:N216">ROUND(L195*K195,2)</f>
        <v>0</v>
      </c>
      <c r="O195" s="994"/>
      <c r="P195" s="994"/>
      <c r="Q195" s="994"/>
    </row>
    <row r="196" spans="3:17" ht="31.5" customHeight="1">
      <c r="C196" s="195" t="s">
        <v>1427</v>
      </c>
      <c r="D196" s="490"/>
      <c r="E196" s="511" t="s">
        <v>1885</v>
      </c>
      <c r="F196" s="1033" t="s">
        <v>365</v>
      </c>
      <c r="G196" s="1033"/>
      <c r="H196" s="1033"/>
      <c r="I196" s="1033"/>
      <c r="J196" s="567" t="s">
        <v>198</v>
      </c>
      <c r="K196" s="69">
        <v>331.30952380952385</v>
      </c>
      <c r="L196" s="28"/>
      <c r="M196" s="105"/>
      <c r="N196" s="1008">
        <f t="shared" si="9"/>
        <v>0</v>
      </c>
      <c r="O196" s="1008"/>
      <c r="P196" s="1008"/>
      <c r="Q196" s="1008"/>
    </row>
    <row r="197" spans="3:17" ht="31.5" customHeight="1">
      <c r="C197" s="195" t="s">
        <v>1428</v>
      </c>
      <c r="D197" s="490"/>
      <c r="E197" s="511" t="s">
        <v>1886</v>
      </c>
      <c r="F197" s="1019" t="s">
        <v>977</v>
      </c>
      <c r="G197" s="1020"/>
      <c r="H197" s="1020"/>
      <c r="I197" s="1021"/>
      <c r="J197" s="568" t="s">
        <v>129</v>
      </c>
      <c r="K197" s="42">
        <v>10.120000000000001</v>
      </c>
      <c r="L197" s="21"/>
      <c r="M197" s="105"/>
      <c r="N197" s="994">
        <f t="shared" si="9"/>
        <v>0</v>
      </c>
      <c r="O197" s="994"/>
      <c r="P197" s="994"/>
      <c r="Q197" s="994"/>
    </row>
    <row r="198" spans="3:17" ht="31.5" customHeight="1">
      <c r="C198" s="195" t="s">
        <v>1429</v>
      </c>
      <c r="D198" s="490"/>
      <c r="E198" s="511" t="s">
        <v>1887</v>
      </c>
      <c r="F198" s="1001" t="s">
        <v>2205</v>
      </c>
      <c r="G198" s="1002"/>
      <c r="H198" s="1002"/>
      <c r="I198" s="1003"/>
      <c r="J198" s="567" t="s">
        <v>129</v>
      </c>
      <c r="K198" s="40">
        <v>11.132000000000001</v>
      </c>
      <c r="L198" s="21"/>
      <c r="M198" s="105"/>
      <c r="N198" s="994">
        <f t="shared" si="9"/>
        <v>0</v>
      </c>
      <c r="O198" s="994"/>
      <c r="P198" s="994"/>
      <c r="Q198" s="994"/>
    </row>
    <row r="199" spans="3:17" ht="31.5" customHeight="1">
      <c r="C199" s="195" t="s">
        <v>1430</v>
      </c>
      <c r="D199" s="490"/>
      <c r="E199" s="511" t="s">
        <v>1888</v>
      </c>
      <c r="F199" s="947" t="s">
        <v>367</v>
      </c>
      <c r="G199" s="1018"/>
      <c r="H199" s="1018"/>
      <c r="I199" s="1018"/>
      <c r="J199" s="198" t="s">
        <v>127</v>
      </c>
      <c r="K199" s="38">
        <v>93.3</v>
      </c>
      <c r="L199" s="21"/>
      <c r="M199" s="105"/>
      <c r="N199" s="994">
        <f t="shared" si="9"/>
        <v>0</v>
      </c>
      <c r="O199" s="994"/>
      <c r="P199" s="994"/>
      <c r="Q199" s="994"/>
    </row>
    <row r="200" spans="3:17" ht="31.5" customHeight="1">
      <c r="C200" s="195" t="s">
        <v>1431</v>
      </c>
      <c r="D200" s="490"/>
      <c r="E200" s="511" t="s">
        <v>1889</v>
      </c>
      <c r="F200" s="1000" t="s">
        <v>357</v>
      </c>
      <c r="G200" s="1000"/>
      <c r="H200" s="1000"/>
      <c r="I200" s="1000"/>
      <c r="J200" s="101" t="s">
        <v>129</v>
      </c>
      <c r="K200" s="40">
        <v>6.67095</v>
      </c>
      <c r="L200" s="28"/>
      <c r="M200" s="105"/>
      <c r="N200" s="1008">
        <f t="shared" si="9"/>
        <v>0</v>
      </c>
      <c r="O200" s="1008"/>
      <c r="P200" s="1008"/>
      <c r="Q200" s="1008"/>
    </row>
    <row r="201" spans="3:17" ht="31.5" customHeight="1">
      <c r="C201" s="195" t="s">
        <v>1432</v>
      </c>
      <c r="D201" s="490"/>
      <c r="E201" s="511" t="s">
        <v>1890</v>
      </c>
      <c r="F201" s="1005" t="s">
        <v>369</v>
      </c>
      <c r="G201" s="1006"/>
      <c r="H201" s="1006"/>
      <c r="I201" s="1007"/>
      <c r="J201" s="101" t="s">
        <v>338</v>
      </c>
      <c r="K201" s="40">
        <v>0.33961199999999997</v>
      </c>
      <c r="L201" s="28"/>
      <c r="M201" s="105"/>
      <c r="N201" s="1008">
        <f t="shared" si="9"/>
        <v>0</v>
      </c>
      <c r="O201" s="1008"/>
      <c r="P201" s="1008"/>
      <c r="Q201" s="1008"/>
    </row>
    <row r="202" spans="3:17" ht="31.5" customHeight="1">
      <c r="C202" s="195" t="s">
        <v>1433</v>
      </c>
      <c r="D202" s="490"/>
      <c r="E202" s="511" t="s">
        <v>1891</v>
      </c>
      <c r="F202" s="960" t="s">
        <v>366</v>
      </c>
      <c r="G202" s="960"/>
      <c r="H202" s="960"/>
      <c r="I202" s="960"/>
      <c r="J202" s="94" t="s">
        <v>127</v>
      </c>
      <c r="K202" s="61">
        <v>154.7</v>
      </c>
      <c r="L202" s="21"/>
      <c r="M202" s="105"/>
      <c r="N202" s="994">
        <f t="shared" si="9"/>
        <v>0</v>
      </c>
      <c r="O202" s="994"/>
      <c r="P202" s="994"/>
      <c r="Q202" s="994"/>
    </row>
    <row r="203" spans="3:17" ht="31.5" customHeight="1">
      <c r="C203" s="195" t="s">
        <v>1434</v>
      </c>
      <c r="D203" s="490"/>
      <c r="E203" s="511" t="s">
        <v>1892</v>
      </c>
      <c r="F203" s="1005" t="s">
        <v>1883</v>
      </c>
      <c r="G203" s="1006"/>
      <c r="H203" s="1006"/>
      <c r="I203" s="1007"/>
      <c r="J203" s="101" t="s">
        <v>127</v>
      </c>
      <c r="K203" s="40">
        <v>170.17</v>
      </c>
      <c r="L203" s="28"/>
      <c r="M203" s="105"/>
      <c r="N203" s="1008">
        <f t="shared" si="9"/>
        <v>0</v>
      </c>
      <c r="O203" s="1008"/>
      <c r="P203" s="1008"/>
      <c r="Q203" s="1008"/>
    </row>
    <row r="204" spans="3:17" ht="31.5" customHeight="1">
      <c r="C204" s="195" t="s">
        <v>1435</v>
      </c>
      <c r="D204" s="490"/>
      <c r="E204" s="511" t="s">
        <v>1893</v>
      </c>
      <c r="F204" s="960" t="s">
        <v>384</v>
      </c>
      <c r="G204" s="960"/>
      <c r="H204" s="960"/>
      <c r="I204" s="960"/>
      <c r="J204" s="94" t="s">
        <v>127</v>
      </c>
      <c r="K204" s="61">
        <v>120.7</v>
      </c>
      <c r="L204" s="21"/>
      <c r="M204" s="105"/>
      <c r="N204" s="994">
        <f t="shared" si="9"/>
        <v>0</v>
      </c>
      <c r="O204" s="994"/>
      <c r="P204" s="994"/>
      <c r="Q204" s="994"/>
    </row>
    <row r="205" spans="3:17" ht="31.5" customHeight="1">
      <c r="C205" s="195" t="s">
        <v>1436</v>
      </c>
      <c r="D205" s="490"/>
      <c r="E205" s="511" t="s">
        <v>1894</v>
      </c>
      <c r="F205" s="1005" t="s">
        <v>2207</v>
      </c>
      <c r="G205" s="1006"/>
      <c r="H205" s="1006"/>
      <c r="I205" s="1007"/>
      <c r="J205" s="101" t="s">
        <v>127</v>
      </c>
      <c r="K205" s="40">
        <v>132.77</v>
      </c>
      <c r="L205" s="28"/>
      <c r="M205" s="105"/>
      <c r="N205" s="1008">
        <f t="shared" si="9"/>
        <v>0</v>
      </c>
      <c r="O205" s="1008"/>
      <c r="P205" s="1008"/>
      <c r="Q205" s="1008"/>
    </row>
    <row r="206" spans="3:17" ht="31.5" customHeight="1">
      <c r="C206" s="195" t="s">
        <v>1437</v>
      </c>
      <c r="D206" s="490"/>
      <c r="E206" s="511" t="s">
        <v>1895</v>
      </c>
      <c r="F206" s="960" t="s">
        <v>902</v>
      </c>
      <c r="G206" s="960"/>
      <c r="H206" s="960"/>
      <c r="I206" s="960"/>
      <c r="J206" s="94" t="s">
        <v>127</v>
      </c>
      <c r="K206" s="61">
        <v>112.25</v>
      </c>
      <c r="L206" s="21"/>
      <c r="M206" s="105"/>
      <c r="N206" s="994">
        <f t="shared" si="9"/>
        <v>0</v>
      </c>
      <c r="O206" s="994"/>
      <c r="P206" s="994"/>
      <c r="Q206" s="994"/>
    </row>
    <row r="207" spans="3:17" ht="31.5" customHeight="1">
      <c r="C207" s="195" t="s">
        <v>1438</v>
      </c>
      <c r="D207" s="490"/>
      <c r="E207" s="511" t="s">
        <v>1896</v>
      </c>
      <c r="F207" s="1005" t="s">
        <v>2208</v>
      </c>
      <c r="G207" s="1006"/>
      <c r="H207" s="1006"/>
      <c r="I207" s="1007"/>
      <c r="J207" s="101" t="s">
        <v>127</v>
      </c>
      <c r="K207" s="40">
        <v>123.47500000000001</v>
      </c>
      <c r="L207" s="28"/>
      <c r="M207" s="105"/>
      <c r="N207" s="1008">
        <f t="shared" si="9"/>
        <v>0</v>
      </c>
      <c r="O207" s="1008"/>
      <c r="P207" s="1008"/>
      <c r="Q207" s="1008"/>
    </row>
    <row r="208" spans="3:17" ht="31.5" customHeight="1">
      <c r="C208" s="195" t="s">
        <v>1439</v>
      </c>
      <c r="D208" s="490"/>
      <c r="E208" s="511" t="s">
        <v>1897</v>
      </c>
      <c r="F208" s="960" t="s">
        <v>379</v>
      </c>
      <c r="G208" s="960"/>
      <c r="H208" s="960"/>
      <c r="I208" s="960"/>
      <c r="J208" s="94" t="s">
        <v>127</v>
      </c>
      <c r="K208" s="38">
        <v>45.900000000000006</v>
      </c>
      <c r="L208" s="21"/>
      <c r="M208" s="105"/>
      <c r="N208" s="994">
        <f t="shared" si="9"/>
        <v>0</v>
      </c>
      <c r="O208" s="994"/>
      <c r="P208" s="994"/>
      <c r="Q208" s="994"/>
    </row>
    <row r="209" spans="3:17" ht="31.5" customHeight="1">
      <c r="C209" s="195" t="s">
        <v>1440</v>
      </c>
      <c r="D209" s="490"/>
      <c r="E209" s="511" t="s">
        <v>1898</v>
      </c>
      <c r="F209" s="1005" t="s">
        <v>2209</v>
      </c>
      <c r="G209" s="1006"/>
      <c r="H209" s="1006"/>
      <c r="I209" s="1007"/>
      <c r="J209" s="101" t="s">
        <v>127</v>
      </c>
      <c r="K209" s="40">
        <v>50.49000000000001</v>
      </c>
      <c r="L209" s="28"/>
      <c r="M209" s="105"/>
      <c r="N209" s="1008">
        <f t="shared" si="9"/>
        <v>0</v>
      </c>
      <c r="O209" s="1008"/>
      <c r="P209" s="1008"/>
      <c r="Q209" s="1008"/>
    </row>
    <row r="210" spans="3:17" ht="31.5" customHeight="1">
      <c r="C210" s="195" t="s">
        <v>1441</v>
      </c>
      <c r="D210" s="490"/>
      <c r="E210" s="511" t="s">
        <v>1899</v>
      </c>
      <c r="F210" s="960" t="s">
        <v>383</v>
      </c>
      <c r="G210" s="960"/>
      <c r="H210" s="960"/>
      <c r="I210" s="960"/>
      <c r="J210" s="94" t="s">
        <v>127</v>
      </c>
      <c r="K210" s="61">
        <v>143.68</v>
      </c>
      <c r="L210" s="21"/>
      <c r="M210" s="105"/>
      <c r="N210" s="994">
        <f t="shared" si="9"/>
        <v>0</v>
      </c>
      <c r="O210" s="994"/>
      <c r="P210" s="994"/>
      <c r="Q210" s="994"/>
    </row>
    <row r="211" spans="3:17" ht="31.5" customHeight="1">
      <c r="C211" s="195" t="s">
        <v>1442</v>
      </c>
      <c r="D211" s="490"/>
      <c r="E211" s="511" t="s">
        <v>1900</v>
      </c>
      <c r="F211" s="1005" t="s">
        <v>2210</v>
      </c>
      <c r="G211" s="1006"/>
      <c r="H211" s="1006"/>
      <c r="I211" s="1007"/>
      <c r="J211" s="101" t="s">
        <v>127</v>
      </c>
      <c r="K211" s="70">
        <v>158.04800000000003</v>
      </c>
      <c r="L211" s="28"/>
      <c r="M211" s="105"/>
      <c r="N211" s="1008">
        <f t="shared" si="9"/>
        <v>0</v>
      </c>
      <c r="O211" s="1008"/>
      <c r="P211" s="1008"/>
      <c r="Q211" s="1008"/>
    </row>
    <row r="212" spans="3:17" ht="31.5" customHeight="1">
      <c r="C212" s="195" t="s">
        <v>1443</v>
      </c>
      <c r="D212" s="490"/>
      <c r="E212" s="511" t="s">
        <v>1901</v>
      </c>
      <c r="F212" s="960" t="s">
        <v>382</v>
      </c>
      <c r="G212" s="960"/>
      <c r="H212" s="960"/>
      <c r="I212" s="960"/>
      <c r="J212" s="94" t="s">
        <v>127</v>
      </c>
      <c r="K212" s="61">
        <v>32.65</v>
      </c>
      <c r="L212" s="21"/>
      <c r="M212" s="105"/>
      <c r="N212" s="994">
        <f t="shared" si="9"/>
        <v>0</v>
      </c>
      <c r="O212" s="994"/>
      <c r="P212" s="994"/>
      <c r="Q212" s="994"/>
    </row>
    <row r="213" spans="3:17" ht="31.5" customHeight="1">
      <c r="C213" s="195" t="s">
        <v>1444</v>
      </c>
      <c r="D213" s="490"/>
      <c r="E213" s="511" t="s">
        <v>1902</v>
      </c>
      <c r="F213" s="1005" t="s">
        <v>2211</v>
      </c>
      <c r="G213" s="1006"/>
      <c r="H213" s="1006"/>
      <c r="I213" s="1007"/>
      <c r="J213" s="101" t="s">
        <v>127</v>
      </c>
      <c r="K213" s="40">
        <v>35.915</v>
      </c>
      <c r="L213" s="28"/>
      <c r="M213" s="105"/>
      <c r="N213" s="1008">
        <f t="shared" si="9"/>
        <v>0</v>
      </c>
      <c r="O213" s="1008"/>
      <c r="P213" s="1008"/>
      <c r="Q213" s="1008"/>
    </row>
    <row r="214" spans="3:17" ht="31.5" customHeight="1">
      <c r="C214" s="195" t="s">
        <v>1445</v>
      </c>
      <c r="D214" s="490"/>
      <c r="E214" s="511" t="s">
        <v>1903</v>
      </c>
      <c r="F214" s="999" t="s">
        <v>368</v>
      </c>
      <c r="G214" s="999"/>
      <c r="H214" s="999"/>
      <c r="I214" s="999"/>
      <c r="J214" s="102" t="s">
        <v>127</v>
      </c>
      <c r="K214" s="43">
        <v>577.23</v>
      </c>
      <c r="L214" s="21"/>
      <c r="M214" s="105"/>
      <c r="N214" s="994">
        <f t="shared" si="9"/>
        <v>0</v>
      </c>
      <c r="O214" s="994"/>
      <c r="P214" s="994"/>
      <c r="Q214" s="994"/>
    </row>
    <row r="215" spans="3:17" ht="31.5" customHeight="1">
      <c r="C215" s="195" t="s">
        <v>1446</v>
      </c>
      <c r="D215" s="490"/>
      <c r="E215" s="511" t="s">
        <v>1904</v>
      </c>
      <c r="F215" s="1000" t="s">
        <v>370</v>
      </c>
      <c r="G215" s="1000"/>
      <c r="H215" s="1000"/>
      <c r="I215" s="1000"/>
      <c r="J215" s="101" t="s">
        <v>129</v>
      </c>
      <c r="K215" s="40">
        <v>38.09718</v>
      </c>
      <c r="L215" s="28"/>
      <c r="M215" s="105"/>
      <c r="N215" s="1008">
        <f t="shared" si="9"/>
        <v>0</v>
      </c>
      <c r="O215" s="1008"/>
      <c r="P215" s="1008"/>
      <c r="Q215" s="1008"/>
    </row>
    <row r="216" spans="3:17" ht="31.5" customHeight="1">
      <c r="C216" s="195" t="s">
        <v>1447</v>
      </c>
      <c r="D216" s="490"/>
      <c r="E216" s="511" t="s">
        <v>1905</v>
      </c>
      <c r="F216" s="960" t="s">
        <v>372</v>
      </c>
      <c r="G216" s="960"/>
      <c r="H216" s="960"/>
      <c r="I216" s="960"/>
      <c r="J216" s="94" t="s">
        <v>127</v>
      </c>
      <c r="K216" s="61">
        <v>577.23</v>
      </c>
      <c r="L216" s="21"/>
      <c r="M216" s="105"/>
      <c r="N216" s="994">
        <f t="shared" si="9"/>
        <v>0</v>
      </c>
      <c r="O216" s="994"/>
      <c r="P216" s="994"/>
      <c r="Q216" s="994"/>
    </row>
    <row r="217" spans="3:17" ht="31.5" customHeight="1">
      <c r="C217" s="195" t="s">
        <v>1448</v>
      </c>
      <c r="D217" s="490"/>
      <c r="E217" s="511" t="s">
        <v>1906</v>
      </c>
      <c r="F217" s="1000" t="s">
        <v>371</v>
      </c>
      <c r="G217" s="1000"/>
      <c r="H217" s="1000"/>
      <c r="I217" s="1000"/>
      <c r="J217" s="101" t="s">
        <v>373</v>
      </c>
      <c r="K217" s="40">
        <v>126.99060000000001</v>
      </c>
      <c r="L217" s="28"/>
      <c r="M217" s="105"/>
      <c r="N217" s="1008">
        <f>ROUND(L217*K217,2)</f>
        <v>0</v>
      </c>
      <c r="O217" s="1008"/>
      <c r="P217" s="1008"/>
      <c r="Q217" s="1008"/>
    </row>
    <row r="218" spans="3:17" ht="31.5" customHeight="1">
      <c r="C218" s="195" t="s">
        <v>1449</v>
      </c>
      <c r="D218" s="490"/>
      <c r="E218" s="511" t="s">
        <v>1907</v>
      </c>
      <c r="F218" s="960" t="s">
        <v>380</v>
      </c>
      <c r="G218" s="960"/>
      <c r="H218" s="960"/>
      <c r="I218" s="960"/>
      <c r="J218" s="94" t="s">
        <v>127</v>
      </c>
      <c r="K218" s="61">
        <v>118.85</v>
      </c>
      <c r="L218" s="21"/>
      <c r="M218" s="105"/>
      <c r="N218" s="994">
        <f aca="true" t="shared" si="10" ref="N218:N232">ROUND(L218*K218,2)</f>
        <v>0</v>
      </c>
      <c r="O218" s="994"/>
      <c r="P218" s="994"/>
      <c r="Q218" s="994"/>
    </row>
    <row r="219" spans="3:17" ht="31.5" customHeight="1">
      <c r="C219" s="195" t="s">
        <v>1450</v>
      </c>
      <c r="D219" s="490"/>
      <c r="E219" s="511" t="s">
        <v>1908</v>
      </c>
      <c r="F219" s="995" t="s">
        <v>381</v>
      </c>
      <c r="G219" s="996"/>
      <c r="H219" s="996"/>
      <c r="I219" s="997"/>
      <c r="J219" s="94" t="s">
        <v>127</v>
      </c>
      <c r="K219" s="61">
        <v>7.337</v>
      </c>
      <c r="L219" s="21"/>
      <c r="M219" s="105"/>
      <c r="N219" s="994">
        <f t="shared" si="10"/>
        <v>0</v>
      </c>
      <c r="O219" s="994"/>
      <c r="P219" s="994"/>
      <c r="Q219" s="994"/>
    </row>
    <row r="220" spans="3:17" ht="31.5" customHeight="1">
      <c r="C220" s="195" t="s">
        <v>1451</v>
      </c>
      <c r="D220" s="490"/>
      <c r="E220" s="511" t="s">
        <v>1909</v>
      </c>
      <c r="F220" s="1000" t="s">
        <v>374</v>
      </c>
      <c r="G220" s="1000"/>
      <c r="H220" s="1000"/>
      <c r="I220" s="1000"/>
      <c r="J220" s="101" t="s">
        <v>127</v>
      </c>
      <c r="K220" s="40">
        <v>138.8057</v>
      </c>
      <c r="L220" s="27"/>
      <c r="M220" s="105"/>
      <c r="N220" s="1008">
        <f t="shared" si="10"/>
        <v>0</v>
      </c>
      <c r="O220" s="1008"/>
      <c r="P220" s="1008"/>
      <c r="Q220" s="1008"/>
    </row>
    <row r="221" spans="3:17" ht="31.5" customHeight="1">
      <c r="C221" s="195" t="s">
        <v>1452</v>
      </c>
      <c r="D221" s="490"/>
      <c r="E221" s="511" t="s">
        <v>1910</v>
      </c>
      <c r="F221" s="999" t="s">
        <v>978</v>
      </c>
      <c r="G221" s="999"/>
      <c r="H221" s="999"/>
      <c r="I221" s="999"/>
      <c r="J221" s="102" t="s">
        <v>133</v>
      </c>
      <c r="K221" s="43">
        <v>155.81</v>
      </c>
      <c r="L221" s="24"/>
      <c r="M221" s="105"/>
      <c r="N221" s="994">
        <f t="shared" si="10"/>
        <v>0</v>
      </c>
      <c r="O221" s="994"/>
      <c r="P221" s="994"/>
      <c r="Q221" s="994"/>
    </row>
    <row r="222" spans="3:17" ht="31.5" customHeight="1">
      <c r="C222" s="195" t="s">
        <v>1453</v>
      </c>
      <c r="D222" s="490"/>
      <c r="E222" s="511" t="s">
        <v>1911</v>
      </c>
      <c r="F222" s="999" t="s">
        <v>979</v>
      </c>
      <c r="G222" s="999"/>
      <c r="H222" s="999"/>
      <c r="I222" s="999"/>
      <c r="J222" s="102" t="s">
        <v>133</v>
      </c>
      <c r="K222" s="43">
        <v>77.905</v>
      </c>
      <c r="L222" s="24"/>
      <c r="M222" s="105"/>
      <c r="N222" s="994">
        <f t="shared" si="10"/>
        <v>0</v>
      </c>
      <c r="O222" s="994"/>
      <c r="P222" s="994"/>
      <c r="Q222" s="994"/>
    </row>
    <row r="223" spans="3:17" ht="31.5" customHeight="1">
      <c r="C223" s="195" t="s">
        <v>1454</v>
      </c>
      <c r="D223" s="490"/>
      <c r="E223" s="511" t="s">
        <v>1912</v>
      </c>
      <c r="F223" s="999" t="s">
        <v>375</v>
      </c>
      <c r="G223" s="999"/>
      <c r="H223" s="999"/>
      <c r="I223" s="999"/>
      <c r="J223" s="102" t="s">
        <v>127</v>
      </c>
      <c r="K223" s="61">
        <v>118.85</v>
      </c>
      <c r="L223" s="21"/>
      <c r="M223" s="105"/>
      <c r="N223" s="994">
        <f t="shared" si="10"/>
        <v>0</v>
      </c>
      <c r="O223" s="994"/>
      <c r="P223" s="994"/>
      <c r="Q223" s="994"/>
    </row>
    <row r="224" spans="3:17" ht="31.5" customHeight="1">
      <c r="C224" s="195" t="s">
        <v>1455</v>
      </c>
      <c r="D224" s="490"/>
      <c r="E224" s="511" t="s">
        <v>1913</v>
      </c>
      <c r="F224" s="947" t="s">
        <v>376</v>
      </c>
      <c r="G224" s="947"/>
      <c r="H224" s="947"/>
      <c r="I224" s="947"/>
      <c r="J224" s="198" t="s">
        <v>127</v>
      </c>
      <c r="K224" s="43">
        <v>551.95</v>
      </c>
      <c r="L224" s="21"/>
      <c r="M224" s="105"/>
      <c r="N224" s="994">
        <f t="shared" si="10"/>
        <v>0</v>
      </c>
      <c r="O224" s="994"/>
      <c r="P224" s="994"/>
      <c r="Q224" s="994"/>
    </row>
    <row r="225" spans="3:17" ht="31.5" customHeight="1">
      <c r="C225" s="195" t="s">
        <v>1456</v>
      </c>
      <c r="D225" s="490"/>
      <c r="E225" s="511" t="s">
        <v>1914</v>
      </c>
      <c r="F225" s="1033" t="s">
        <v>377</v>
      </c>
      <c r="G225" s="1033"/>
      <c r="H225" s="1033"/>
      <c r="I225" s="1033"/>
      <c r="J225" s="567" t="s">
        <v>127</v>
      </c>
      <c r="K225" s="40">
        <v>607.1450000000001</v>
      </c>
      <c r="L225" s="28"/>
      <c r="M225" s="105"/>
      <c r="N225" s="1008">
        <f t="shared" si="10"/>
        <v>0</v>
      </c>
      <c r="O225" s="1008"/>
      <c r="P225" s="1008"/>
      <c r="Q225" s="1008"/>
    </row>
    <row r="226" spans="3:17" ht="31.5" customHeight="1">
      <c r="C226" s="195" t="s">
        <v>1457</v>
      </c>
      <c r="D226" s="490"/>
      <c r="E226" s="511" t="s">
        <v>1915</v>
      </c>
      <c r="F226" s="995" t="s">
        <v>980</v>
      </c>
      <c r="G226" s="996"/>
      <c r="H226" s="996"/>
      <c r="I226" s="997"/>
      <c r="J226" s="94" t="s">
        <v>133</v>
      </c>
      <c r="K226" s="61">
        <v>406.53999999999996</v>
      </c>
      <c r="L226" s="21"/>
      <c r="M226" s="105"/>
      <c r="N226" s="994">
        <f t="shared" si="10"/>
        <v>0</v>
      </c>
      <c r="O226" s="994"/>
      <c r="P226" s="994"/>
      <c r="Q226" s="994"/>
    </row>
    <row r="227" spans="3:17" ht="31.5" customHeight="1">
      <c r="C227" s="195" t="s">
        <v>1458</v>
      </c>
      <c r="D227" s="490"/>
      <c r="E227" s="511" t="s">
        <v>1916</v>
      </c>
      <c r="F227" s="1005" t="s">
        <v>981</v>
      </c>
      <c r="G227" s="1006"/>
      <c r="H227" s="1006"/>
      <c r="I227" s="1007"/>
      <c r="J227" s="101" t="s">
        <v>133</v>
      </c>
      <c r="K227" s="40">
        <v>447.194</v>
      </c>
      <c r="L227" s="27"/>
      <c r="M227" s="105"/>
      <c r="N227" s="998">
        <f t="shared" si="10"/>
        <v>0</v>
      </c>
      <c r="O227" s="998"/>
      <c r="P227" s="998"/>
      <c r="Q227" s="998"/>
    </row>
    <row r="228" spans="3:17" ht="31.5" customHeight="1">
      <c r="C228" s="195" t="s">
        <v>1459</v>
      </c>
      <c r="D228" s="490"/>
      <c r="E228" s="511" t="s">
        <v>1917</v>
      </c>
      <c r="F228" s="960" t="s">
        <v>378</v>
      </c>
      <c r="G228" s="960"/>
      <c r="H228" s="960"/>
      <c r="I228" s="960"/>
      <c r="J228" s="94" t="s">
        <v>133</v>
      </c>
      <c r="K228" s="61">
        <v>150.89999999999998</v>
      </c>
      <c r="L228" s="21"/>
      <c r="M228" s="105"/>
      <c r="N228" s="994">
        <f t="shared" si="10"/>
        <v>0</v>
      </c>
      <c r="O228" s="994"/>
      <c r="P228" s="994"/>
      <c r="Q228" s="994"/>
    </row>
    <row r="229" spans="3:17" ht="31.5" customHeight="1">
      <c r="C229" s="195" t="s">
        <v>1460</v>
      </c>
      <c r="D229" s="490"/>
      <c r="E229" s="511" t="s">
        <v>1918</v>
      </c>
      <c r="F229" s="960" t="s">
        <v>905</v>
      </c>
      <c r="G229" s="960"/>
      <c r="H229" s="960"/>
      <c r="I229" s="960"/>
      <c r="J229" s="94" t="s">
        <v>127</v>
      </c>
      <c r="K229" s="61">
        <v>4</v>
      </c>
      <c r="L229" s="21"/>
      <c r="M229" s="105"/>
      <c r="N229" s="994">
        <f t="shared" si="10"/>
        <v>0</v>
      </c>
      <c r="O229" s="994"/>
      <c r="P229" s="994"/>
      <c r="Q229" s="994"/>
    </row>
    <row r="230" spans="3:17" ht="31.5" customHeight="1">
      <c r="C230" s="195" t="s">
        <v>1461</v>
      </c>
      <c r="D230" s="490"/>
      <c r="E230" s="511" t="s">
        <v>1919</v>
      </c>
      <c r="F230" s="1000" t="s">
        <v>904</v>
      </c>
      <c r="G230" s="1000"/>
      <c r="H230" s="1000"/>
      <c r="I230" s="1000"/>
      <c r="J230" s="101" t="s">
        <v>127</v>
      </c>
      <c r="K230" s="40">
        <v>4.4</v>
      </c>
      <c r="L230" s="28"/>
      <c r="M230" s="105"/>
      <c r="N230" s="1008">
        <f t="shared" si="10"/>
        <v>0</v>
      </c>
      <c r="O230" s="1008"/>
      <c r="P230" s="1008"/>
      <c r="Q230" s="1008"/>
    </row>
    <row r="231" spans="3:17" ht="31.5" customHeight="1">
      <c r="C231" s="195" t="s">
        <v>1462</v>
      </c>
      <c r="D231" s="490"/>
      <c r="E231" s="511" t="s">
        <v>1920</v>
      </c>
      <c r="F231" s="960" t="s">
        <v>903</v>
      </c>
      <c r="G231" s="960"/>
      <c r="H231" s="960"/>
      <c r="I231" s="960"/>
      <c r="J231" s="94" t="s">
        <v>127</v>
      </c>
      <c r="K231" s="61">
        <v>370.4</v>
      </c>
      <c r="L231" s="21"/>
      <c r="M231" s="105"/>
      <c r="N231" s="994">
        <f t="shared" si="10"/>
        <v>0</v>
      </c>
      <c r="O231" s="994"/>
      <c r="P231" s="994"/>
      <c r="Q231" s="994"/>
    </row>
    <row r="232" spans="3:17" ht="31.5" customHeight="1">
      <c r="C232" s="195" t="s">
        <v>1463</v>
      </c>
      <c r="D232" s="490"/>
      <c r="E232" s="511" t="s">
        <v>1921</v>
      </c>
      <c r="F232" s="1000" t="s">
        <v>906</v>
      </c>
      <c r="G232" s="1000"/>
      <c r="H232" s="1000"/>
      <c r="I232" s="1000"/>
      <c r="J232" s="101" t="s">
        <v>127</v>
      </c>
      <c r="K232" s="40">
        <v>407.44</v>
      </c>
      <c r="L232" s="28"/>
      <c r="M232" s="105"/>
      <c r="N232" s="1008">
        <f t="shared" si="10"/>
        <v>0</v>
      </c>
      <c r="O232" s="1008"/>
      <c r="P232" s="1008"/>
      <c r="Q232" s="1008"/>
    </row>
    <row r="233" spans="3:17" ht="31.5" customHeight="1">
      <c r="C233" s="195" t="s">
        <v>1464</v>
      </c>
      <c r="D233" s="490"/>
      <c r="E233" s="511" t="s">
        <v>1922</v>
      </c>
      <c r="F233" s="999" t="s">
        <v>247</v>
      </c>
      <c r="G233" s="999"/>
      <c r="H233" s="999"/>
      <c r="I233" s="999"/>
      <c r="J233" s="102" t="s">
        <v>131</v>
      </c>
      <c r="K233" s="44">
        <v>1</v>
      </c>
      <c r="L233" s="21"/>
      <c r="M233" s="105"/>
      <c r="N233" s="994">
        <f>ROUND(L233*K233,2)</f>
        <v>0</v>
      </c>
      <c r="O233" s="994"/>
      <c r="P233" s="994"/>
      <c r="Q233" s="994"/>
    </row>
    <row r="234" spans="3:30" ht="31.5" customHeight="1">
      <c r="C234" s="195" t="s">
        <v>1465</v>
      </c>
      <c r="D234" s="490"/>
      <c r="E234" s="511" t="s">
        <v>1923</v>
      </c>
      <c r="F234" s="954" t="s">
        <v>206</v>
      </c>
      <c r="G234" s="954"/>
      <c r="H234" s="954"/>
      <c r="I234" s="954"/>
      <c r="J234" s="103" t="s">
        <v>2227</v>
      </c>
      <c r="K234" s="45">
        <v>1</v>
      </c>
      <c r="L234" s="36"/>
      <c r="M234" s="561"/>
      <c r="N234" s="1009">
        <f>ROUND(L234*K234,2)</f>
        <v>0</v>
      </c>
      <c r="O234" s="1009"/>
      <c r="P234" s="1009"/>
      <c r="Q234" s="1009"/>
      <c r="AD234" s="562"/>
    </row>
    <row r="235" spans="3:30" ht="31.5" customHeight="1">
      <c r="C235" s="195" t="s">
        <v>1466</v>
      </c>
      <c r="D235" s="490"/>
      <c r="E235" s="511" t="s">
        <v>1924</v>
      </c>
      <c r="F235" s="954" t="s">
        <v>2226</v>
      </c>
      <c r="G235" s="954"/>
      <c r="H235" s="954"/>
      <c r="I235" s="954"/>
      <c r="J235" s="103" t="s">
        <v>2227</v>
      </c>
      <c r="K235" s="45">
        <v>1</v>
      </c>
      <c r="L235" s="36"/>
      <c r="M235" s="561"/>
      <c r="N235" s="1009">
        <f>ROUND(L235*K235,2)</f>
        <v>0</v>
      </c>
      <c r="O235" s="1009"/>
      <c r="P235" s="1009"/>
      <c r="Q235" s="1009"/>
      <c r="AD235" s="562"/>
    </row>
    <row r="236" spans="3:17" ht="31.5" customHeight="1">
      <c r="C236" s="547"/>
      <c r="D236" s="564" t="s">
        <v>1800</v>
      </c>
      <c r="E236" s="105"/>
      <c r="F236" s="105"/>
      <c r="G236" s="105"/>
      <c r="H236" s="105"/>
      <c r="I236" s="105"/>
      <c r="J236" s="548"/>
      <c r="K236" s="65"/>
      <c r="L236" s="532"/>
      <c r="M236" s="105"/>
      <c r="N236" s="481"/>
      <c r="O236" s="482"/>
      <c r="P236" s="482"/>
      <c r="Q236" s="482"/>
    </row>
    <row r="237" spans="3:17" ht="31.5" customHeight="1">
      <c r="C237" s="565" t="s">
        <v>1467</v>
      </c>
      <c r="D237" s="565"/>
      <c r="E237" s="511" t="s">
        <v>1925</v>
      </c>
      <c r="F237" s="960" t="s">
        <v>385</v>
      </c>
      <c r="G237" s="960"/>
      <c r="H237" s="960"/>
      <c r="I237" s="960"/>
      <c r="J237" s="94" t="s">
        <v>127</v>
      </c>
      <c r="K237" s="61">
        <v>82.57</v>
      </c>
      <c r="L237" s="21"/>
      <c r="M237" s="105"/>
      <c r="N237" s="948">
        <f aca="true" t="shared" si="11" ref="N237:N242">ROUND(L237*K237,2)</f>
        <v>0</v>
      </c>
      <c r="O237" s="948"/>
      <c r="P237" s="948"/>
      <c r="Q237" s="948"/>
    </row>
    <row r="238" spans="3:17" ht="31.5" customHeight="1">
      <c r="C238" s="565" t="s">
        <v>1468</v>
      </c>
      <c r="D238" s="565"/>
      <c r="E238" s="511" t="s">
        <v>1926</v>
      </c>
      <c r="F238" s="999" t="s">
        <v>386</v>
      </c>
      <c r="G238" s="999"/>
      <c r="H238" s="999"/>
      <c r="I238" s="999"/>
      <c r="J238" s="102" t="s">
        <v>127</v>
      </c>
      <c r="K238" s="43">
        <v>82.57</v>
      </c>
      <c r="L238" s="21"/>
      <c r="M238" s="105"/>
      <c r="N238" s="948">
        <f t="shared" si="11"/>
        <v>0</v>
      </c>
      <c r="O238" s="948"/>
      <c r="P238" s="948"/>
      <c r="Q238" s="948"/>
    </row>
    <row r="239" spans="3:17" ht="31.5" customHeight="1">
      <c r="C239" s="565" t="s">
        <v>1469</v>
      </c>
      <c r="D239" s="552"/>
      <c r="E239" s="511" t="s">
        <v>1927</v>
      </c>
      <c r="F239" s="1000" t="s">
        <v>387</v>
      </c>
      <c r="G239" s="1000"/>
      <c r="H239" s="1000"/>
      <c r="I239" s="1000"/>
      <c r="J239" s="101" t="s">
        <v>127</v>
      </c>
      <c r="K239" s="40">
        <v>90.827</v>
      </c>
      <c r="L239" s="27"/>
      <c r="M239" s="105"/>
      <c r="N239" s="998">
        <f t="shared" si="11"/>
        <v>0</v>
      </c>
      <c r="O239" s="998"/>
      <c r="P239" s="998"/>
      <c r="Q239" s="998"/>
    </row>
    <row r="240" spans="3:17" ht="31.5" customHeight="1">
      <c r="C240" s="565" t="s">
        <v>1469</v>
      </c>
      <c r="D240" s="552"/>
      <c r="E240" s="511" t="s">
        <v>2189</v>
      </c>
      <c r="F240" s="1000" t="s">
        <v>2212</v>
      </c>
      <c r="G240" s="1000"/>
      <c r="H240" s="1000"/>
      <c r="I240" s="1000"/>
      <c r="J240" s="101" t="s">
        <v>127</v>
      </c>
      <c r="K240" s="40">
        <v>122.2</v>
      </c>
      <c r="L240" s="27"/>
      <c r="M240" s="105"/>
      <c r="N240" s="998">
        <f t="shared" si="11"/>
        <v>0</v>
      </c>
      <c r="O240" s="998"/>
      <c r="P240" s="998"/>
      <c r="Q240" s="998"/>
    </row>
    <row r="241" spans="3:17" ht="31.5" customHeight="1">
      <c r="C241" s="565" t="s">
        <v>1470</v>
      </c>
      <c r="D241" s="195"/>
      <c r="E241" s="511" t="s">
        <v>1928</v>
      </c>
      <c r="F241" s="954" t="s">
        <v>206</v>
      </c>
      <c r="G241" s="954"/>
      <c r="H241" s="954"/>
      <c r="I241" s="954"/>
      <c r="J241" s="103" t="s">
        <v>2227</v>
      </c>
      <c r="K241" s="45">
        <v>1</v>
      </c>
      <c r="L241" s="36"/>
      <c r="M241" s="561"/>
      <c r="N241" s="1009">
        <f t="shared" si="11"/>
        <v>0</v>
      </c>
      <c r="O241" s="1009"/>
      <c r="P241" s="1009"/>
      <c r="Q241" s="1009"/>
    </row>
    <row r="242" spans="3:37" ht="31.5" customHeight="1">
      <c r="C242" s="565" t="s">
        <v>1471</v>
      </c>
      <c r="D242" s="195"/>
      <c r="E242" s="511" t="s">
        <v>1929</v>
      </c>
      <c r="F242" s="954" t="s">
        <v>2226</v>
      </c>
      <c r="G242" s="954"/>
      <c r="H242" s="954"/>
      <c r="I242" s="954"/>
      <c r="J242" s="103" t="s">
        <v>2227</v>
      </c>
      <c r="K242" s="45">
        <v>1</v>
      </c>
      <c r="L242" s="36"/>
      <c r="M242" s="561"/>
      <c r="N242" s="1009">
        <f t="shared" si="11"/>
        <v>0</v>
      </c>
      <c r="O242" s="1009"/>
      <c r="P242" s="1009"/>
      <c r="Q242" s="1009"/>
      <c r="AD242" s="562"/>
      <c r="AK242" s="321">
        <f>14*(1.5+0.8+0.8)*2.3</f>
        <v>99.81999999999998</v>
      </c>
    </row>
    <row r="243" spans="3:17" ht="31.5" customHeight="1">
      <c r="C243" s="547"/>
      <c r="D243" s="564" t="s">
        <v>388</v>
      </c>
      <c r="E243" s="105"/>
      <c r="F243" s="105"/>
      <c r="G243" s="105"/>
      <c r="H243" s="105"/>
      <c r="I243" s="105"/>
      <c r="J243" s="548"/>
      <c r="K243" s="65"/>
      <c r="L243" s="532"/>
      <c r="M243" s="105"/>
      <c r="N243" s="481"/>
      <c r="O243" s="482"/>
      <c r="P243" s="482"/>
      <c r="Q243" s="482"/>
    </row>
    <row r="244" spans="3:17" ht="31.5" customHeight="1">
      <c r="C244" s="550" t="s">
        <v>1472</v>
      </c>
      <c r="D244" s="569"/>
      <c r="E244" s="511" t="s">
        <v>1929</v>
      </c>
      <c r="F244" s="960" t="s">
        <v>390</v>
      </c>
      <c r="G244" s="960"/>
      <c r="H244" s="960"/>
      <c r="I244" s="960"/>
      <c r="J244" s="94" t="s">
        <v>127</v>
      </c>
      <c r="K244" s="66">
        <v>87.99999999999999</v>
      </c>
      <c r="L244" s="21"/>
      <c r="M244" s="105"/>
      <c r="N244" s="948">
        <f>ROUND(L244*K244,2)</f>
        <v>0</v>
      </c>
      <c r="O244" s="948"/>
      <c r="P244" s="948"/>
      <c r="Q244" s="948"/>
    </row>
    <row r="245" spans="3:17" ht="31.5" customHeight="1">
      <c r="C245" s="550" t="s">
        <v>1473</v>
      </c>
      <c r="D245" s="570"/>
      <c r="E245" s="511" t="s">
        <v>1932</v>
      </c>
      <c r="F245" s="1005" t="s">
        <v>391</v>
      </c>
      <c r="G245" s="1006"/>
      <c r="H245" s="1006"/>
      <c r="I245" s="1007"/>
      <c r="J245" s="555" t="s">
        <v>127</v>
      </c>
      <c r="K245" s="71">
        <v>96.8</v>
      </c>
      <c r="L245" s="27"/>
      <c r="M245" s="105"/>
      <c r="N245" s="998">
        <f aca="true" t="shared" si="12" ref="N245:N262">ROUND(L245*K245,2)</f>
        <v>0</v>
      </c>
      <c r="O245" s="998"/>
      <c r="P245" s="998"/>
      <c r="Q245" s="998"/>
    </row>
    <row r="246" spans="3:17" ht="51" customHeight="1">
      <c r="C246" s="550" t="s">
        <v>1474</v>
      </c>
      <c r="D246" s="571"/>
      <c r="E246" s="511" t="s">
        <v>1933</v>
      </c>
      <c r="F246" s="1014" t="s">
        <v>2213</v>
      </c>
      <c r="G246" s="1014"/>
      <c r="H246" s="1014"/>
      <c r="I246" s="1014"/>
      <c r="J246" s="558" t="s">
        <v>127</v>
      </c>
      <c r="K246" s="63">
        <v>632.4499999999999</v>
      </c>
      <c r="L246" s="21"/>
      <c r="M246" s="105"/>
      <c r="N246" s="948">
        <f t="shared" si="12"/>
        <v>0</v>
      </c>
      <c r="O246" s="948"/>
      <c r="P246" s="948"/>
      <c r="Q246" s="948"/>
    </row>
    <row r="247" spans="3:17" ht="31.5" customHeight="1">
      <c r="C247" s="550" t="s">
        <v>1475</v>
      </c>
      <c r="D247" s="570"/>
      <c r="E247" s="511" t="s">
        <v>1934</v>
      </c>
      <c r="F247" s="1005" t="s">
        <v>1930</v>
      </c>
      <c r="G247" s="1006"/>
      <c r="H247" s="1006"/>
      <c r="I247" s="1007"/>
      <c r="J247" s="555" t="s">
        <v>127</v>
      </c>
      <c r="K247" s="62">
        <v>695.6949999999999</v>
      </c>
      <c r="L247" s="27"/>
      <c r="M247" s="105"/>
      <c r="N247" s="998">
        <f t="shared" si="12"/>
        <v>0</v>
      </c>
      <c r="O247" s="998"/>
      <c r="P247" s="998"/>
      <c r="Q247" s="998"/>
    </row>
    <row r="248" spans="3:17" ht="31.5" customHeight="1">
      <c r="C248" s="550" t="s">
        <v>1476</v>
      </c>
      <c r="D248" s="571"/>
      <c r="E248" s="511" t="s">
        <v>1935</v>
      </c>
      <c r="F248" s="1015" t="s">
        <v>908</v>
      </c>
      <c r="G248" s="1016"/>
      <c r="H248" s="1016"/>
      <c r="I248" s="1017"/>
      <c r="J248" s="572" t="s">
        <v>127</v>
      </c>
      <c r="K248" s="72">
        <v>71.25</v>
      </c>
      <c r="L248" s="21"/>
      <c r="M248" s="105"/>
      <c r="N248" s="948">
        <f t="shared" si="12"/>
        <v>0</v>
      </c>
      <c r="O248" s="948"/>
      <c r="P248" s="948"/>
      <c r="Q248" s="948"/>
    </row>
    <row r="249" spans="3:17" ht="31.5" customHeight="1">
      <c r="C249" s="550" t="s">
        <v>1477</v>
      </c>
      <c r="D249" s="570"/>
      <c r="E249" s="511" t="s">
        <v>1936</v>
      </c>
      <c r="F249" s="1005" t="s">
        <v>392</v>
      </c>
      <c r="G249" s="1006"/>
      <c r="H249" s="1006"/>
      <c r="I249" s="1007"/>
      <c r="J249" s="555" t="s">
        <v>127</v>
      </c>
      <c r="K249" s="62">
        <v>78.375</v>
      </c>
      <c r="L249" s="27"/>
      <c r="M249" s="105"/>
      <c r="N249" s="998">
        <f t="shared" si="12"/>
        <v>0</v>
      </c>
      <c r="O249" s="998"/>
      <c r="P249" s="998"/>
      <c r="Q249" s="998"/>
    </row>
    <row r="250" spans="3:17" ht="31.5" customHeight="1">
      <c r="C250" s="550" t="s">
        <v>1478</v>
      </c>
      <c r="D250" s="552"/>
      <c r="E250" s="511" t="s">
        <v>1937</v>
      </c>
      <c r="F250" s="1005" t="s">
        <v>389</v>
      </c>
      <c r="G250" s="1006"/>
      <c r="H250" s="1006"/>
      <c r="I250" s="1007"/>
      <c r="J250" s="101" t="s">
        <v>133</v>
      </c>
      <c r="K250" s="40">
        <v>58.828</v>
      </c>
      <c r="L250" s="27"/>
      <c r="M250" s="105"/>
      <c r="N250" s="998">
        <f t="shared" si="12"/>
        <v>0</v>
      </c>
      <c r="O250" s="998"/>
      <c r="P250" s="998"/>
      <c r="Q250" s="998"/>
    </row>
    <row r="251" spans="3:17" ht="31.5" customHeight="1">
      <c r="C251" s="550" t="s">
        <v>1479</v>
      </c>
      <c r="D251" s="552"/>
      <c r="E251" s="511" t="s">
        <v>1938</v>
      </c>
      <c r="F251" s="1000" t="s">
        <v>393</v>
      </c>
      <c r="G251" s="1000"/>
      <c r="H251" s="1000"/>
      <c r="I251" s="1000"/>
      <c r="J251" s="101" t="s">
        <v>133</v>
      </c>
      <c r="K251" s="62">
        <v>273.78</v>
      </c>
      <c r="L251" s="27"/>
      <c r="M251" s="105"/>
      <c r="N251" s="998">
        <f t="shared" si="12"/>
        <v>0</v>
      </c>
      <c r="O251" s="998"/>
      <c r="P251" s="998"/>
      <c r="Q251" s="998"/>
    </row>
    <row r="252" spans="3:17" ht="31.5" customHeight="1">
      <c r="C252" s="550" t="s">
        <v>1480</v>
      </c>
      <c r="D252" s="552"/>
      <c r="E252" s="511" t="s">
        <v>1939</v>
      </c>
      <c r="F252" s="1005" t="s">
        <v>982</v>
      </c>
      <c r="G252" s="1006"/>
      <c r="H252" s="1006"/>
      <c r="I252" s="1007"/>
      <c r="J252" s="101" t="s">
        <v>133</v>
      </c>
      <c r="K252" s="62">
        <v>45.6</v>
      </c>
      <c r="L252" s="26"/>
      <c r="M252" s="105"/>
      <c r="N252" s="1010">
        <f t="shared" si="12"/>
        <v>0</v>
      </c>
      <c r="O252" s="1010"/>
      <c r="P252" s="1010"/>
      <c r="Q252" s="1010"/>
    </row>
    <row r="253" spans="3:17" ht="31.5" customHeight="1">
      <c r="C253" s="550" t="s">
        <v>1481</v>
      </c>
      <c r="D253" s="552"/>
      <c r="E253" s="511" t="s">
        <v>1940</v>
      </c>
      <c r="F253" s="1005" t="s">
        <v>983</v>
      </c>
      <c r="G253" s="1006"/>
      <c r="H253" s="1006"/>
      <c r="I253" s="1007"/>
      <c r="J253" s="101" t="s">
        <v>133</v>
      </c>
      <c r="K253" s="62">
        <v>45.6</v>
      </c>
      <c r="L253" s="26"/>
      <c r="M253" s="105"/>
      <c r="N253" s="1010">
        <f t="shared" si="12"/>
        <v>0</v>
      </c>
      <c r="O253" s="1010"/>
      <c r="P253" s="1010"/>
      <c r="Q253" s="1010"/>
    </row>
    <row r="254" spans="3:17" ht="31.5" customHeight="1">
      <c r="C254" s="550" t="s">
        <v>1482</v>
      </c>
      <c r="D254" s="573"/>
      <c r="E254" s="511" t="s">
        <v>1941</v>
      </c>
      <c r="F254" s="1011" t="s">
        <v>1931</v>
      </c>
      <c r="G254" s="1012"/>
      <c r="H254" s="1012"/>
      <c r="I254" s="1013"/>
      <c r="J254" s="102" t="s">
        <v>127</v>
      </c>
      <c r="K254" s="43">
        <v>703.6999999999999</v>
      </c>
      <c r="L254" s="21"/>
      <c r="M254" s="105"/>
      <c r="N254" s="948">
        <f t="shared" si="12"/>
        <v>0</v>
      </c>
      <c r="O254" s="948"/>
      <c r="P254" s="948"/>
      <c r="Q254" s="948"/>
    </row>
    <row r="255" spans="3:17" ht="31.5" customHeight="1">
      <c r="C255" s="550" t="s">
        <v>1483</v>
      </c>
      <c r="D255" s="573"/>
      <c r="E255" s="511" t="s">
        <v>1942</v>
      </c>
      <c r="F255" s="1015" t="s">
        <v>907</v>
      </c>
      <c r="G255" s="1016"/>
      <c r="H255" s="1016"/>
      <c r="I255" s="1017"/>
      <c r="J255" s="102" t="s">
        <v>127</v>
      </c>
      <c r="K255" s="43">
        <v>703.6999999999999</v>
      </c>
      <c r="L255" s="21"/>
      <c r="M255" s="105"/>
      <c r="N255" s="948">
        <f t="shared" si="12"/>
        <v>0</v>
      </c>
      <c r="O255" s="948"/>
      <c r="P255" s="948"/>
      <c r="Q255" s="948"/>
    </row>
    <row r="256" spans="3:17" ht="31.5" customHeight="1">
      <c r="C256" s="550" t="s">
        <v>1484</v>
      </c>
      <c r="D256" s="574"/>
      <c r="E256" s="511" t="s">
        <v>1943</v>
      </c>
      <c r="F256" s="1047" t="s">
        <v>909</v>
      </c>
      <c r="G256" s="1048"/>
      <c r="H256" s="1048"/>
      <c r="I256" s="1049"/>
      <c r="J256" s="575" t="s">
        <v>127</v>
      </c>
      <c r="K256" s="73">
        <v>703.6999999999999</v>
      </c>
      <c r="L256" s="21"/>
      <c r="M256" s="105"/>
      <c r="N256" s="948">
        <f t="shared" si="12"/>
        <v>0</v>
      </c>
      <c r="O256" s="948"/>
      <c r="P256" s="948"/>
      <c r="Q256" s="948"/>
    </row>
    <row r="257" spans="3:17" ht="31.5" customHeight="1">
      <c r="C257" s="550" t="s">
        <v>1485</v>
      </c>
      <c r="D257" s="576"/>
      <c r="E257" s="511" t="s">
        <v>1944</v>
      </c>
      <c r="F257" s="1015" t="s">
        <v>910</v>
      </c>
      <c r="G257" s="1016"/>
      <c r="H257" s="1016"/>
      <c r="I257" s="1017"/>
      <c r="J257" s="102" t="s">
        <v>127</v>
      </c>
      <c r="K257" s="43">
        <v>703.6999999999999</v>
      </c>
      <c r="L257" s="21"/>
      <c r="M257" s="105"/>
      <c r="N257" s="948">
        <f t="shared" si="12"/>
        <v>0</v>
      </c>
      <c r="O257" s="948"/>
      <c r="P257" s="948"/>
      <c r="Q257" s="948"/>
    </row>
    <row r="258" spans="3:17" ht="31.5" customHeight="1">
      <c r="C258" s="550" t="s">
        <v>1486</v>
      </c>
      <c r="D258" s="576"/>
      <c r="E258" s="511" t="s">
        <v>1945</v>
      </c>
      <c r="F258" s="1015" t="s">
        <v>914</v>
      </c>
      <c r="G258" s="1016"/>
      <c r="H258" s="1016"/>
      <c r="I258" s="1017"/>
      <c r="J258" s="102" t="s">
        <v>127</v>
      </c>
      <c r="K258" s="43">
        <v>895.8</v>
      </c>
      <c r="L258" s="21"/>
      <c r="M258" s="105"/>
      <c r="N258" s="948">
        <f t="shared" si="12"/>
        <v>0</v>
      </c>
      <c r="O258" s="948"/>
      <c r="P258" s="948"/>
      <c r="Q258" s="948"/>
    </row>
    <row r="259" spans="3:17" ht="31.5" customHeight="1">
      <c r="C259" s="550" t="s">
        <v>1487</v>
      </c>
      <c r="D259" s="576"/>
      <c r="E259" s="511" t="s">
        <v>1946</v>
      </c>
      <c r="F259" s="1015" t="s">
        <v>913</v>
      </c>
      <c r="G259" s="1016"/>
      <c r="H259" s="1016"/>
      <c r="I259" s="1017"/>
      <c r="J259" s="102" t="s">
        <v>127</v>
      </c>
      <c r="K259" s="43">
        <v>895.8</v>
      </c>
      <c r="L259" s="21"/>
      <c r="M259" s="105"/>
      <c r="N259" s="948">
        <f t="shared" si="12"/>
        <v>0</v>
      </c>
      <c r="O259" s="948"/>
      <c r="P259" s="948"/>
      <c r="Q259" s="948"/>
    </row>
    <row r="260" spans="3:17" ht="31.5" customHeight="1">
      <c r="C260" s="550" t="s">
        <v>1488</v>
      </c>
      <c r="D260" s="576"/>
      <c r="E260" s="511" t="s">
        <v>1947</v>
      </c>
      <c r="F260" s="1015" t="s">
        <v>915</v>
      </c>
      <c r="G260" s="1016"/>
      <c r="H260" s="1016"/>
      <c r="I260" s="1017"/>
      <c r="J260" s="102" t="s">
        <v>127</v>
      </c>
      <c r="K260" s="43">
        <v>895.8</v>
      </c>
      <c r="L260" s="21"/>
      <c r="M260" s="105"/>
      <c r="N260" s="948">
        <f t="shared" si="12"/>
        <v>0</v>
      </c>
      <c r="O260" s="948"/>
      <c r="P260" s="948"/>
      <c r="Q260" s="948"/>
    </row>
    <row r="261" spans="3:30" ht="31.5" customHeight="1">
      <c r="C261" s="550" t="s">
        <v>1489</v>
      </c>
      <c r="D261" s="195"/>
      <c r="E261" s="511" t="s">
        <v>1948</v>
      </c>
      <c r="F261" s="954" t="s">
        <v>206</v>
      </c>
      <c r="G261" s="954"/>
      <c r="H261" s="954"/>
      <c r="I261" s="954"/>
      <c r="J261" s="103" t="s">
        <v>2227</v>
      </c>
      <c r="K261" s="45">
        <v>1</v>
      </c>
      <c r="L261" s="36"/>
      <c r="M261" s="561"/>
      <c r="N261" s="1009">
        <f t="shared" si="12"/>
        <v>0</v>
      </c>
      <c r="O261" s="1009"/>
      <c r="P261" s="1009"/>
      <c r="Q261" s="1009"/>
      <c r="AD261" s="562"/>
    </row>
    <row r="262" spans="3:30" ht="31.5" customHeight="1">
      <c r="C262" s="550" t="s">
        <v>1490</v>
      </c>
      <c r="D262" s="195"/>
      <c r="E262" s="511" t="s">
        <v>1949</v>
      </c>
      <c r="F262" s="954" t="s">
        <v>2226</v>
      </c>
      <c r="G262" s="954"/>
      <c r="H262" s="954"/>
      <c r="I262" s="954"/>
      <c r="J262" s="103" t="s">
        <v>2227</v>
      </c>
      <c r="K262" s="45">
        <v>1</v>
      </c>
      <c r="L262" s="36"/>
      <c r="M262" s="561"/>
      <c r="N262" s="1009">
        <f t="shared" si="12"/>
        <v>0</v>
      </c>
      <c r="O262" s="1009"/>
      <c r="P262" s="1009"/>
      <c r="Q262" s="1009"/>
      <c r="AD262" s="562"/>
    </row>
    <row r="263" spans="3:17" ht="31.5" customHeight="1">
      <c r="C263" s="547"/>
      <c r="D263" s="564" t="s">
        <v>1801</v>
      </c>
      <c r="E263" s="105"/>
      <c r="F263" s="105"/>
      <c r="G263" s="105"/>
      <c r="H263" s="105"/>
      <c r="I263" s="105"/>
      <c r="J263" s="548"/>
      <c r="K263" s="65"/>
      <c r="L263" s="532"/>
      <c r="M263" s="105"/>
      <c r="N263" s="481"/>
      <c r="O263" s="482"/>
      <c r="P263" s="482"/>
      <c r="Q263" s="482"/>
    </row>
    <row r="264" spans="3:17" ht="31.5" customHeight="1">
      <c r="C264" s="565" t="s">
        <v>1491</v>
      </c>
      <c r="D264" s="566"/>
      <c r="E264" s="511" t="s">
        <v>1950</v>
      </c>
      <c r="F264" s="960" t="s">
        <v>394</v>
      </c>
      <c r="G264" s="960"/>
      <c r="H264" s="960"/>
      <c r="I264" s="960"/>
      <c r="J264" s="563" t="s">
        <v>198</v>
      </c>
      <c r="K264" s="61">
        <v>3</v>
      </c>
      <c r="L264" s="21"/>
      <c r="M264" s="105"/>
      <c r="N264" s="948">
        <f aca="true" t="shared" si="13" ref="N264:N266">ROUND(L264*K264,2)</f>
        <v>0</v>
      </c>
      <c r="O264" s="948"/>
      <c r="P264" s="948"/>
      <c r="Q264" s="948"/>
    </row>
    <row r="265" spans="3:17" ht="31.5" customHeight="1">
      <c r="C265" s="565" t="s">
        <v>1492</v>
      </c>
      <c r="D265" s="552"/>
      <c r="E265" s="511" t="s">
        <v>1951</v>
      </c>
      <c r="F265" s="1000" t="s">
        <v>399</v>
      </c>
      <c r="G265" s="1000"/>
      <c r="H265" s="1000"/>
      <c r="I265" s="1000"/>
      <c r="J265" s="553" t="s">
        <v>198</v>
      </c>
      <c r="K265" s="62">
        <v>2</v>
      </c>
      <c r="L265" s="27"/>
      <c r="M265" s="105"/>
      <c r="N265" s="998">
        <f t="shared" si="13"/>
        <v>0</v>
      </c>
      <c r="O265" s="998"/>
      <c r="P265" s="998"/>
      <c r="Q265" s="998"/>
    </row>
    <row r="266" spans="3:17" ht="31.5" customHeight="1">
      <c r="C266" s="565" t="s">
        <v>1493</v>
      </c>
      <c r="D266" s="552"/>
      <c r="E266" s="511" t="s">
        <v>1952</v>
      </c>
      <c r="F266" s="1000" t="s">
        <v>400</v>
      </c>
      <c r="G266" s="1000"/>
      <c r="H266" s="1000"/>
      <c r="I266" s="1000"/>
      <c r="J266" s="553" t="s">
        <v>198</v>
      </c>
      <c r="K266" s="62">
        <v>1</v>
      </c>
      <c r="L266" s="27"/>
      <c r="M266" s="105"/>
      <c r="N266" s="998">
        <f t="shared" si="13"/>
        <v>0</v>
      </c>
      <c r="O266" s="998"/>
      <c r="P266" s="998"/>
      <c r="Q266" s="998"/>
    </row>
    <row r="267" spans="3:17" ht="31.5" customHeight="1">
      <c r="C267" s="565" t="s">
        <v>1494</v>
      </c>
      <c r="D267" s="151"/>
      <c r="E267" s="511" t="s">
        <v>1953</v>
      </c>
      <c r="F267" s="1015" t="s">
        <v>401</v>
      </c>
      <c r="G267" s="1016"/>
      <c r="H267" s="1016"/>
      <c r="I267" s="1017"/>
      <c r="J267" s="577" t="s">
        <v>198</v>
      </c>
      <c r="K267" s="61">
        <v>49</v>
      </c>
      <c r="L267" s="21"/>
      <c r="M267" s="105"/>
      <c r="N267" s="948">
        <f>ROUND(L267*K267,2)</f>
        <v>0</v>
      </c>
      <c r="O267" s="948"/>
      <c r="P267" s="948"/>
      <c r="Q267" s="948"/>
    </row>
    <row r="268" spans="3:17" ht="31.5" customHeight="1">
      <c r="C268" s="565" t="s">
        <v>1495</v>
      </c>
      <c r="D268" s="578"/>
      <c r="E268" s="511" t="s">
        <v>1954</v>
      </c>
      <c r="F268" s="1005" t="s">
        <v>402</v>
      </c>
      <c r="G268" s="1006"/>
      <c r="H268" s="1006"/>
      <c r="I268" s="1007"/>
      <c r="J268" s="101" t="s">
        <v>198</v>
      </c>
      <c r="K268" s="40">
        <v>11</v>
      </c>
      <c r="L268" s="27"/>
      <c r="M268" s="105"/>
      <c r="N268" s="998">
        <f aca="true" t="shared" si="14" ref="N268:N271">ROUND(L268*K268,2)</f>
        <v>0</v>
      </c>
      <c r="O268" s="998"/>
      <c r="P268" s="998"/>
      <c r="Q268" s="998"/>
    </row>
    <row r="269" spans="3:17" ht="31.5" customHeight="1">
      <c r="C269" s="565" t="s">
        <v>1496</v>
      </c>
      <c r="D269" s="578"/>
      <c r="E269" s="511" t="s">
        <v>1955</v>
      </c>
      <c r="F269" s="1005" t="s">
        <v>406</v>
      </c>
      <c r="G269" s="1006"/>
      <c r="H269" s="1006"/>
      <c r="I269" s="1007"/>
      <c r="J269" s="101" t="s">
        <v>198</v>
      </c>
      <c r="K269" s="40">
        <v>17</v>
      </c>
      <c r="L269" s="27"/>
      <c r="M269" s="105"/>
      <c r="N269" s="998">
        <f t="shared" si="14"/>
        <v>0</v>
      </c>
      <c r="O269" s="998"/>
      <c r="P269" s="998"/>
      <c r="Q269" s="998"/>
    </row>
    <row r="270" spans="3:17" ht="31.5" customHeight="1">
      <c r="C270" s="565" t="s">
        <v>1497</v>
      </c>
      <c r="D270" s="552"/>
      <c r="E270" s="511" t="s">
        <v>1956</v>
      </c>
      <c r="F270" s="1005" t="s">
        <v>408</v>
      </c>
      <c r="G270" s="1006"/>
      <c r="H270" s="1006"/>
      <c r="I270" s="1007"/>
      <c r="J270" s="101" t="s">
        <v>198</v>
      </c>
      <c r="K270" s="40">
        <v>1</v>
      </c>
      <c r="L270" s="27"/>
      <c r="M270" s="105"/>
      <c r="N270" s="998">
        <f t="shared" si="14"/>
        <v>0</v>
      </c>
      <c r="O270" s="998"/>
      <c r="P270" s="998"/>
      <c r="Q270" s="998"/>
    </row>
    <row r="271" spans="3:17" ht="31.5" customHeight="1">
      <c r="C271" s="565" t="s">
        <v>1498</v>
      </c>
      <c r="D271" s="552"/>
      <c r="E271" s="511" t="s">
        <v>1957</v>
      </c>
      <c r="F271" s="1005" t="s">
        <v>409</v>
      </c>
      <c r="G271" s="1006"/>
      <c r="H271" s="1006"/>
      <c r="I271" s="1007"/>
      <c r="J271" s="101" t="s">
        <v>198</v>
      </c>
      <c r="K271" s="40">
        <v>1</v>
      </c>
      <c r="L271" s="27"/>
      <c r="M271" s="105"/>
      <c r="N271" s="998">
        <f t="shared" si="14"/>
        <v>0</v>
      </c>
      <c r="O271" s="998"/>
      <c r="P271" s="998"/>
      <c r="Q271" s="998"/>
    </row>
    <row r="272" spans="3:17" ht="31.5" customHeight="1">
      <c r="C272" s="565" t="s">
        <v>1499</v>
      </c>
      <c r="D272" s="552"/>
      <c r="E272" s="511" t="s">
        <v>1958</v>
      </c>
      <c r="F272" s="1005" t="s">
        <v>407</v>
      </c>
      <c r="G272" s="1006"/>
      <c r="H272" s="1006"/>
      <c r="I272" s="1007"/>
      <c r="J272" s="101" t="s">
        <v>198</v>
      </c>
      <c r="K272" s="40">
        <v>2</v>
      </c>
      <c r="L272" s="27"/>
      <c r="M272" s="105"/>
      <c r="N272" s="998">
        <f>ROUND(L272*K272,2)</f>
        <v>0</v>
      </c>
      <c r="O272" s="998"/>
      <c r="P272" s="998"/>
      <c r="Q272" s="998"/>
    </row>
    <row r="273" spans="3:17" ht="31.5" customHeight="1">
      <c r="C273" s="565" t="s">
        <v>1500</v>
      </c>
      <c r="D273" s="552"/>
      <c r="E273" s="511" t="s">
        <v>1959</v>
      </c>
      <c r="F273" s="1005" t="s">
        <v>417</v>
      </c>
      <c r="G273" s="1006"/>
      <c r="H273" s="1006"/>
      <c r="I273" s="1007"/>
      <c r="J273" s="101" t="s">
        <v>198</v>
      </c>
      <c r="K273" s="40">
        <v>2</v>
      </c>
      <c r="L273" s="27"/>
      <c r="M273" s="105"/>
      <c r="N273" s="998">
        <f aca="true" t="shared" si="15" ref="N273:N275">ROUND(L273*K273,2)</f>
        <v>0</v>
      </c>
      <c r="O273" s="998"/>
      <c r="P273" s="998"/>
      <c r="Q273" s="998"/>
    </row>
    <row r="274" spans="3:17" ht="31.5" customHeight="1">
      <c r="C274" s="565" t="s">
        <v>1501</v>
      </c>
      <c r="D274" s="578"/>
      <c r="E274" s="511" t="s">
        <v>1960</v>
      </c>
      <c r="F274" s="1005" t="s">
        <v>405</v>
      </c>
      <c r="G274" s="1006"/>
      <c r="H274" s="1006"/>
      <c r="I274" s="1007"/>
      <c r="J274" s="101" t="s">
        <v>198</v>
      </c>
      <c r="K274" s="40">
        <v>10</v>
      </c>
      <c r="L274" s="27"/>
      <c r="M274" s="105"/>
      <c r="N274" s="998">
        <f t="shared" si="15"/>
        <v>0</v>
      </c>
      <c r="O274" s="998"/>
      <c r="P274" s="998"/>
      <c r="Q274" s="998"/>
    </row>
    <row r="275" spans="3:17" ht="31.5" customHeight="1">
      <c r="C275" s="565" t="s">
        <v>1502</v>
      </c>
      <c r="D275" s="578"/>
      <c r="E275" s="511" t="s">
        <v>1961</v>
      </c>
      <c r="F275" s="1005" t="s">
        <v>416</v>
      </c>
      <c r="G275" s="1006"/>
      <c r="H275" s="1006"/>
      <c r="I275" s="1007"/>
      <c r="J275" s="101" t="s">
        <v>198</v>
      </c>
      <c r="K275" s="40">
        <v>3</v>
      </c>
      <c r="L275" s="27"/>
      <c r="M275" s="105"/>
      <c r="N275" s="998">
        <f t="shared" si="15"/>
        <v>0</v>
      </c>
      <c r="O275" s="998"/>
      <c r="P275" s="998"/>
      <c r="Q275" s="998"/>
    </row>
    <row r="276" spans="3:17" ht="31.5" customHeight="1">
      <c r="C276" s="565" t="s">
        <v>1503</v>
      </c>
      <c r="D276" s="552"/>
      <c r="E276" s="511" t="s">
        <v>1962</v>
      </c>
      <c r="F276" s="1005" t="s">
        <v>404</v>
      </c>
      <c r="G276" s="1006"/>
      <c r="H276" s="1006"/>
      <c r="I276" s="1007"/>
      <c r="J276" s="101" t="s">
        <v>198</v>
      </c>
      <c r="K276" s="62">
        <v>1</v>
      </c>
      <c r="L276" s="27"/>
      <c r="M276" s="105"/>
      <c r="N276" s="998">
        <f>ROUND(L276*K276,2)</f>
        <v>0</v>
      </c>
      <c r="O276" s="998"/>
      <c r="P276" s="998"/>
      <c r="Q276" s="998"/>
    </row>
    <row r="277" spans="3:17" ht="31.5" customHeight="1">
      <c r="C277" s="565" t="s">
        <v>2002</v>
      </c>
      <c r="D277" s="578"/>
      <c r="E277" s="511" t="s">
        <v>1963</v>
      </c>
      <c r="F277" s="1005" t="s">
        <v>419</v>
      </c>
      <c r="G277" s="1006"/>
      <c r="H277" s="1006"/>
      <c r="I277" s="1007"/>
      <c r="J277" s="101" t="s">
        <v>198</v>
      </c>
      <c r="K277" s="40">
        <v>1</v>
      </c>
      <c r="L277" s="27"/>
      <c r="M277" s="105"/>
      <c r="N277" s="998">
        <f aca="true" t="shared" si="16" ref="N277:N286">ROUND(L277*K277,2)</f>
        <v>0</v>
      </c>
      <c r="O277" s="998"/>
      <c r="P277" s="998"/>
      <c r="Q277" s="998"/>
    </row>
    <row r="278" spans="3:17" ht="31.5" customHeight="1">
      <c r="C278" s="565" t="s">
        <v>2003</v>
      </c>
      <c r="D278" s="566"/>
      <c r="E278" s="511" t="s">
        <v>1964</v>
      </c>
      <c r="F278" s="960" t="s">
        <v>395</v>
      </c>
      <c r="G278" s="960"/>
      <c r="H278" s="960"/>
      <c r="I278" s="960"/>
      <c r="J278" s="94" t="s">
        <v>198</v>
      </c>
      <c r="K278" s="63">
        <v>3</v>
      </c>
      <c r="L278" s="21"/>
      <c r="M278" s="105"/>
      <c r="N278" s="948">
        <f t="shared" si="16"/>
        <v>0</v>
      </c>
      <c r="O278" s="948"/>
      <c r="P278" s="948"/>
      <c r="Q278" s="948"/>
    </row>
    <row r="279" spans="3:17" ht="31.5" customHeight="1">
      <c r="C279" s="565" t="s">
        <v>2004</v>
      </c>
      <c r="D279" s="552"/>
      <c r="E279" s="511" t="s">
        <v>1965</v>
      </c>
      <c r="F279" s="1000" t="s">
        <v>396</v>
      </c>
      <c r="G279" s="1000"/>
      <c r="H279" s="1000"/>
      <c r="I279" s="1000"/>
      <c r="J279" s="101" t="s">
        <v>198</v>
      </c>
      <c r="K279" s="62">
        <v>2</v>
      </c>
      <c r="L279" s="27"/>
      <c r="M279" s="105"/>
      <c r="N279" s="998">
        <f t="shared" si="16"/>
        <v>0</v>
      </c>
      <c r="O279" s="998"/>
      <c r="P279" s="998"/>
      <c r="Q279" s="998"/>
    </row>
    <row r="280" spans="3:17" ht="31.5" customHeight="1">
      <c r="C280" s="565" t="s">
        <v>2005</v>
      </c>
      <c r="D280" s="552"/>
      <c r="E280" s="511" t="s">
        <v>1966</v>
      </c>
      <c r="F280" s="1000" t="s">
        <v>397</v>
      </c>
      <c r="G280" s="1000"/>
      <c r="H280" s="1000"/>
      <c r="I280" s="1000"/>
      <c r="J280" s="101" t="s">
        <v>198</v>
      </c>
      <c r="K280" s="62">
        <v>1</v>
      </c>
      <c r="L280" s="27"/>
      <c r="M280" s="105"/>
      <c r="N280" s="998">
        <f t="shared" si="16"/>
        <v>0</v>
      </c>
      <c r="O280" s="998"/>
      <c r="P280" s="998"/>
      <c r="Q280" s="998"/>
    </row>
    <row r="281" spans="3:17" ht="31.5" customHeight="1">
      <c r="C281" s="565" t="s">
        <v>2006</v>
      </c>
      <c r="D281" s="566"/>
      <c r="E281" s="511" t="s">
        <v>1967</v>
      </c>
      <c r="F281" s="960" t="s">
        <v>398</v>
      </c>
      <c r="G281" s="960"/>
      <c r="H281" s="960"/>
      <c r="I281" s="960"/>
      <c r="J281" s="94" t="s">
        <v>198</v>
      </c>
      <c r="K281" s="63">
        <v>49</v>
      </c>
      <c r="L281" s="21"/>
      <c r="M281" s="105"/>
      <c r="N281" s="948">
        <f t="shared" si="16"/>
        <v>0</v>
      </c>
      <c r="O281" s="948"/>
      <c r="P281" s="948"/>
      <c r="Q281" s="948"/>
    </row>
    <row r="282" spans="3:17" ht="31.5" customHeight="1">
      <c r="C282" s="565" t="s">
        <v>2007</v>
      </c>
      <c r="D282" s="552"/>
      <c r="E282" s="511" t="s">
        <v>1968</v>
      </c>
      <c r="F282" s="1000" t="s">
        <v>403</v>
      </c>
      <c r="G282" s="1000"/>
      <c r="H282" s="1000"/>
      <c r="I282" s="1000"/>
      <c r="J282" s="553" t="s">
        <v>198</v>
      </c>
      <c r="K282" s="62">
        <v>1</v>
      </c>
      <c r="L282" s="27"/>
      <c r="M282" s="105"/>
      <c r="N282" s="998">
        <f t="shared" si="16"/>
        <v>0</v>
      </c>
      <c r="O282" s="998"/>
      <c r="P282" s="998"/>
      <c r="Q282" s="998"/>
    </row>
    <row r="283" spans="3:17" ht="31.5" customHeight="1">
      <c r="C283" s="565" t="s">
        <v>2008</v>
      </c>
      <c r="D283" s="578"/>
      <c r="E283" s="511" t="s">
        <v>1969</v>
      </c>
      <c r="F283" s="1000" t="s">
        <v>412</v>
      </c>
      <c r="G283" s="1000"/>
      <c r="H283" s="1000"/>
      <c r="I283" s="1000"/>
      <c r="J283" s="556" t="s">
        <v>198</v>
      </c>
      <c r="K283" s="40">
        <v>11</v>
      </c>
      <c r="L283" s="27"/>
      <c r="M283" s="105"/>
      <c r="N283" s="998">
        <f t="shared" si="16"/>
        <v>0</v>
      </c>
      <c r="O283" s="998"/>
      <c r="P283" s="998"/>
      <c r="Q283" s="998"/>
    </row>
    <row r="284" spans="3:17" ht="31.5" customHeight="1">
      <c r="C284" s="565" t="s">
        <v>2009</v>
      </c>
      <c r="D284" s="578"/>
      <c r="E284" s="511" t="s">
        <v>1970</v>
      </c>
      <c r="F284" s="1000" t="s">
        <v>418</v>
      </c>
      <c r="G284" s="1000"/>
      <c r="H284" s="1000"/>
      <c r="I284" s="1000"/>
      <c r="J284" s="556" t="s">
        <v>198</v>
      </c>
      <c r="K284" s="40">
        <v>3</v>
      </c>
      <c r="L284" s="27"/>
      <c r="M284" s="105"/>
      <c r="N284" s="998">
        <f t="shared" si="16"/>
        <v>0</v>
      </c>
      <c r="O284" s="998"/>
      <c r="P284" s="998"/>
      <c r="Q284" s="998"/>
    </row>
    <row r="285" spans="3:17" ht="31.5" customHeight="1">
      <c r="C285" s="565" t="s">
        <v>2010</v>
      </c>
      <c r="D285" s="578"/>
      <c r="E285" s="511" t="s">
        <v>1971</v>
      </c>
      <c r="F285" s="1000" t="s">
        <v>411</v>
      </c>
      <c r="G285" s="1000"/>
      <c r="H285" s="1000"/>
      <c r="I285" s="1000"/>
      <c r="J285" s="556" t="s">
        <v>198</v>
      </c>
      <c r="K285" s="40">
        <v>19</v>
      </c>
      <c r="L285" s="27"/>
      <c r="M285" s="105"/>
      <c r="N285" s="998">
        <f t="shared" si="16"/>
        <v>0</v>
      </c>
      <c r="O285" s="998"/>
      <c r="P285" s="998"/>
      <c r="Q285" s="998"/>
    </row>
    <row r="286" spans="3:17" ht="31.5" customHeight="1">
      <c r="C286" s="565" t="s">
        <v>2011</v>
      </c>
      <c r="D286" s="578"/>
      <c r="E286" s="511" t="s">
        <v>1972</v>
      </c>
      <c r="F286" s="1000" t="s">
        <v>410</v>
      </c>
      <c r="G286" s="1000"/>
      <c r="H286" s="1000"/>
      <c r="I286" s="1000"/>
      <c r="J286" s="556" t="s">
        <v>198</v>
      </c>
      <c r="K286" s="40">
        <v>12</v>
      </c>
      <c r="L286" s="27"/>
      <c r="M286" s="105"/>
      <c r="N286" s="998">
        <f t="shared" si="16"/>
        <v>0</v>
      </c>
      <c r="O286" s="998"/>
      <c r="P286" s="998"/>
      <c r="Q286" s="998"/>
    </row>
    <row r="287" spans="3:17" ht="31.5" customHeight="1">
      <c r="C287" s="565" t="s">
        <v>2012</v>
      </c>
      <c r="D287" s="552"/>
      <c r="E287" s="511" t="s">
        <v>1973</v>
      </c>
      <c r="F287" s="1000" t="s">
        <v>413</v>
      </c>
      <c r="G287" s="1000"/>
      <c r="H287" s="1000"/>
      <c r="I287" s="1000"/>
      <c r="J287" s="101" t="s">
        <v>198</v>
      </c>
      <c r="K287" s="40">
        <v>1</v>
      </c>
      <c r="L287" s="27"/>
      <c r="M287" s="105"/>
      <c r="N287" s="998">
        <f>ROUND(L287*K287,2)</f>
        <v>0</v>
      </c>
      <c r="O287" s="998"/>
      <c r="P287" s="998"/>
      <c r="Q287" s="998"/>
    </row>
    <row r="288" spans="3:17" ht="31.5" customHeight="1">
      <c r="C288" s="565" t="s">
        <v>2013</v>
      </c>
      <c r="D288" s="552"/>
      <c r="E288" s="511" t="s">
        <v>1974</v>
      </c>
      <c r="F288" s="1000" t="s">
        <v>414</v>
      </c>
      <c r="G288" s="1000"/>
      <c r="H288" s="1000"/>
      <c r="I288" s="1000"/>
      <c r="J288" s="101" t="s">
        <v>198</v>
      </c>
      <c r="K288" s="40">
        <v>1</v>
      </c>
      <c r="L288" s="27"/>
      <c r="M288" s="105"/>
      <c r="N288" s="998">
        <f>ROUND(L288*K288,2)</f>
        <v>0</v>
      </c>
      <c r="O288" s="998"/>
      <c r="P288" s="998"/>
      <c r="Q288" s="998"/>
    </row>
    <row r="289" spans="3:17" ht="31.5" customHeight="1">
      <c r="C289" s="565" t="s">
        <v>2014</v>
      </c>
      <c r="D289" s="552"/>
      <c r="E289" s="511" t="s">
        <v>2130</v>
      </c>
      <c r="F289" s="1015" t="s">
        <v>2131</v>
      </c>
      <c r="G289" s="1016"/>
      <c r="H289" s="1016"/>
      <c r="I289" s="1017"/>
      <c r="J289" s="102" t="s">
        <v>131</v>
      </c>
      <c r="K289" s="43">
        <v>52</v>
      </c>
      <c r="L289" s="29"/>
      <c r="M289" s="105"/>
      <c r="N289" s="1032">
        <f aca="true" t="shared" si="17" ref="N289">K289*L289</f>
        <v>0</v>
      </c>
      <c r="O289" s="1032"/>
      <c r="P289" s="1032"/>
      <c r="Q289" s="1032"/>
    </row>
    <row r="290" spans="3:17" ht="31.5" customHeight="1">
      <c r="C290" s="565" t="s">
        <v>2015</v>
      </c>
      <c r="D290" s="566"/>
      <c r="E290" s="511" t="s">
        <v>1975</v>
      </c>
      <c r="F290" s="1015" t="s">
        <v>457</v>
      </c>
      <c r="G290" s="1016"/>
      <c r="H290" s="1016"/>
      <c r="I290" s="1017"/>
      <c r="J290" s="102" t="s">
        <v>198</v>
      </c>
      <c r="K290" s="43">
        <v>2</v>
      </c>
      <c r="L290" s="29"/>
      <c r="M290" s="105"/>
      <c r="N290" s="1032">
        <f aca="true" t="shared" si="18" ref="N290:N293">K290*L290</f>
        <v>0</v>
      </c>
      <c r="O290" s="1032"/>
      <c r="P290" s="1032"/>
      <c r="Q290" s="1032"/>
    </row>
    <row r="291" spans="3:17" ht="31.5" customHeight="1">
      <c r="C291" s="565" t="s">
        <v>2016</v>
      </c>
      <c r="D291" s="552"/>
      <c r="E291" s="511" t="s">
        <v>1976</v>
      </c>
      <c r="F291" s="1000" t="s">
        <v>415</v>
      </c>
      <c r="G291" s="1000"/>
      <c r="H291" s="1000"/>
      <c r="I291" s="1000"/>
      <c r="J291" s="101" t="s">
        <v>198</v>
      </c>
      <c r="K291" s="40">
        <v>1</v>
      </c>
      <c r="L291" s="30"/>
      <c r="M291" s="105"/>
      <c r="N291" s="1046">
        <f t="shared" si="18"/>
        <v>0</v>
      </c>
      <c r="O291" s="1046"/>
      <c r="P291" s="1046"/>
      <c r="Q291" s="1046"/>
    </row>
    <row r="292" spans="3:17" ht="31.5" customHeight="1">
      <c r="C292" s="565" t="s">
        <v>2017</v>
      </c>
      <c r="D292" s="566"/>
      <c r="E292" s="511" t="s">
        <v>1977</v>
      </c>
      <c r="F292" s="1025" t="s">
        <v>420</v>
      </c>
      <c r="G292" s="1026"/>
      <c r="H292" s="1026"/>
      <c r="I292" s="1027"/>
      <c r="J292" s="133" t="s">
        <v>198</v>
      </c>
      <c r="K292" s="42">
        <v>36</v>
      </c>
      <c r="L292" s="29"/>
      <c r="M292" s="105"/>
      <c r="N292" s="1032">
        <f t="shared" si="18"/>
        <v>0</v>
      </c>
      <c r="O292" s="1032"/>
      <c r="P292" s="1032"/>
      <c r="Q292" s="1032"/>
    </row>
    <row r="293" spans="3:17" ht="31.5" customHeight="1">
      <c r="C293" s="565" t="s">
        <v>2018</v>
      </c>
      <c r="D293" s="552"/>
      <c r="E293" s="511" t="s">
        <v>1978</v>
      </c>
      <c r="F293" s="1005" t="s">
        <v>1802</v>
      </c>
      <c r="G293" s="1006"/>
      <c r="H293" s="1006"/>
      <c r="I293" s="1007"/>
      <c r="J293" s="101" t="s">
        <v>198</v>
      </c>
      <c r="K293" s="40">
        <v>14</v>
      </c>
      <c r="L293" s="30"/>
      <c r="M293" s="105"/>
      <c r="N293" s="1046">
        <f t="shared" si="18"/>
        <v>0</v>
      </c>
      <c r="O293" s="1046"/>
      <c r="P293" s="1046"/>
      <c r="Q293" s="1046"/>
    </row>
    <row r="294" spans="3:17" ht="31.5" customHeight="1">
      <c r="C294" s="565" t="s">
        <v>2019</v>
      </c>
      <c r="D294" s="552"/>
      <c r="E294" s="511" t="s">
        <v>1979</v>
      </c>
      <c r="F294" s="1005" t="s">
        <v>1802</v>
      </c>
      <c r="G294" s="1006"/>
      <c r="H294" s="1006"/>
      <c r="I294" s="1007"/>
      <c r="J294" s="101" t="s">
        <v>198</v>
      </c>
      <c r="K294" s="40">
        <v>19</v>
      </c>
      <c r="L294" s="30"/>
      <c r="M294" s="105"/>
      <c r="N294" s="1046">
        <f>K294*L294</f>
        <v>0</v>
      </c>
      <c r="O294" s="1046"/>
      <c r="P294" s="1046"/>
      <c r="Q294" s="1046"/>
    </row>
    <row r="295" spans="3:17" ht="31.5" customHeight="1">
      <c r="C295" s="565" t="s">
        <v>2020</v>
      </c>
      <c r="D295" s="552"/>
      <c r="E295" s="511" t="s">
        <v>1980</v>
      </c>
      <c r="F295" s="1005" t="s">
        <v>1803</v>
      </c>
      <c r="G295" s="1006"/>
      <c r="H295" s="1006"/>
      <c r="I295" s="1007"/>
      <c r="J295" s="101" t="s">
        <v>198</v>
      </c>
      <c r="K295" s="40">
        <v>3</v>
      </c>
      <c r="L295" s="30"/>
      <c r="M295" s="105"/>
      <c r="N295" s="1046">
        <f>K295*L295</f>
        <v>0</v>
      </c>
      <c r="O295" s="1046"/>
      <c r="P295" s="1046"/>
      <c r="Q295" s="1046"/>
    </row>
    <row r="296" spans="3:17" ht="31.5" customHeight="1">
      <c r="C296" s="565" t="s">
        <v>2021</v>
      </c>
      <c r="D296" s="552"/>
      <c r="E296" s="511" t="s">
        <v>1981</v>
      </c>
      <c r="F296" s="1005" t="s">
        <v>421</v>
      </c>
      <c r="G296" s="1006"/>
      <c r="H296" s="1006"/>
      <c r="I296" s="1007"/>
      <c r="J296" s="101" t="s">
        <v>198</v>
      </c>
      <c r="K296" s="40">
        <v>2</v>
      </c>
      <c r="L296" s="30"/>
      <c r="M296" s="105"/>
      <c r="N296" s="1046">
        <f>K296*L296</f>
        <v>0</v>
      </c>
      <c r="O296" s="1046"/>
      <c r="P296" s="1046"/>
      <c r="Q296" s="1046"/>
    </row>
    <row r="297" spans="3:30" ht="31.5" customHeight="1">
      <c r="C297" s="565" t="s">
        <v>2022</v>
      </c>
      <c r="D297" s="557"/>
      <c r="E297" s="511" t="s">
        <v>1982</v>
      </c>
      <c r="F297" s="954" t="s">
        <v>206</v>
      </c>
      <c r="G297" s="954"/>
      <c r="H297" s="954"/>
      <c r="I297" s="954"/>
      <c r="J297" s="103" t="s">
        <v>2227</v>
      </c>
      <c r="K297" s="45">
        <v>1</v>
      </c>
      <c r="L297" s="37"/>
      <c r="M297" s="561"/>
      <c r="N297" s="1050">
        <f>ROUND(L297*K297,2)</f>
        <v>0</v>
      </c>
      <c r="O297" s="1050"/>
      <c r="P297" s="1050"/>
      <c r="Q297" s="1050"/>
      <c r="AD297" s="562"/>
    </row>
    <row r="298" spans="3:30" ht="31.5" customHeight="1">
      <c r="C298" s="565" t="s">
        <v>2023</v>
      </c>
      <c r="D298" s="195"/>
      <c r="E298" s="511" t="s">
        <v>1983</v>
      </c>
      <c r="F298" s="954" t="s">
        <v>2226</v>
      </c>
      <c r="G298" s="954"/>
      <c r="H298" s="954"/>
      <c r="I298" s="954"/>
      <c r="J298" s="103" t="s">
        <v>2227</v>
      </c>
      <c r="K298" s="45">
        <v>1</v>
      </c>
      <c r="L298" s="36"/>
      <c r="M298" s="561"/>
      <c r="N298" s="1009">
        <f>ROUND(L298*K298,2)</f>
        <v>0</v>
      </c>
      <c r="O298" s="1009"/>
      <c r="P298" s="1009"/>
      <c r="Q298" s="1009"/>
      <c r="AD298" s="562"/>
    </row>
    <row r="299" spans="3:17" ht="31.5" customHeight="1">
      <c r="C299" s="547"/>
      <c r="D299" s="564" t="s">
        <v>422</v>
      </c>
      <c r="E299" s="105"/>
      <c r="F299" s="105"/>
      <c r="G299" s="105"/>
      <c r="H299" s="105"/>
      <c r="I299" s="105"/>
      <c r="J299" s="548"/>
      <c r="K299" s="65"/>
      <c r="L299" s="532"/>
      <c r="M299" s="105"/>
      <c r="N299" s="481"/>
      <c r="O299" s="482"/>
      <c r="P299" s="482"/>
      <c r="Q299" s="482"/>
    </row>
    <row r="300" spans="3:17" ht="31.5" customHeight="1">
      <c r="C300" s="547"/>
      <c r="D300" s="564" t="s">
        <v>946</v>
      </c>
      <c r="E300" s="105"/>
      <c r="F300" s="105"/>
      <c r="G300" s="105"/>
      <c r="H300" s="105"/>
      <c r="I300" s="105"/>
      <c r="J300" s="548"/>
      <c r="K300" s="65"/>
      <c r="L300" s="532"/>
      <c r="M300" s="105"/>
      <c r="N300" s="481"/>
      <c r="O300" s="482"/>
      <c r="P300" s="482"/>
      <c r="Q300" s="482"/>
    </row>
    <row r="301" spans="3:17" ht="31.5" customHeight="1">
      <c r="C301" s="195" t="s">
        <v>2024</v>
      </c>
      <c r="D301" s="490"/>
      <c r="E301" s="511" t="s">
        <v>1984</v>
      </c>
      <c r="F301" s="947" t="s">
        <v>957</v>
      </c>
      <c r="G301" s="947"/>
      <c r="H301" s="947"/>
      <c r="I301" s="947"/>
      <c r="J301" s="96" t="s">
        <v>127</v>
      </c>
      <c r="K301" s="50">
        <v>32.87</v>
      </c>
      <c r="L301" s="21"/>
      <c r="M301" s="105"/>
      <c r="N301" s="948">
        <f aca="true" t="shared" si="19" ref="N301:N318">ROUND(L301*K301,2)</f>
        <v>0</v>
      </c>
      <c r="O301" s="948"/>
      <c r="P301" s="948"/>
      <c r="Q301" s="948"/>
    </row>
    <row r="302" spans="3:17" ht="31.5" customHeight="1">
      <c r="C302" s="195" t="s">
        <v>2025</v>
      </c>
      <c r="D302" s="556"/>
      <c r="E302" s="511" t="s">
        <v>1985</v>
      </c>
      <c r="F302" s="1033" t="s">
        <v>947</v>
      </c>
      <c r="G302" s="1033"/>
      <c r="H302" s="1033"/>
      <c r="I302" s="1033"/>
      <c r="J302" s="97" t="s">
        <v>198</v>
      </c>
      <c r="K302" s="48">
        <v>16</v>
      </c>
      <c r="L302" s="27"/>
      <c r="M302" s="105"/>
      <c r="N302" s="998">
        <f t="shared" si="19"/>
        <v>0</v>
      </c>
      <c r="O302" s="998"/>
      <c r="P302" s="998"/>
      <c r="Q302" s="998"/>
    </row>
    <row r="303" spans="3:17" ht="31.5" customHeight="1">
      <c r="C303" s="195" t="s">
        <v>2026</v>
      </c>
      <c r="D303" s="556"/>
      <c r="E303" s="511" t="s">
        <v>1986</v>
      </c>
      <c r="F303" s="1033" t="s">
        <v>948</v>
      </c>
      <c r="G303" s="1033"/>
      <c r="H303" s="1033"/>
      <c r="I303" s="1033"/>
      <c r="J303" s="97" t="s">
        <v>133</v>
      </c>
      <c r="K303" s="48">
        <v>28.6</v>
      </c>
      <c r="L303" s="27"/>
      <c r="M303" s="105"/>
      <c r="N303" s="998">
        <f t="shared" si="19"/>
        <v>0</v>
      </c>
      <c r="O303" s="998"/>
      <c r="P303" s="998"/>
      <c r="Q303" s="998"/>
    </row>
    <row r="304" spans="3:17" ht="31.5" customHeight="1">
      <c r="C304" s="195" t="s">
        <v>2027</v>
      </c>
      <c r="D304" s="556"/>
      <c r="E304" s="511" t="s">
        <v>1987</v>
      </c>
      <c r="F304" s="1033" t="s">
        <v>949</v>
      </c>
      <c r="G304" s="1033"/>
      <c r="H304" s="1033"/>
      <c r="I304" s="1033"/>
      <c r="J304" s="97" t="s">
        <v>198</v>
      </c>
      <c r="K304" s="48">
        <v>1</v>
      </c>
      <c r="L304" s="27"/>
      <c r="M304" s="105"/>
      <c r="N304" s="998">
        <f t="shared" si="19"/>
        <v>0</v>
      </c>
      <c r="O304" s="998"/>
      <c r="P304" s="998"/>
      <c r="Q304" s="998"/>
    </row>
    <row r="305" spans="3:17" ht="31.5" customHeight="1">
      <c r="C305" s="195" t="s">
        <v>2028</v>
      </c>
      <c r="D305" s="556"/>
      <c r="E305" s="511" t="s">
        <v>1988</v>
      </c>
      <c r="F305" s="1033" t="s">
        <v>950</v>
      </c>
      <c r="G305" s="1033"/>
      <c r="H305" s="1033"/>
      <c r="I305" s="1033"/>
      <c r="J305" s="97" t="s">
        <v>198</v>
      </c>
      <c r="K305" s="48">
        <v>6</v>
      </c>
      <c r="L305" s="27"/>
      <c r="M305" s="105"/>
      <c r="N305" s="998">
        <f t="shared" si="19"/>
        <v>0</v>
      </c>
      <c r="O305" s="998"/>
      <c r="P305" s="998"/>
      <c r="Q305" s="998"/>
    </row>
    <row r="306" spans="3:17" ht="31.5" customHeight="1">
      <c r="C306" s="195" t="s">
        <v>2029</v>
      </c>
      <c r="D306" s="556"/>
      <c r="E306" s="511" t="s">
        <v>1989</v>
      </c>
      <c r="F306" s="1033" t="s">
        <v>951</v>
      </c>
      <c r="G306" s="1033"/>
      <c r="H306" s="1033"/>
      <c r="I306" s="1033"/>
      <c r="J306" s="97" t="s">
        <v>198</v>
      </c>
      <c r="K306" s="48">
        <v>32</v>
      </c>
      <c r="L306" s="27"/>
      <c r="M306" s="105"/>
      <c r="N306" s="998">
        <f t="shared" si="19"/>
        <v>0</v>
      </c>
      <c r="O306" s="998"/>
      <c r="P306" s="998"/>
      <c r="Q306" s="998"/>
    </row>
    <row r="307" spans="3:17" ht="31.5" customHeight="1">
      <c r="C307" s="195" t="s">
        <v>2030</v>
      </c>
      <c r="D307" s="556"/>
      <c r="E307" s="511" t="s">
        <v>1990</v>
      </c>
      <c r="F307" s="1033" t="s">
        <v>952</v>
      </c>
      <c r="G307" s="1033"/>
      <c r="H307" s="1033"/>
      <c r="I307" s="1033"/>
      <c r="J307" s="97" t="s">
        <v>198</v>
      </c>
      <c r="K307" s="48">
        <v>4</v>
      </c>
      <c r="L307" s="27"/>
      <c r="M307" s="105"/>
      <c r="N307" s="998">
        <f t="shared" si="19"/>
        <v>0</v>
      </c>
      <c r="O307" s="998"/>
      <c r="P307" s="998"/>
      <c r="Q307" s="998"/>
    </row>
    <row r="308" spans="3:17" ht="31.5" customHeight="1">
      <c r="C308" s="195" t="s">
        <v>2031</v>
      </c>
      <c r="D308" s="556"/>
      <c r="E308" s="511" t="s">
        <v>1991</v>
      </c>
      <c r="F308" s="1033" t="s">
        <v>953</v>
      </c>
      <c r="G308" s="1033"/>
      <c r="H308" s="1033"/>
      <c r="I308" s="1033"/>
      <c r="J308" s="97" t="s">
        <v>133</v>
      </c>
      <c r="K308" s="48">
        <v>41.8</v>
      </c>
      <c r="L308" s="27"/>
      <c r="M308" s="105"/>
      <c r="N308" s="998">
        <f t="shared" si="19"/>
        <v>0</v>
      </c>
      <c r="O308" s="998"/>
      <c r="P308" s="998"/>
      <c r="Q308" s="998"/>
    </row>
    <row r="309" spans="3:17" ht="31.5" customHeight="1">
      <c r="C309" s="195" t="s">
        <v>2032</v>
      </c>
      <c r="D309" s="556"/>
      <c r="E309" s="511" t="s">
        <v>1992</v>
      </c>
      <c r="F309" s="1033" t="s">
        <v>954</v>
      </c>
      <c r="G309" s="1033"/>
      <c r="H309" s="1033"/>
      <c r="I309" s="1033"/>
      <c r="J309" s="97" t="s">
        <v>198</v>
      </c>
      <c r="K309" s="48">
        <v>9</v>
      </c>
      <c r="L309" s="27"/>
      <c r="M309" s="105"/>
      <c r="N309" s="998">
        <f t="shared" si="19"/>
        <v>0</v>
      </c>
      <c r="O309" s="998"/>
      <c r="P309" s="998"/>
      <c r="Q309" s="998"/>
    </row>
    <row r="310" spans="3:17" ht="31.5" customHeight="1">
      <c r="C310" s="195" t="s">
        <v>2033</v>
      </c>
      <c r="D310" s="556"/>
      <c r="E310" s="511" t="s">
        <v>1993</v>
      </c>
      <c r="F310" s="1033" t="s">
        <v>955</v>
      </c>
      <c r="G310" s="1033"/>
      <c r="H310" s="1033"/>
      <c r="I310" s="1033"/>
      <c r="J310" s="97" t="s">
        <v>133</v>
      </c>
      <c r="K310" s="48">
        <v>13</v>
      </c>
      <c r="L310" s="27"/>
      <c r="M310" s="105"/>
      <c r="N310" s="998">
        <f t="shared" si="19"/>
        <v>0</v>
      </c>
      <c r="O310" s="998"/>
      <c r="P310" s="998"/>
      <c r="Q310" s="998"/>
    </row>
    <row r="311" spans="3:17" ht="31.5" customHeight="1">
      <c r="C311" s="195" t="s">
        <v>2034</v>
      </c>
      <c r="D311" s="556"/>
      <c r="E311" s="511" t="s">
        <v>1994</v>
      </c>
      <c r="F311" s="1033" t="s">
        <v>956</v>
      </c>
      <c r="G311" s="1033"/>
      <c r="H311" s="1033"/>
      <c r="I311" s="1033"/>
      <c r="J311" s="97" t="s">
        <v>198</v>
      </c>
      <c r="K311" s="48">
        <v>1</v>
      </c>
      <c r="L311" s="27"/>
      <c r="M311" s="105"/>
      <c r="N311" s="998">
        <f t="shared" si="19"/>
        <v>0</v>
      </c>
      <c r="O311" s="998"/>
      <c r="P311" s="998"/>
      <c r="Q311" s="998"/>
    </row>
    <row r="312" spans="3:17" ht="31.5" customHeight="1">
      <c r="C312" s="195" t="s">
        <v>2035</v>
      </c>
      <c r="D312" s="556"/>
      <c r="E312" s="511" t="s">
        <v>1995</v>
      </c>
      <c r="F312" s="1033" t="s">
        <v>958</v>
      </c>
      <c r="G312" s="1033"/>
      <c r="H312" s="1033"/>
      <c r="I312" s="1033"/>
      <c r="J312" s="97" t="s">
        <v>133</v>
      </c>
      <c r="K312" s="48">
        <v>146.6</v>
      </c>
      <c r="L312" s="27"/>
      <c r="M312" s="105"/>
      <c r="N312" s="998">
        <f t="shared" si="19"/>
        <v>0</v>
      </c>
      <c r="O312" s="998"/>
      <c r="P312" s="998"/>
      <c r="Q312" s="998"/>
    </row>
    <row r="313" spans="3:17" ht="31.5" customHeight="1">
      <c r="C313" s="195" t="s">
        <v>2036</v>
      </c>
      <c r="D313" s="556"/>
      <c r="E313" s="511" t="s">
        <v>1996</v>
      </c>
      <c r="F313" s="1033" t="s">
        <v>959</v>
      </c>
      <c r="G313" s="1033"/>
      <c r="H313" s="1033"/>
      <c r="I313" s="1033"/>
      <c r="J313" s="97" t="s">
        <v>133</v>
      </c>
      <c r="K313" s="48">
        <v>101.6</v>
      </c>
      <c r="L313" s="27"/>
      <c r="M313" s="105"/>
      <c r="N313" s="998">
        <f t="shared" si="19"/>
        <v>0</v>
      </c>
      <c r="O313" s="998"/>
      <c r="P313" s="998"/>
      <c r="Q313" s="998"/>
    </row>
    <row r="314" spans="3:17" ht="31.5" customHeight="1">
      <c r="C314" s="195" t="s">
        <v>2037</v>
      </c>
      <c r="D314" s="556"/>
      <c r="E314" s="511" t="s">
        <v>1997</v>
      </c>
      <c r="F314" s="1033" t="s">
        <v>960</v>
      </c>
      <c r="G314" s="1033"/>
      <c r="H314" s="1033"/>
      <c r="I314" s="1033"/>
      <c r="J314" s="97" t="s">
        <v>133</v>
      </c>
      <c r="K314" s="48">
        <v>26</v>
      </c>
      <c r="L314" s="27"/>
      <c r="M314" s="105"/>
      <c r="N314" s="998">
        <f t="shared" si="19"/>
        <v>0</v>
      </c>
      <c r="O314" s="998"/>
      <c r="P314" s="998"/>
      <c r="Q314" s="998"/>
    </row>
    <row r="315" spans="3:17" ht="31.5" customHeight="1">
      <c r="C315" s="195" t="s">
        <v>2038</v>
      </c>
      <c r="D315" s="556"/>
      <c r="E315" s="511" t="s">
        <v>1998</v>
      </c>
      <c r="F315" s="1033" t="s">
        <v>1806</v>
      </c>
      <c r="G315" s="1033"/>
      <c r="H315" s="1033"/>
      <c r="I315" s="1033"/>
      <c r="J315" s="97" t="s">
        <v>198</v>
      </c>
      <c r="K315" s="48">
        <v>12</v>
      </c>
      <c r="L315" s="27"/>
      <c r="M315" s="105"/>
      <c r="N315" s="998">
        <f aca="true" t="shared" si="20" ref="N315">ROUND(L315*K315,2)</f>
        <v>0</v>
      </c>
      <c r="O315" s="998"/>
      <c r="P315" s="998"/>
      <c r="Q315" s="998"/>
    </row>
    <row r="316" spans="1:31" s="579" customFormat="1" ht="31.5" customHeight="1">
      <c r="A316" s="447"/>
      <c r="C316" s="195" t="s">
        <v>2039</v>
      </c>
      <c r="D316" s="580"/>
      <c r="E316" s="511" t="s">
        <v>1999</v>
      </c>
      <c r="F316" s="1070" t="s">
        <v>961</v>
      </c>
      <c r="G316" s="1070"/>
      <c r="H316" s="1070"/>
      <c r="I316" s="1070"/>
      <c r="J316" s="581" t="s">
        <v>198</v>
      </c>
      <c r="K316" s="74">
        <v>12</v>
      </c>
      <c r="L316" s="31"/>
      <c r="M316" s="105"/>
      <c r="N316" s="1071">
        <f t="shared" si="19"/>
        <v>0</v>
      </c>
      <c r="O316" s="1071"/>
      <c r="P316" s="1071"/>
      <c r="Q316" s="1071"/>
      <c r="S316" s="321"/>
      <c r="AD316" s="321"/>
      <c r="AE316" s="321"/>
    </row>
    <row r="317" spans="3:30" ht="31.5" customHeight="1">
      <c r="C317" s="195" t="s">
        <v>2040</v>
      </c>
      <c r="D317" s="195"/>
      <c r="E317" s="511" t="s">
        <v>2000</v>
      </c>
      <c r="F317" s="954" t="s">
        <v>206</v>
      </c>
      <c r="G317" s="954"/>
      <c r="H317" s="954"/>
      <c r="I317" s="954"/>
      <c r="J317" s="103" t="s">
        <v>2227</v>
      </c>
      <c r="K317" s="45">
        <v>1</v>
      </c>
      <c r="L317" s="36"/>
      <c r="M317" s="561"/>
      <c r="N317" s="1009">
        <f t="shared" si="19"/>
        <v>0</v>
      </c>
      <c r="O317" s="1009"/>
      <c r="P317" s="1009"/>
      <c r="Q317" s="1009"/>
      <c r="AD317" s="562"/>
    </row>
    <row r="318" spans="3:30" ht="31.5" customHeight="1">
      <c r="C318" s="195" t="s">
        <v>2041</v>
      </c>
      <c r="D318" s="195"/>
      <c r="E318" s="511" t="s">
        <v>2001</v>
      </c>
      <c r="F318" s="954" t="s">
        <v>2226</v>
      </c>
      <c r="G318" s="954"/>
      <c r="H318" s="954"/>
      <c r="I318" s="954"/>
      <c r="J318" s="103" t="s">
        <v>2227</v>
      </c>
      <c r="K318" s="45">
        <v>1</v>
      </c>
      <c r="L318" s="36"/>
      <c r="M318" s="561"/>
      <c r="N318" s="1009">
        <f t="shared" si="19"/>
        <v>0</v>
      </c>
      <c r="O318" s="1009"/>
      <c r="P318" s="1009"/>
      <c r="Q318" s="1009"/>
      <c r="AD318" s="562"/>
    </row>
    <row r="319" spans="3:17" ht="31.5" customHeight="1">
      <c r="C319" s="547"/>
      <c r="D319" s="564" t="s">
        <v>962</v>
      </c>
      <c r="E319" s="105"/>
      <c r="F319" s="105"/>
      <c r="G319" s="105"/>
      <c r="H319" s="105"/>
      <c r="I319" s="105"/>
      <c r="J319" s="548"/>
      <c r="K319" s="65"/>
      <c r="L319" s="532"/>
      <c r="M319" s="105"/>
      <c r="N319" s="481"/>
      <c r="O319" s="482"/>
      <c r="P319" s="482"/>
      <c r="Q319" s="482"/>
    </row>
    <row r="320" spans="3:17" ht="31.5" customHeight="1">
      <c r="C320" s="195" t="s">
        <v>2042</v>
      </c>
      <c r="D320" s="556"/>
      <c r="E320" s="511" t="s">
        <v>2072</v>
      </c>
      <c r="F320" s="1001" t="s">
        <v>963</v>
      </c>
      <c r="G320" s="1002"/>
      <c r="H320" s="1002"/>
      <c r="I320" s="1003"/>
      <c r="J320" s="567" t="s">
        <v>133</v>
      </c>
      <c r="K320" s="60">
        <v>45.6</v>
      </c>
      <c r="L320" s="30"/>
      <c r="M320" s="105"/>
      <c r="N320" s="998">
        <f aca="true" t="shared" si="21" ref="N320:N333">ROUND(L320*K320,2)</f>
        <v>0</v>
      </c>
      <c r="O320" s="998"/>
      <c r="P320" s="998"/>
      <c r="Q320" s="998"/>
    </row>
    <row r="321" spans="3:17" ht="31.5" customHeight="1">
      <c r="C321" s="195" t="s">
        <v>2043</v>
      </c>
      <c r="D321" s="556"/>
      <c r="E321" s="511" t="s">
        <v>2073</v>
      </c>
      <c r="F321" s="1001" t="s">
        <v>964</v>
      </c>
      <c r="G321" s="1002"/>
      <c r="H321" s="1002"/>
      <c r="I321" s="1003"/>
      <c r="J321" s="567" t="s">
        <v>133</v>
      </c>
      <c r="K321" s="60">
        <v>45.6</v>
      </c>
      <c r="L321" s="30"/>
      <c r="M321" s="105"/>
      <c r="N321" s="998">
        <f t="shared" si="21"/>
        <v>0</v>
      </c>
      <c r="O321" s="998"/>
      <c r="P321" s="998"/>
      <c r="Q321" s="998"/>
    </row>
    <row r="322" spans="3:17" ht="31.5" customHeight="1">
      <c r="C322" s="195" t="s">
        <v>2044</v>
      </c>
      <c r="D322" s="556"/>
      <c r="E322" s="511" t="s">
        <v>2074</v>
      </c>
      <c r="F322" s="1001" t="s">
        <v>965</v>
      </c>
      <c r="G322" s="1002"/>
      <c r="H322" s="1002"/>
      <c r="I322" s="1003"/>
      <c r="J322" s="567" t="s">
        <v>133</v>
      </c>
      <c r="K322" s="60">
        <v>46.8</v>
      </c>
      <c r="L322" s="30"/>
      <c r="M322" s="105"/>
      <c r="N322" s="998">
        <f t="shared" si="21"/>
        <v>0</v>
      </c>
      <c r="O322" s="998"/>
      <c r="P322" s="998"/>
      <c r="Q322" s="998"/>
    </row>
    <row r="323" spans="3:17" ht="31.5" customHeight="1">
      <c r="C323" s="195" t="s">
        <v>2045</v>
      </c>
      <c r="D323" s="556"/>
      <c r="E323" s="511" t="s">
        <v>2075</v>
      </c>
      <c r="F323" s="1001" t="s">
        <v>966</v>
      </c>
      <c r="G323" s="1002"/>
      <c r="H323" s="1002"/>
      <c r="I323" s="1003"/>
      <c r="J323" s="567" t="s">
        <v>198</v>
      </c>
      <c r="K323" s="60">
        <v>24</v>
      </c>
      <c r="L323" s="30"/>
      <c r="M323" s="105"/>
      <c r="N323" s="998">
        <f t="shared" si="21"/>
        <v>0</v>
      </c>
      <c r="O323" s="998"/>
      <c r="P323" s="998"/>
      <c r="Q323" s="998"/>
    </row>
    <row r="324" spans="3:17" ht="31.5" customHeight="1">
      <c r="C324" s="195" t="s">
        <v>2046</v>
      </c>
      <c r="D324" s="556"/>
      <c r="E324" s="511" t="s">
        <v>2076</v>
      </c>
      <c r="F324" s="1001" t="s">
        <v>967</v>
      </c>
      <c r="G324" s="1002"/>
      <c r="H324" s="1002"/>
      <c r="I324" s="1003"/>
      <c r="J324" s="567" t="s">
        <v>198</v>
      </c>
      <c r="K324" s="60">
        <v>4</v>
      </c>
      <c r="L324" s="30"/>
      <c r="M324" s="105"/>
      <c r="N324" s="998">
        <f t="shared" si="21"/>
        <v>0</v>
      </c>
      <c r="O324" s="998"/>
      <c r="P324" s="998"/>
      <c r="Q324" s="998"/>
    </row>
    <row r="325" spans="3:17" ht="31.5" customHeight="1">
      <c r="C325" s="195" t="s">
        <v>2047</v>
      </c>
      <c r="D325" s="556"/>
      <c r="E325" s="511" t="s">
        <v>2077</v>
      </c>
      <c r="F325" s="1001" t="s">
        <v>968</v>
      </c>
      <c r="G325" s="1002"/>
      <c r="H325" s="1002"/>
      <c r="I325" s="1003"/>
      <c r="J325" s="567" t="s">
        <v>198</v>
      </c>
      <c r="K325" s="60">
        <v>4</v>
      </c>
      <c r="L325" s="30"/>
      <c r="M325" s="105"/>
      <c r="N325" s="998">
        <f t="shared" si="21"/>
        <v>0</v>
      </c>
      <c r="O325" s="998"/>
      <c r="P325" s="998"/>
      <c r="Q325" s="998"/>
    </row>
    <row r="326" spans="3:17" ht="31.5" customHeight="1">
      <c r="C326" s="195" t="s">
        <v>2048</v>
      </c>
      <c r="D326" s="556"/>
      <c r="E326" s="511" t="s">
        <v>2078</v>
      </c>
      <c r="F326" s="1001" t="s">
        <v>969</v>
      </c>
      <c r="G326" s="1002"/>
      <c r="H326" s="1002"/>
      <c r="I326" s="1003"/>
      <c r="J326" s="567" t="s">
        <v>127</v>
      </c>
      <c r="K326" s="60">
        <v>6.7</v>
      </c>
      <c r="L326" s="30"/>
      <c r="M326" s="105"/>
      <c r="N326" s="998">
        <f t="shared" si="21"/>
        <v>0</v>
      </c>
      <c r="O326" s="998"/>
      <c r="P326" s="998"/>
      <c r="Q326" s="998"/>
    </row>
    <row r="327" spans="3:17" ht="31.5" customHeight="1">
      <c r="C327" s="195" t="s">
        <v>2049</v>
      </c>
      <c r="D327" s="556"/>
      <c r="E327" s="511" t="s">
        <v>2079</v>
      </c>
      <c r="F327" s="1001" t="s">
        <v>970</v>
      </c>
      <c r="G327" s="1002"/>
      <c r="H327" s="1002"/>
      <c r="I327" s="1003"/>
      <c r="J327" s="567" t="s">
        <v>133</v>
      </c>
      <c r="K327" s="60">
        <v>2.45</v>
      </c>
      <c r="L327" s="30"/>
      <c r="M327" s="105"/>
      <c r="N327" s="998">
        <f t="shared" si="21"/>
        <v>0</v>
      </c>
      <c r="O327" s="998"/>
      <c r="P327" s="998"/>
      <c r="Q327" s="998"/>
    </row>
    <row r="328" spans="3:17" ht="31.5" customHeight="1">
      <c r="C328" s="195" t="s">
        <v>2050</v>
      </c>
      <c r="D328" s="556"/>
      <c r="E328" s="511" t="s">
        <v>2080</v>
      </c>
      <c r="F328" s="1001" t="s">
        <v>971</v>
      </c>
      <c r="G328" s="1002"/>
      <c r="H328" s="1002"/>
      <c r="I328" s="1003"/>
      <c r="J328" s="567" t="s">
        <v>133</v>
      </c>
      <c r="K328" s="60">
        <v>7.95</v>
      </c>
      <c r="L328" s="30"/>
      <c r="M328" s="105"/>
      <c r="N328" s="998">
        <f t="shared" si="21"/>
        <v>0</v>
      </c>
      <c r="O328" s="998"/>
      <c r="P328" s="998"/>
      <c r="Q328" s="998"/>
    </row>
    <row r="329" spans="3:17" ht="31.5" customHeight="1">
      <c r="C329" s="195" t="s">
        <v>2051</v>
      </c>
      <c r="D329" s="556"/>
      <c r="E329" s="511" t="s">
        <v>2081</v>
      </c>
      <c r="F329" s="1001" t="s">
        <v>972</v>
      </c>
      <c r="G329" s="1002"/>
      <c r="H329" s="1002"/>
      <c r="I329" s="1003"/>
      <c r="J329" s="567" t="s">
        <v>198</v>
      </c>
      <c r="K329" s="60">
        <v>4</v>
      </c>
      <c r="L329" s="30"/>
      <c r="M329" s="105"/>
      <c r="N329" s="998">
        <f t="shared" si="21"/>
        <v>0</v>
      </c>
      <c r="O329" s="998"/>
      <c r="P329" s="998"/>
      <c r="Q329" s="998"/>
    </row>
    <row r="330" spans="3:17" ht="31.5" customHeight="1">
      <c r="C330" s="195" t="s">
        <v>2052</v>
      </c>
      <c r="D330" s="556"/>
      <c r="E330" s="511" t="s">
        <v>2082</v>
      </c>
      <c r="F330" s="1001" t="s">
        <v>973</v>
      </c>
      <c r="G330" s="1002"/>
      <c r="H330" s="1002"/>
      <c r="I330" s="1003"/>
      <c r="J330" s="567" t="s">
        <v>133</v>
      </c>
      <c r="K330" s="60">
        <v>7.95</v>
      </c>
      <c r="L330" s="30"/>
      <c r="M330" s="105"/>
      <c r="N330" s="998">
        <f t="shared" si="21"/>
        <v>0</v>
      </c>
      <c r="O330" s="998"/>
      <c r="P330" s="998"/>
      <c r="Q330" s="998"/>
    </row>
    <row r="331" spans="3:17" ht="31.5" customHeight="1">
      <c r="C331" s="195" t="s">
        <v>2053</v>
      </c>
      <c r="D331" s="556"/>
      <c r="E331" s="511" t="s">
        <v>2083</v>
      </c>
      <c r="F331" s="1001" t="s">
        <v>974</v>
      </c>
      <c r="G331" s="1002"/>
      <c r="H331" s="1002"/>
      <c r="I331" s="1003"/>
      <c r="J331" s="567" t="s">
        <v>133</v>
      </c>
      <c r="K331" s="60">
        <v>2.45</v>
      </c>
      <c r="L331" s="30"/>
      <c r="M331" s="105"/>
      <c r="N331" s="998">
        <f t="shared" si="21"/>
        <v>0</v>
      </c>
      <c r="O331" s="998"/>
      <c r="P331" s="998"/>
      <c r="Q331" s="998"/>
    </row>
    <row r="332" spans="3:30" ht="31.5" customHeight="1">
      <c r="C332" s="195" t="s">
        <v>2054</v>
      </c>
      <c r="D332" s="195"/>
      <c r="E332" s="511" t="s">
        <v>2084</v>
      </c>
      <c r="F332" s="954" t="s">
        <v>206</v>
      </c>
      <c r="G332" s="954"/>
      <c r="H332" s="954"/>
      <c r="I332" s="954"/>
      <c r="J332" s="103" t="s">
        <v>2227</v>
      </c>
      <c r="K332" s="45">
        <v>1</v>
      </c>
      <c r="L332" s="36"/>
      <c r="M332" s="561"/>
      <c r="N332" s="1009">
        <f t="shared" si="21"/>
        <v>0</v>
      </c>
      <c r="O332" s="1009"/>
      <c r="P332" s="1009"/>
      <c r="Q332" s="1009"/>
      <c r="AD332" s="562"/>
    </row>
    <row r="333" spans="3:30" ht="31.5" customHeight="1">
      <c r="C333" s="195" t="s">
        <v>2055</v>
      </c>
      <c r="D333" s="195"/>
      <c r="E333" s="511" t="s">
        <v>2085</v>
      </c>
      <c r="F333" s="954" t="s">
        <v>2226</v>
      </c>
      <c r="G333" s="954"/>
      <c r="H333" s="954"/>
      <c r="I333" s="954"/>
      <c r="J333" s="103" t="s">
        <v>2227</v>
      </c>
      <c r="K333" s="45">
        <v>1</v>
      </c>
      <c r="L333" s="36"/>
      <c r="M333" s="561"/>
      <c r="N333" s="1009">
        <f t="shared" si="21"/>
        <v>0</v>
      </c>
      <c r="O333" s="1009"/>
      <c r="P333" s="1009"/>
      <c r="Q333" s="1009"/>
      <c r="AD333" s="562"/>
    </row>
    <row r="334" spans="3:17" ht="31.5" customHeight="1">
      <c r="C334" s="547"/>
      <c r="D334" s="564" t="s">
        <v>2197</v>
      </c>
      <c r="E334" s="105"/>
      <c r="F334" s="105"/>
      <c r="G334" s="105"/>
      <c r="H334" s="105"/>
      <c r="I334" s="105"/>
      <c r="J334" s="548"/>
      <c r="K334" s="65"/>
      <c r="L334" s="105"/>
      <c r="M334" s="105"/>
      <c r="N334" s="481"/>
      <c r="O334" s="482"/>
      <c r="P334" s="482"/>
      <c r="Q334" s="482"/>
    </row>
    <row r="335" spans="3:17" ht="31.5" customHeight="1">
      <c r="C335" s="195" t="s">
        <v>2056</v>
      </c>
      <c r="D335" s="569"/>
      <c r="E335" s="511" t="s">
        <v>2086</v>
      </c>
      <c r="F335" s="1054" t="s">
        <v>458</v>
      </c>
      <c r="G335" s="1055"/>
      <c r="H335" s="1055"/>
      <c r="I335" s="1056"/>
      <c r="J335" s="96" t="s">
        <v>133</v>
      </c>
      <c r="K335" s="50">
        <v>16</v>
      </c>
      <c r="L335" s="21"/>
      <c r="M335" s="105"/>
      <c r="N335" s="948">
        <f aca="true" t="shared" si="22" ref="N335:N342">ROUND(L335*K335,2)</f>
        <v>0</v>
      </c>
      <c r="O335" s="948"/>
      <c r="P335" s="948"/>
      <c r="Q335" s="948"/>
    </row>
    <row r="336" spans="3:17" ht="31.5" customHeight="1">
      <c r="C336" s="195" t="s">
        <v>2057</v>
      </c>
      <c r="D336" s="551"/>
      <c r="E336" s="511" t="s">
        <v>2087</v>
      </c>
      <c r="F336" s="1001" t="s">
        <v>1804</v>
      </c>
      <c r="G336" s="1002"/>
      <c r="H336" s="1002"/>
      <c r="I336" s="1003"/>
      <c r="J336" s="97" t="s">
        <v>133</v>
      </c>
      <c r="K336" s="48">
        <v>17.6</v>
      </c>
      <c r="L336" s="27"/>
      <c r="M336" s="105"/>
      <c r="N336" s="998">
        <f t="shared" si="22"/>
        <v>0</v>
      </c>
      <c r="O336" s="998"/>
      <c r="P336" s="998"/>
      <c r="Q336" s="998"/>
    </row>
    <row r="337" spans="1:30" s="583" customFormat="1" ht="46.5" customHeight="1">
      <c r="A337" s="582"/>
      <c r="C337" s="195" t="s">
        <v>2058</v>
      </c>
      <c r="D337" s="584"/>
      <c r="E337" s="585" t="s">
        <v>2088</v>
      </c>
      <c r="F337" s="1065" t="s">
        <v>2195</v>
      </c>
      <c r="G337" s="1066"/>
      <c r="H337" s="1066"/>
      <c r="I337" s="1067"/>
      <c r="J337" s="586" t="s">
        <v>198</v>
      </c>
      <c r="K337" s="75">
        <v>8</v>
      </c>
      <c r="L337" s="33">
        <v>0</v>
      </c>
      <c r="M337" s="105"/>
      <c r="N337" s="1068">
        <f t="shared" si="22"/>
        <v>0</v>
      </c>
      <c r="O337" s="1068"/>
      <c r="P337" s="1068"/>
      <c r="Q337" s="1068"/>
      <c r="AD337" s="321"/>
    </row>
    <row r="338" spans="3:17" ht="31.5" customHeight="1">
      <c r="C338" s="195" t="s">
        <v>2059</v>
      </c>
      <c r="D338" s="551"/>
      <c r="E338" s="511" t="s">
        <v>2199</v>
      </c>
      <c r="F338" s="1001" t="s">
        <v>2198</v>
      </c>
      <c r="G338" s="1002"/>
      <c r="H338" s="1002"/>
      <c r="I338" s="1003"/>
      <c r="J338" s="97" t="s">
        <v>131</v>
      </c>
      <c r="K338" s="48">
        <v>1</v>
      </c>
      <c r="L338" s="27"/>
      <c r="M338" s="105"/>
      <c r="N338" s="998">
        <f t="shared" si="22"/>
        <v>0</v>
      </c>
      <c r="O338" s="998"/>
      <c r="P338" s="998"/>
      <c r="Q338" s="998"/>
    </row>
    <row r="339" spans="1:30" s="583" customFormat="1" ht="31.5" customHeight="1">
      <c r="A339" s="582"/>
      <c r="C339" s="585" t="s">
        <v>2060</v>
      </c>
      <c r="D339" s="587"/>
      <c r="E339" s="585" t="s">
        <v>2200</v>
      </c>
      <c r="F339" s="1061" t="s">
        <v>2203</v>
      </c>
      <c r="G339" s="1062"/>
      <c r="H339" s="1062"/>
      <c r="I339" s="1063"/>
      <c r="J339" s="588" t="s">
        <v>131</v>
      </c>
      <c r="K339" s="76">
        <v>1</v>
      </c>
      <c r="L339" s="34">
        <v>0</v>
      </c>
      <c r="M339" s="105"/>
      <c r="N339" s="1064">
        <f t="shared" si="22"/>
        <v>0</v>
      </c>
      <c r="O339" s="1064"/>
      <c r="P339" s="1064"/>
      <c r="Q339" s="1064"/>
      <c r="AD339" s="321"/>
    </row>
    <row r="340" spans="1:30" s="583" customFormat="1" ht="46.5" customHeight="1">
      <c r="A340" s="582"/>
      <c r="C340" s="195" t="s">
        <v>2061</v>
      </c>
      <c r="D340" s="584"/>
      <c r="E340" s="511" t="s">
        <v>2201</v>
      </c>
      <c r="F340" s="1019" t="s">
        <v>2202</v>
      </c>
      <c r="G340" s="1020"/>
      <c r="H340" s="1020"/>
      <c r="I340" s="1021"/>
      <c r="J340" s="581" t="s">
        <v>131</v>
      </c>
      <c r="K340" s="74">
        <v>1</v>
      </c>
      <c r="L340" s="24"/>
      <c r="M340" s="105"/>
      <c r="N340" s="994">
        <f t="shared" si="22"/>
        <v>0</v>
      </c>
      <c r="O340" s="994"/>
      <c r="P340" s="994"/>
      <c r="Q340" s="994"/>
      <c r="AD340" s="321"/>
    </row>
    <row r="341" spans="3:30" ht="31.5" customHeight="1">
      <c r="C341" s="195" t="s">
        <v>2062</v>
      </c>
      <c r="D341" s="195"/>
      <c r="E341" s="511" t="s">
        <v>2089</v>
      </c>
      <c r="F341" s="954" t="s">
        <v>206</v>
      </c>
      <c r="G341" s="954"/>
      <c r="H341" s="954"/>
      <c r="I341" s="954"/>
      <c r="J341" s="103" t="s">
        <v>2227</v>
      </c>
      <c r="K341" s="45">
        <v>1</v>
      </c>
      <c r="L341" s="36"/>
      <c r="M341" s="561"/>
      <c r="N341" s="1009">
        <f t="shared" si="22"/>
        <v>0</v>
      </c>
      <c r="O341" s="1009"/>
      <c r="P341" s="1009"/>
      <c r="Q341" s="1009"/>
      <c r="AD341" s="562"/>
    </row>
    <row r="342" spans="3:30" ht="31.5" customHeight="1">
      <c r="C342" s="195" t="s">
        <v>2063</v>
      </c>
      <c r="D342" s="195"/>
      <c r="E342" s="511" t="s">
        <v>2090</v>
      </c>
      <c r="F342" s="954" t="s">
        <v>2226</v>
      </c>
      <c r="G342" s="954"/>
      <c r="H342" s="954"/>
      <c r="I342" s="954"/>
      <c r="J342" s="103" t="s">
        <v>2227</v>
      </c>
      <c r="K342" s="45">
        <v>1</v>
      </c>
      <c r="L342" s="36"/>
      <c r="M342" s="561"/>
      <c r="N342" s="1009">
        <f t="shared" si="22"/>
        <v>0</v>
      </c>
      <c r="O342" s="1009"/>
      <c r="P342" s="1009"/>
      <c r="Q342" s="1009"/>
      <c r="AD342" s="562"/>
    </row>
    <row r="343" spans="3:17" ht="31.5" customHeight="1">
      <c r="C343" s="547"/>
      <c r="D343" s="564" t="s">
        <v>429</v>
      </c>
      <c r="E343" s="105"/>
      <c r="F343" s="105"/>
      <c r="G343" s="105"/>
      <c r="H343" s="105"/>
      <c r="I343" s="105"/>
      <c r="J343" s="548"/>
      <c r="K343" s="65"/>
      <c r="L343" s="532"/>
      <c r="M343" s="105"/>
      <c r="N343" s="481"/>
      <c r="O343" s="482"/>
      <c r="P343" s="482"/>
      <c r="Q343" s="482"/>
    </row>
    <row r="344" spans="3:17" ht="31.5" customHeight="1">
      <c r="C344" s="195" t="s">
        <v>2061</v>
      </c>
      <c r="D344" s="490"/>
      <c r="E344" s="511" t="s">
        <v>2091</v>
      </c>
      <c r="F344" s="947" t="s">
        <v>430</v>
      </c>
      <c r="G344" s="947"/>
      <c r="H344" s="947"/>
      <c r="I344" s="947"/>
      <c r="J344" s="96" t="s">
        <v>127</v>
      </c>
      <c r="K344" s="50">
        <v>22.8</v>
      </c>
      <c r="L344" s="21"/>
      <c r="M344" s="105"/>
      <c r="N344" s="948">
        <f aca="true" t="shared" si="23" ref="N344:N354">ROUND(L344*K344,2)</f>
        <v>0</v>
      </c>
      <c r="O344" s="948"/>
      <c r="P344" s="948"/>
      <c r="Q344" s="948"/>
    </row>
    <row r="345" spans="3:17" ht="31.5" customHeight="1">
      <c r="C345" s="195" t="s">
        <v>2062</v>
      </c>
      <c r="D345" s="490"/>
      <c r="E345" s="511" t="s">
        <v>2092</v>
      </c>
      <c r="F345" s="1029" t="s">
        <v>2103</v>
      </c>
      <c r="G345" s="1030"/>
      <c r="H345" s="1030"/>
      <c r="I345" s="1031"/>
      <c r="J345" s="96" t="s">
        <v>198</v>
      </c>
      <c r="K345" s="50">
        <v>1</v>
      </c>
      <c r="L345" s="21"/>
      <c r="M345" s="105"/>
      <c r="N345" s="948">
        <f t="shared" si="23"/>
        <v>0</v>
      </c>
      <c r="O345" s="948"/>
      <c r="P345" s="948"/>
      <c r="Q345" s="948"/>
    </row>
    <row r="346" spans="3:17" ht="31.5" customHeight="1">
      <c r="C346" s="195" t="s">
        <v>2063</v>
      </c>
      <c r="D346" s="151"/>
      <c r="E346" s="511" t="s">
        <v>2093</v>
      </c>
      <c r="F346" s="947" t="s">
        <v>431</v>
      </c>
      <c r="G346" s="1028"/>
      <c r="H346" s="1028"/>
      <c r="I346" s="1028"/>
      <c r="J346" s="195" t="s">
        <v>133</v>
      </c>
      <c r="K346" s="50">
        <v>408</v>
      </c>
      <c r="L346" s="21"/>
      <c r="M346" s="105"/>
      <c r="N346" s="948">
        <f t="shared" si="23"/>
        <v>0</v>
      </c>
      <c r="O346" s="948"/>
      <c r="P346" s="948"/>
      <c r="Q346" s="948"/>
    </row>
    <row r="347" spans="3:17" ht="31.5" customHeight="1">
      <c r="C347" s="195" t="s">
        <v>2064</v>
      </c>
      <c r="D347" s="556"/>
      <c r="E347" s="511" t="s">
        <v>2094</v>
      </c>
      <c r="F347" s="1004" t="s">
        <v>2214</v>
      </c>
      <c r="G347" s="1004"/>
      <c r="H347" s="1004"/>
      <c r="I347" s="1004"/>
      <c r="J347" s="97" t="s">
        <v>129</v>
      </c>
      <c r="K347" s="48">
        <v>1.07712</v>
      </c>
      <c r="L347" s="27"/>
      <c r="M347" s="105"/>
      <c r="N347" s="998">
        <f t="shared" si="23"/>
        <v>0</v>
      </c>
      <c r="O347" s="998"/>
      <c r="P347" s="998"/>
      <c r="Q347" s="998"/>
    </row>
    <row r="348" spans="3:17" ht="31.5" customHeight="1">
      <c r="C348" s="195" t="s">
        <v>2065</v>
      </c>
      <c r="D348" s="151"/>
      <c r="E348" s="511" t="s">
        <v>2095</v>
      </c>
      <c r="F348" s="947" t="s">
        <v>433</v>
      </c>
      <c r="G348" s="1028"/>
      <c r="H348" s="1028"/>
      <c r="I348" s="1028"/>
      <c r="J348" s="511" t="s">
        <v>127</v>
      </c>
      <c r="K348" s="57">
        <v>232.1636</v>
      </c>
      <c r="L348" s="21"/>
      <c r="M348" s="105"/>
      <c r="N348" s="948">
        <f t="shared" si="23"/>
        <v>0</v>
      </c>
      <c r="O348" s="948"/>
      <c r="P348" s="948"/>
      <c r="Q348" s="948"/>
    </row>
    <row r="349" spans="3:17" ht="31.5" customHeight="1">
      <c r="C349" s="195" t="s">
        <v>2066</v>
      </c>
      <c r="D349" s="556"/>
      <c r="E349" s="511" t="s">
        <v>2096</v>
      </c>
      <c r="F349" s="1004" t="s">
        <v>432</v>
      </c>
      <c r="G349" s="1004"/>
      <c r="H349" s="1004"/>
      <c r="I349" s="1004"/>
      <c r="J349" s="97" t="s">
        <v>127</v>
      </c>
      <c r="K349" s="48">
        <v>255.37996</v>
      </c>
      <c r="L349" s="27"/>
      <c r="M349" s="105"/>
      <c r="N349" s="998">
        <f t="shared" si="23"/>
        <v>0</v>
      </c>
      <c r="O349" s="998"/>
      <c r="P349" s="998"/>
      <c r="Q349" s="998"/>
    </row>
    <row r="350" spans="3:17" ht="31.5" customHeight="1">
      <c r="C350" s="195" t="s">
        <v>2067</v>
      </c>
      <c r="D350" s="151"/>
      <c r="E350" s="511" t="s">
        <v>2097</v>
      </c>
      <c r="F350" s="947" t="s">
        <v>434</v>
      </c>
      <c r="G350" s="1028"/>
      <c r="H350" s="1028"/>
      <c r="I350" s="1028"/>
      <c r="J350" s="511" t="s">
        <v>127</v>
      </c>
      <c r="K350" s="57">
        <v>212.5636</v>
      </c>
      <c r="L350" s="21"/>
      <c r="M350" s="105"/>
      <c r="N350" s="948">
        <f t="shared" si="23"/>
        <v>0</v>
      </c>
      <c r="O350" s="948"/>
      <c r="P350" s="948"/>
      <c r="Q350" s="948"/>
    </row>
    <row r="351" spans="3:17" ht="31.5" customHeight="1">
      <c r="C351" s="195" t="s">
        <v>2068</v>
      </c>
      <c r="D351" s="556"/>
      <c r="E351" s="511" t="s">
        <v>2098</v>
      </c>
      <c r="F351" s="1004" t="s">
        <v>436</v>
      </c>
      <c r="G351" s="1004"/>
      <c r="H351" s="1004"/>
      <c r="I351" s="1004"/>
      <c r="J351" s="97" t="s">
        <v>127</v>
      </c>
      <c r="K351" s="48">
        <v>233.81996000000004</v>
      </c>
      <c r="L351" s="27"/>
      <c r="M351" s="105"/>
      <c r="N351" s="998">
        <f t="shared" si="23"/>
        <v>0</v>
      </c>
      <c r="O351" s="998"/>
      <c r="P351" s="998"/>
      <c r="Q351" s="998"/>
    </row>
    <row r="352" spans="3:17" ht="31.5" customHeight="1">
      <c r="C352" s="195" t="s">
        <v>2069</v>
      </c>
      <c r="D352" s="151"/>
      <c r="E352" s="511" t="s">
        <v>2099</v>
      </c>
      <c r="F352" s="947" t="s">
        <v>435</v>
      </c>
      <c r="G352" s="1028"/>
      <c r="H352" s="1028"/>
      <c r="I352" s="1028"/>
      <c r="J352" s="511" t="s">
        <v>127</v>
      </c>
      <c r="K352" s="57">
        <v>212.5636</v>
      </c>
      <c r="L352" s="21"/>
      <c r="M352" s="105"/>
      <c r="N352" s="948">
        <f t="shared" si="23"/>
        <v>0</v>
      </c>
      <c r="O352" s="948"/>
      <c r="P352" s="948"/>
      <c r="Q352" s="948"/>
    </row>
    <row r="353" spans="3:17" ht="31.5" customHeight="1">
      <c r="C353" s="195" t="s">
        <v>2070</v>
      </c>
      <c r="D353" s="556"/>
      <c r="E353" s="511" t="s">
        <v>2100</v>
      </c>
      <c r="F353" s="1004" t="s">
        <v>437</v>
      </c>
      <c r="G353" s="1004"/>
      <c r="H353" s="1004"/>
      <c r="I353" s="1004"/>
      <c r="J353" s="97" t="s">
        <v>127</v>
      </c>
      <c r="K353" s="48">
        <v>233.81996000000004</v>
      </c>
      <c r="L353" s="27"/>
      <c r="M353" s="105"/>
      <c r="N353" s="998">
        <f t="shared" si="23"/>
        <v>0</v>
      </c>
      <c r="O353" s="998"/>
      <c r="P353" s="998"/>
      <c r="Q353" s="998"/>
    </row>
    <row r="354" spans="3:17" ht="31.5" customHeight="1">
      <c r="C354" s="195" t="s">
        <v>2071</v>
      </c>
      <c r="D354" s="195"/>
      <c r="E354" s="511" t="s">
        <v>2101</v>
      </c>
      <c r="F354" s="954" t="s">
        <v>206</v>
      </c>
      <c r="G354" s="954"/>
      <c r="H354" s="954"/>
      <c r="I354" s="954"/>
      <c r="J354" s="103" t="s">
        <v>2227</v>
      </c>
      <c r="K354" s="45">
        <v>1</v>
      </c>
      <c r="L354" s="36"/>
      <c r="M354" s="561"/>
      <c r="N354" s="1009">
        <f t="shared" si="23"/>
        <v>0</v>
      </c>
      <c r="O354" s="1009"/>
      <c r="P354" s="1009"/>
      <c r="Q354" s="1009"/>
    </row>
    <row r="355" spans="3:30" ht="31.5" customHeight="1">
      <c r="C355" s="195" t="s">
        <v>2117</v>
      </c>
      <c r="D355" s="195"/>
      <c r="E355" s="511" t="s">
        <v>2102</v>
      </c>
      <c r="F355" s="954" t="s">
        <v>2226</v>
      </c>
      <c r="G355" s="954"/>
      <c r="H355" s="954"/>
      <c r="I355" s="954"/>
      <c r="J355" s="103" t="s">
        <v>2227</v>
      </c>
      <c r="K355" s="45">
        <v>1</v>
      </c>
      <c r="L355" s="36"/>
      <c r="M355" s="561"/>
      <c r="N355" s="1009">
        <f>ROUND(L355*K355,2)</f>
        <v>0</v>
      </c>
      <c r="O355" s="1009"/>
      <c r="P355" s="1009"/>
      <c r="Q355" s="1009"/>
      <c r="AD355" s="562"/>
    </row>
    <row r="356" spans="3:17" ht="31.5" customHeight="1">
      <c r="C356" s="547"/>
      <c r="D356" s="564" t="s">
        <v>2133</v>
      </c>
      <c r="E356" s="105"/>
      <c r="F356" s="105"/>
      <c r="G356" s="105"/>
      <c r="H356" s="105"/>
      <c r="I356" s="105"/>
      <c r="J356" s="548"/>
      <c r="K356" s="65"/>
      <c r="L356" s="532"/>
      <c r="M356" s="105"/>
      <c r="N356" s="481"/>
      <c r="O356" s="482"/>
      <c r="P356" s="482"/>
      <c r="Q356" s="482"/>
    </row>
    <row r="357" spans="3:17" ht="31.5" customHeight="1">
      <c r="C357" s="195" t="s">
        <v>2118</v>
      </c>
      <c r="D357" s="151"/>
      <c r="E357" s="511" t="s">
        <v>2104</v>
      </c>
      <c r="F357" s="954" t="s">
        <v>2228</v>
      </c>
      <c r="G357" s="1069"/>
      <c r="H357" s="1069"/>
      <c r="I357" s="1069"/>
      <c r="J357" s="195" t="s">
        <v>127</v>
      </c>
      <c r="K357" s="50">
        <v>1427.646675</v>
      </c>
      <c r="L357" s="21"/>
      <c r="M357" s="105"/>
      <c r="N357" s="948">
        <f aca="true" t="shared" si="24" ref="N357:N368">ROUND(L357*K357,2)</f>
        <v>0</v>
      </c>
      <c r="O357" s="948"/>
      <c r="P357" s="948"/>
      <c r="Q357" s="948"/>
    </row>
    <row r="358" spans="3:17" ht="31.5" customHeight="1">
      <c r="C358" s="195" t="s">
        <v>2119</v>
      </c>
      <c r="D358" s="490"/>
      <c r="E358" s="511" t="s">
        <v>2105</v>
      </c>
      <c r="F358" s="954" t="s">
        <v>2229</v>
      </c>
      <c r="G358" s="954"/>
      <c r="H358" s="954"/>
      <c r="I358" s="954"/>
      <c r="J358" s="96" t="s">
        <v>127</v>
      </c>
      <c r="K358" s="50">
        <v>252.52556399999997</v>
      </c>
      <c r="L358" s="21"/>
      <c r="M358" s="105"/>
      <c r="N358" s="948">
        <f t="shared" si="24"/>
        <v>0</v>
      </c>
      <c r="O358" s="948"/>
      <c r="P358" s="948"/>
      <c r="Q358" s="948"/>
    </row>
    <row r="359" spans="3:17" ht="31.5" customHeight="1">
      <c r="C359" s="195" t="s">
        <v>2120</v>
      </c>
      <c r="D359" s="151"/>
      <c r="E359" s="511" t="s">
        <v>2106</v>
      </c>
      <c r="F359" s="954" t="s">
        <v>2230</v>
      </c>
      <c r="G359" s="954"/>
      <c r="H359" s="954"/>
      <c r="I359" s="954"/>
      <c r="J359" s="96" t="s">
        <v>127</v>
      </c>
      <c r="K359" s="50">
        <v>377.90000000000003</v>
      </c>
      <c r="L359" s="21"/>
      <c r="M359" s="105"/>
      <c r="N359" s="948">
        <f t="shared" si="24"/>
        <v>0</v>
      </c>
      <c r="O359" s="948"/>
      <c r="P359" s="948"/>
      <c r="Q359" s="948"/>
    </row>
    <row r="360" spans="3:17" ht="31.5" customHeight="1">
      <c r="C360" s="195" t="s">
        <v>2121</v>
      </c>
      <c r="D360" s="151"/>
      <c r="E360" s="511" t="s">
        <v>2107</v>
      </c>
      <c r="F360" s="954" t="s">
        <v>2231</v>
      </c>
      <c r="G360" s="954"/>
      <c r="H360" s="954"/>
      <c r="I360" s="954"/>
      <c r="J360" s="195" t="s">
        <v>127</v>
      </c>
      <c r="K360" s="50">
        <v>159.62</v>
      </c>
      <c r="L360" s="21"/>
      <c r="M360" s="105"/>
      <c r="N360" s="948">
        <f t="shared" si="24"/>
        <v>0</v>
      </c>
      <c r="O360" s="948"/>
      <c r="P360" s="948"/>
      <c r="Q360" s="948"/>
    </row>
    <row r="361" spans="3:17" ht="31.5" customHeight="1">
      <c r="C361" s="195" t="s">
        <v>2122</v>
      </c>
      <c r="D361" s="556"/>
      <c r="E361" s="511" t="s">
        <v>2108</v>
      </c>
      <c r="F361" s="1040" t="s">
        <v>2232</v>
      </c>
      <c r="G361" s="1041"/>
      <c r="H361" s="1041"/>
      <c r="I361" s="1042"/>
      <c r="J361" s="97" t="s">
        <v>127</v>
      </c>
      <c r="K361" s="48">
        <v>2439.4614629000002</v>
      </c>
      <c r="L361" s="27"/>
      <c r="M361" s="105"/>
      <c r="N361" s="998">
        <f t="shared" si="24"/>
        <v>0</v>
      </c>
      <c r="O361" s="998"/>
      <c r="P361" s="998"/>
      <c r="Q361" s="998"/>
    </row>
    <row r="362" spans="3:17" ht="31.5" customHeight="1">
      <c r="C362" s="195" t="s">
        <v>2123</v>
      </c>
      <c r="D362" s="151"/>
      <c r="E362" s="511" t="s">
        <v>2109</v>
      </c>
      <c r="F362" s="947" t="s">
        <v>440</v>
      </c>
      <c r="G362" s="947"/>
      <c r="H362" s="947"/>
      <c r="I362" s="947"/>
      <c r="J362" s="96" t="s">
        <v>127</v>
      </c>
      <c r="K362" s="50">
        <v>238.4563</v>
      </c>
      <c r="L362" s="21"/>
      <c r="M362" s="105"/>
      <c r="N362" s="948">
        <f t="shared" si="24"/>
        <v>0</v>
      </c>
      <c r="O362" s="948"/>
      <c r="P362" s="948"/>
      <c r="Q362" s="948"/>
    </row>
    <row r="363" spans="3:17" ht="31.5" customHeight="1">
      <c r="C363" s="195" t="s">
        <v>2124</v>
      </c>
      <c r="D363" s="551"/>
      <c r="E363" s="511" t="s">
        <v>2110</v>
      </c>
      <c r="F363" s="1040" t="s">
        <v>2233</v>
      </c>
      <c r="G363" s="1041"/>
      <c r="H363" s="1041"/>
      <c r="I363" s="1042"/>
      <c r="J363" s="97" t="s">
        <v>127</v>
      </c>
      <c r="K363" s="48">
        <v>262.30193</v>
      </c>
      <c r="L363" s="27"/>
      <c r="M363" s="105"/>
      <c r="N363" s="998">
        <f t="shared" si="24"/>
        <v>0</v>
      </c>
      <c r="O363" s="998"/>
      <c r="P363" s="998"/>
      <c r="Q363" s="998"/>
    </row>
    <row r="364" spans="3:17" ht="31.5" customHeight="1">
      <c r="C364" s="195" t="s">
        <v>2125</v>
      </c>
      <c r="D364" s="490"/>
      <c r="E364" s="511" t="s">
        <v>2111</v>
      </c>
      <c r="F364" s="947" t="s">
        <v>438</v>
      </c>
      <c r="G364" s="947"/>
      <c r="H364" s="947"/>
      <c r="I364" s="947"/>
      <c r="J364" s="96" t="s">
        <v>127</v>
      </c>
      <c r="K364" s="50">
        <v>64.99000000000001</v>
      </c>
      <c r="L364" s="21"/>
      <c r="M364" s="105"/>
      <c r="N364" s="948">
        <f t="shared" si="24"/>
        <v>0</v>
      </c>
      <c r="O364" s="948"/>
      <c r="P364" s="948"/>
      <c r="Q364" s="948"/>
    </row>
    <row r="365" spans="3:17" ht="31.5" customHeight="1">
      <c r="C365" s="195" t="s">
        <v>2126</v>
      </c>
      <c r="D365" s="578"/>
      <c r="E365" s="511" t="s">
        <v>2112</v>
      </c>
      <c r="F365" s="1004" t="s">
        <v>439</v>
      </c>
      <c r="G365" s="1004"/>
      <c r="H365" s="1004"/>
      <c r="I365" s="1004"/>
      <c r="J365" s="556" t="s">
        <v>127</v>
      </c>
      <c r="K365" s="48">
        <v>71.48900000000002</v>
      </c>
      <c r="L365" s="27"/>
      <c r="M365" s="105"/>
      <c r="N365" s="998">
        <f t="shared" si="24"/>
        <v>0</v>
      </c>
      <c r="O365" s="998"/>
      <c r="P365" s="998"/>
      <c r="Q365" s="998"/>
    </row>
    <row r="366" spans="3:17" ht="31.5" customHeight="1">
      <c r="C366" s="195" t="s">
        <v>2127</v>
      </c>
      <c r="D366" s="551"/>
      <c r="E366" s="511" t="s">
        <v>2113</v>
      </c>
      <c r="F366" s="1051" t="s">
        <v>984</v>
      </c>
      <c r="G366" s="1052"/>
      <c r="H366" s="1052"/>
      <c r="I366" s="1053"/>
      <c r="J366" s="581" t="s">
        <v>127</v>
      </c>
      <c r="K366" s="57">
        <v>319.94956799999994</v>
      </c>
      <c r="L366" s="29"/>
      <c r="M366" s="105"/>
      <c r="N366" s="948">
        <f t="shared" si="24"/>
        <v>0</v>
      </c>
      <c r="O366" s="948"/>
      <c r="P366" s="948"/>
      <c r="Q366" s="948"/>
    </row>
    <row r="367" spans="3:17" ht="31.5" customHeight="1">
      <c r="C367" s="195" t="s">
        <v>2128</v>
      </c>
      <c r="D367" s="551"/>
      <c r="E367" s="511" t="s">
        <v>2114</v>
      </c>
      <c r="F367" s="1054" t="s">
        <v>1805</v>
      </c>
      <c r="G367" s="1055"/>
      <c r="H367" s="1055"/>
      <c r="I367" s="1056"/>
      <c r="J367" s="589" t="s">
        <v>127</v>
      </c>
      <c r="K367" s="57">
        <v>197.4432</v>
      </c>
      <c r="L367" s="29"/>
      <c r="M367" s="105"/>
      <c r="N367" s="948">
        <f t="shared" si="24"/>
        <v>0</v>
      </c>
      <c r="O367" s="948"/>
      <c r="P367" s="948"/>
      <c r="Q367" s="948"/>
    </row>
    <row r="368" spans="3:30" ht="31.5" customHeight="1">
      <c r="C368" s="195" t="s">
        <v>2129</v>
      </c>
      <c r="D368" s="195"/>
      <c r="E368" s="511" t="s">
        <v>2115</v>
      </c>
      <c r="F368" s="954" t="s">
        <v>206</v>
      </c>
      <c r="G368" s="954"/>
      <c r="H368" s="954"/>
      <c r="I368" s="954"/>
      <c r="J368" s="103" t="s">
        <v>2227</v>
      </c>
      <c r="K368" s="45">
        <v>1</v>
      </c>
      <c r="L368" s="36"/>
      <c r="M368" s="561"/>
      <c r="N368" s="1009">
        <f t="shared" si="24"/>
        <v>0</v>
      </c>
      <c r="O368" s="1009"/>
      <c r="P368" s="1009"/>
      <c r="Q368" s="1009"/>
      <c r="AD368" s="562"/>
    </row>
    <row r="369" spans="3:30" ht="32.25" customHeight="1">
      <c r="C369" s="195" t="s">
        <v>2132</v>
      </c>
      <c r="D369" s="195"/>
      <c r="E369" s="511" t="s">
        <v>2116</v>
      </c>
      <c r="F369" s="954" t="s">
        <v>2226</v>
      </c>
      <c r="G369" s="954"/>
      <c r="H369" s="954"/>
      <c r="I369" s="954"/>
      <c r="J369" s="103" t="s">
        <v>2227</v>
      </c>
      <c r="K369" s="45">
        <v>1</v>
      </c>
      <c r="L369" s="36"/>
      <c r="M369" s="561"/>
      <c r="N369" s="1009">
        <f>ROUND(L369*K369,2)</f>
        <v>0</v>
      </c>
      <c r="O369" s="1009"/>
      <c r="P369" s="1009"/>
      <c r="Q369" s="1009"/>
      <c r="AD369" s="562"/>
    </row>
    <row r="370" spans="3:17" ht="32.25" customHeight="1">
      <c r="C370" s="547"/>
      <c r="D370" s="564" t="s">
        <v>441</v>
      </c>
      <c r="E370" s="105"/>
      <c r="F370" s="105"/>
      <c r="G370" s="105"/>
      <c r="H370" s="105"/>
      <c r="I370" s="105"/>
      <c r="J370" s="548"/>
      <c r="K370" s="65"/>
      <c r="L370" s="532"/>
      <c r="M370" s="105"/>
      <c r="N370" s="481"/>
      <c r="O370" s="482"/>
      <c r="P370" s="482"/>
      <c r="Q370" s="482"/>
    </row>
    <row r="371" spans="3:17" ht="32.25" customHeight="1">
      <c r="C371" s="550" t="s">
        <v>2153</v>
      </c>
      <c r="D371" s="569"/>
      <c r="E371" s="511" t="s">
        <v>2141</v>
      </c>
      <c r="F371" s="947" t="s">
        <v>443</v>
      </c>
      <c r="G371" s="1028"/>
      <c r="H371" s="1028"/>
      <c r="I371" s="1028"/>
      <c r="J371" s="195" t="s">
        <v>129</v>
      </c>
      <c r="K371" s="52">
        <v>0.61</v>
      </c>
      <c r="L371" s="21"/>
      <c r="M371" s="105"/>
      <c r="N371" s="948">
        <f>ROUND(L371*K371,2)</f>
        <v>0</v>
      </c>
      <c r="O371" s="948"/>
      <c r="P371" s="948"/>
      <c r="Q371" s="948"/>
    </row>
    <row r="372" spans="3:17" ht="32.25" customHeight="1">
      <c r="C372" s="550" t="s">
        <v>2154</v>
      </c>
      <c r="D372" s="551"/>
      <c r="E372" s="511" t="s">
        <v>2142</v>
      </c>
      <c r="F372" s="1004" t="s">
        <v>2206</v>
      </c>
      <c r="G372" s="1072"/>
      <c r="H372" s="1072"/>
      <c r="I372" s="1072"/>
      <c r="J372" s="556" t="s">
        <v>129</v>
      </c>
      <c r="K372" s="48">
        <v>0.671</v>
      </c>
      <c r="L372" s="21"/>
      <c r="M372" s="105"/>
      <c r="N372" s="998">
        <f>ROUND(L372*K372,2)</f>
        <v>0</v>
      </c>
      <c r="O372" s="998"/>
      <c r="P372" s="998"/>
      <c r="Q372" s="998"/>
    </row>
    <row r="373" spans="3:17" ht="32.25" customHeight="1">
      <c r="C373" s="550" t="s">
        <v>2155</v>
      </c>
      <c r="D373" s="569"/>
      <c r="E373" s="511" t="s">
        <v>2143</v>
      </c>
      <c r="F373" s="1054" t="s">
        <v>444</v>
      </c>
      <c r="G373" s="1055"/>
      <c r="H373" s="1055"/>
      <c r="I373" s="1056"/>
      <c r="J373" s="580" t="s">
        <v>129</v>
      </c>
      <c r="K373" s="74">
        <v>0.9149999999999999</v>
      </c>
      <c r="L373" s="21"/>
      <c r="M373" s="105"/>
      <c r="N373" s="948">
        <f>ROUND(L373*K373,2)</f>
        <v>0</v>
      </c>
      <c r="O373" s="948"/>
      <c r="P373" s="948"/>
      <c r="Q373" s="948"/>
    </row>
    <row r="374" spans="3:17" ht="32.25" customHeight="1">
      <c r="C374" s="550" t="s">
        <v>2156</v>
      </c>
      <c r="D374" s="551"/>
      <c r="E374" s="511" t="s">
        <v>2144</v>
      </c>
      <c r="F374" s="1073" t="s">
        <v>357</v>
      </c>
      <c r="G374" s="1074"/>
      <c r="H374" s="1074"/>
      <c r="I374" s="1075"/>
      <c r="J374" s="556" t="s">
        <v>129</v>
      </c>
      <c r="K374" s="48">
        <v>1.0065</v>
      </c>
      <c r="L374" s="28"/>
      <c r="M374" s="105"/>
      <c r="N374" s="998">
        <f>ROUND(L374*K374,2)</f>
        <v>0</v>
      </c>
      <c r="O374" s="998"/>
      <c r="P374" s="998"/>
      <c r="Q374" s="998"/>
    </row>
    <row r="375" spans="3:17" ht="32.25" customHeight="1">
      <c r="C375" s="550" t="s">
        <v>2157</v>
      </c>
      <c r="D375" s="151"/>
      <c r="E375" s="511" t="s">
        <v>2145</v>
      </c>
      <c r="F375" s="947" t="s">
        <v>442</v>
      </c>
      <c r="G375" s="1028"/>
      <c r="H375" s="1028"/>
      <c r="I375" s="1028"/>
      <c r="J375" s="195" t="s">
        <v>129</v>
      </c>
      <c r="K375" s="52">
        <v>0.7659</v>
      </c>
      <c r="L375" s="28"/>
      <c r="M375" s="105"/>
      <c r="N375" s="948">
        <f aca="true" t="shared" si="25" ref="N375:N380">ROUND(L375*K375,2)</f>
        <v>0</v>
      </c>
      <c r="O375" s="948"/>
      <c r="P375" s="948"/>
      <c r="Q375" s="948"/>
    </row>
    <row r="376" spans="3:17" ht="32.25" customHeight="1">
      <c r="C376" s="550" t="s">
        <v>2158</v>
      </c>
      <c r="D376" s="578"/>
      <c r="E376" s="511" t="s">
        <v>2146</v>
      </c>
      <c r="F376" s="1043" t="s">
        <v>361</v>
      </c>
      <c r="G376" s="1044"/>
      <c r="H376" s="1044"/>
      <c r="I376" s="1045"/>
      <c r="J376" s="556" t="s">
        <v>129</v>
      </c>
      <c r="K376" s="48">
        <v>0.8424900000000001</v>
      </c>
      <c r="L376" s="27"/>
      <c r="M376" s="105"/>
      <c r="N376" s="998">
        <f t="shared" si="25"/>
        <v>0</v>
      </c>
      <c r="O376" s="998"/>
      <c r="P376" s="998"/>
      <c r="Q376" s="998"/>
    </row>
    <row r="377" spans="3:17" ht="32.25" customHeight="1">
      <c r="C377" s="550" t="s">
        <v>2159</v>
      </c>
      <c r="D377" s="151"/>
      <c r="E377" s="511" t="s">
        <v>2147</v>
      </c>
      <c r="F377" s="995" t="s">
        <v>445</v>
      </c>
      <c r="G377" s="996"/>
      <c r="H377" s="996"/>
      <c r="I377" s="997"/>
      <c r="J377" s="195" t="s">
        <v>127</v>
      </c>
      <c r="K377" s="52">
        <v>26.621999999999996</v>
      </c>
      <c r="L377" s="21"/>
      <c r="M377" s="105"/>
      <c r="N377" s="948">
        <f t="shared" si="25"/>
        <v>0</v>
      </c>
      <c r="O377" s="948"/>
      <c r="P377" s="948"/>
      <c r="Q377" s="948"/>
    </row>
    <row r="378" spans="3:17" ht="32.25" customHeight="1">
      <c r="C378" s="550" t="s">
        <v>2160</v>
      </c>
      <c r="D378" s="578"/>
      <c r="E378" s="511" t="s">
        <v>2148</v>
      </c>
      <c r="F378" s="1043" t="s">
        <v>446</v>
      </c>
      <c r="G378" s="1044"/>
      <c r="H378" s="1044"/>
      <c r="I378" s="1045"/>
      <c r="J378" s="556" t="s">
        <v>127</v>
      </c>
      <c r="K378" s="48">
        <v>29.2842</v>
      </c>
      <c r="L378" s="27"/>
      <c r="M378" s="105"/>
      <c r="N378" s="998">
        <f t="shared" si="25"/>
        <v>0</v>
      </c>
      <c r="O378" s="998"/>
      <c r="P378" s="998"/>
      <c r="Q378" s="998"/>
    </row>
    <row r="379" spans="3:17" ht="32.25" customHeight="1">
      <c r="C379" s="550" t="s">
        <v>2161</v>
      </c>
      <c r="D379" s="151"/>
      <c r="E379" s="511" t="s">
        <v>2149</v>
      </c>
      <c r="F379" s="995" t="s">
        <v>447</v>
      </c>
      <c r="G379" s="996"/>
      <c r="H379" s="996"/>
      <c r="I379" s="997"/>
      <c r="J379" s="195" t="s">
        <v>129</v>
      </c>
      <c r="K379" s="52">
        <v>0.66</v>
      </c>
      <c r="L379" s="21"/>
      <c r="M379" s="105"/>
      <c r="N379" s="948">
        <f t="shared" si="25"/>
        <v>0</v>
      </c>
      <c r="O379" s="948"/>
      <c r="P379" s="948"/>
      <c r="Q379" s="948"/>
    </row>
    <row r="380" spans="3:17" ht="32.25" customHeight="1">
      <c r="C380" s="550" t="s">
        <v>2162</v>
      </c>
      <c r="D380" s="578"/>
      <c r="E380" s="511" t="s">
        <v>2150</v>
      </c>
      <c r="F380" s="1043" t="s">
        <v>448</v>
      </c>
      <c r="G380" s="1044"/>
      <c r="H380" s="1044"/>
      <c r="I380" s="1045"/>
      <c r="J380" s="556" t="s">
        <v>129</v>
      </c>
      <c r="K380" s="48">
        <v>0.7260000000000001</v>
      </c>
      <c r="L380" s="27"/>
      <c r="M380" s="105"/>
      <c r="N380" s="998">
        <f t="shared" si="25"/>
        <v>0</v>
      </c>
      <c r="O380" s="998"/>
      <c r="P380" s="998"/>
      <c r="Q380" s="998"/>
    </row>
    <row r="381" spans="3:30" ht="32.25" customHeight="1">
      <c r="C381" s="550" t="s">
        <v>2163</v>
      </c>
      <c r="D381" s="195"/>
      <c r="E381" s="511" t="s">
        <v>2151</v>
      </c>
      <c r="F381" s="954" t="s">
        <v>206</v>
      </c>
      <c r="G381" s="954"/>
      <c r="H381" s="954"/>
      <c r="I381" s="954"/>
      <c r="J381" s="103" t="s">
        <v>2227</v>
      </c>
      <c r="K381" s="45">
        <v>1</v>
      </c>
      <c r="L381" s="36"/>
      <c r="M381" s="561"/>
      <c r="N381" s="1009">
        <f>ROUND(L381*K381,2)</f>
        <v>0</v>
      </c>
      <c r="O381" s="1009"/>
      <c r="P381" s="1009"/>
      <c r="Q381" s="1009"/>
      <c r="AD381" s="562"/>
    </row>
    <row r="382" spans="3:30" ht="32.25" customHeight="1">
      <c r="C382" s="550" t="s">
        <v>2164</v>
      </c>
      <c r="D382" s="195"/>
      <c r="E382" s="511" t="s">
        <v>2152</v>
      </c>
      <c r="F382" s="954" t="s">
        <v>2226</v>
      </c>
      <c r="G382" s="954"/>
      <c r="H382" s="954"/>
      <c r="I382" s="954"/>
      <c r="J382" s="103" t="s">
        <v>2227</v>
      </c>
      <c r="K382" s="45">
        <v>1</v>
      </c>
      <c r="L382" s="36"/>
      <c r="M382" s="561"/>
      <c r="N382" s="1009">
        <f>ROUND(L382*K382,2)</f>
        <v>0</v>
      </c>
      <c r="O382" s="1009"/>
      <c r="P382" s="1009"/>
      <c r="Q382" s="1009"/>
      <c r="AD382" s="562"/>
    </row>
    <row r="383" spans="3:17" ht="32.25" customHeight="1" hidden="1">
      <c r="C383" s="77"/>
      <c r="D383" s="564" t="s">
        <v>2134</v>
      </c>
      <c r="E383" s="77"/>
      <c r="F383" s="590"/>
      <c r="G383" s="590"/>
      <c r="H383" s="590"/>
      <c r="I383" s="590"/>
      <c r="J383" s="77"/>
      <c r="K383" s="77"/>
      <c r="L383" s="77"/>
      <c r="M383" s="105"/>
      <c r="N383" s="77"/>
      <c r="O383" s="77"/>
      <c r="P383" s="77"/>
      <c r="Q383" s="77"/>
    </row>
    <row r="384" spans="3:17" ht="32.25" customHeight="1" hidden="1">
      <c r="C384" s="195" t="s">
        <v>2165</v>
      </c>
      <c r="D384" s="151"/>
      <c r="E384" s="591"/>
      <c r="F384" s="947" t="s">
        <v>2135</v>
      </c>
      <c r="G384" s="947"/>
      <c r="H384" s="947"/>
      <c r="I384" s="947"/>
      <c r="J384" s="96" t="s">
        <v>127</v>
      </c>
      <c r="K384" s="52">
        <v>659.8995</v>
      </c>
      <c r="L384" s="185">
        <v>0</v>
      </c>
      <c r="M384" s="105"/>
      <c r="N384" s="948">
        <f>ROUND(L384*K384,2)</f>
        <v>0</v>
      </c>
      <c r="O384" s="948"/>
      <c r="P384" s="948"/>
      <c r="Q384" s="948"/>
    </row>
    <row r="385" spans="3:17" ht="32.25" customHeight="1" hidden="1">
      <c r="C385" s="195" t="s">
        <v>2166</v>
      </c>
      <c r="D385" s="151"/>
      <c r="E385" s="591"/>
      <c r="F385" s="947" t="s">
        <v>2136</v>
      </c>
      <c r="G385" s="947"/>
      <c r="H385" s="947"/>
      <c r="I385" s="947"/>
      <c r="J385" s="96" t="s">
        <v>127</v>
      </c>
      <c r="K385" s="52">
        <v>340.855</v>
      </c>
      <c r="L385" s="185">
        <v>0</v>
      </c>
      <c r="M385" s="105"/>
      <c r="N385" s="948">
        <f>ROUND(L385*K385,2)</f>
        <v>0</v>
      </c>
      <c r="O385" s="948"/>
      <c r="P385" s="948"/>
      <c r="Q385" s="948"/>
    </row>
    <row r="386" spans="3:17" ht="32.25" customHeight="1" hidden="1">
      <c r="C386" s="195" t="s">
        <v>2167</v>
      </c>
      <c r="D386" s="151"/>
      <c r="E386" s="591"/>
      <c r="F386" s="947" t="s">
        <v>2137</v>
      </c>
      <c r="G386" s="947"/>
      <c r="H386" s="947"/>
      <c r="I386" s="947"/>
      <c r="J386" s="96" t="s">
        <v>127</v>
      </c>
      <c r="K386" s="52">
        <v>92.04</v>
      </c>
      <c r="L386" s="185">
        <v>0</v>
      </c>
      <c r="M386" s="105"/>
      <c r="N386" s="948">
        <f>ROUND(L386*K386,2)</f>
        <v>0</v>
      </c>
      <c r="O386" s="948"/>
      <c r="P386" s="948"/>
      <c r="Q386" s="948"/>
    </row>
    <row r="387" spans="3:17" ht="32.25" customHeight="1">
      <c r="C387" s="547"/>
      <c r="D387" s="564" t="s">
        <v>2138</v>
      </c>
      <c r="E387" s="105"/>
      <c r="F387" s="200"/>
      <c r="G387" s="200"/>
      <c r="H387" s="200"/>
      <c r="I387" s="200"/>
      <c r="J387" s="548"/>
      <c r="K387" s="65"/>
      <c r="L387" s="105"/>
      <c r="M387" s="105"/>
      <c r="N387" s="481"/>
      <c r="O387" s="482"/>
      <c r="P387" s="482"/>
      <c r="Q387" s="482"/>
    </row>
    <row r="388" spans="3:17" ht="45" customHeight="1">
      <c r="C388" s="550" t="s">
        <v>2165</v>
      </c>
      <c r="D388" s="490"/>
      <c r="E388" s="511" t="s">
        <v>2168</v>
      </c>
      <c r="F388" s="1039" t="s">
        <v>2215</v>
      </c>
      <c r="G388" s="1039"/>
      <c r="H388" s="1039"/>
      <c r="I388" s="1039"/>
      <c r="J388" s="592" t="s">
        <v>127</v>
      </c>
      <c r="K388" s="78">
        <f>199.54+K386*0.2</f>
        <v>217.94799999999998</v>
      </c>
      <c r="L388" s="35">
        <v>0</v>
      </c>
      <c r="M388" s="105"/>
      <c r="N388" s="1035">
        <v>0</v>
      </c>
      <c r="O388" s="1035"/>
      <c r="P388" s="1035"/>
      <c r="Q388" s="1035"/>
    </row>
    <row r="389" spans="3:17" ht="32.25" customHeight="1">
      <c r="C389" s="550" t="s">
        <v>2166</v>
      </c>
      <c r="D389" s="151"/>
      <c r="E389" s="511" t="s">
        <v>2169</v>
      </c>
      <c r="F389" s="947" t="s">
        <v>2139</v>
      </c>
      <c r="G389" s="947"/>
      <c r="H389" s="947"/>
      <c r="I389" s="947"/>
      <c r="J389" s="96" t="s">
        <v>127</v>
      </c>
      <c r="K389" s="52">
        <f>870.4650625+K384*0.2</f>
        <v>1002.4449625000001</v>
      </c>
      <c r="L389" s="21"/>
      <c r="M389" s="105"/>
      <c r="N389" s="1037">
        <f>ROUND(L389*K389,2)</f>
        <v>0</v>
      </c>
      <c r="O389" s="1037"/>
      <c r="P389" s="1037"/>
      <c r="Q389" s="1037"/>
    </row>
    <row r="390" spans="3:17" ht="40.5" customHeight="1">
      <c r="C390" s="550" t="s">
        <v>2167</v>
      </c>
      <c r="D390" s="490"/>
      <c r="E390" s="511" t="s">
        <v>2170</v>
      </c>
      <c r="F390" s="1039" t="s">
        <v>2216</v>
      </c>
      <c r="G390" s="1039"/>
      <c r="H390" s="1039"/>
      <c r="I390" s="1039"/>
      <c r="J390" s="592" t="s">
        <v>127</v>
      </c>
      <c r="K390" s="78">
        <f>323.05+K385*0.2</f>
        <v>391.221</v>
      </c>
      <c r="L390" s="35">
        <v>0</v>
      </c>
      <c r="M390" s="105"/>
      <c r="N390" s="1035">
        <v>0</v>
      </c>
      <c r="O390" s="1035"/>
      <c r="P390" s="1035"/>
      <c r="Q390" s="1035"/>
    </row>
    <row r="391" spans="3:17" ht="32.25" customHeight="1">
      <c r="C391" s="550" t="s">
        <v>2177</v>
      </c>
      <c r="D391" s="151"/>
      <c r="E391" s="511" t="s">
        <v>2171</v>
      </c>
      <c r="F391" s="1054" t="s">
        <v>450</v>
      </c>
      <c r="G391" s="1055"/>
      <c r="H391" s="1055"/>
      <c r="I391" s="1056"/>
      <c r="J391" s="96" t="s">
        <v>127</v>
      </c>
      <c r="K391" s="52">
        <v>48.06549999999999</v>
      </c>
      <c r="L391" s="21"/>
      <c r="M391" s="105"/>
      <c r="N391" s="1057">
        <f aca="true" t="shared" si="26" ref="N391">ROUND(L391*K391,2)</f>
        <v>0</v>
      </c>
      <c r="O391" s="1058"/>
      <c r="P391" s="1058"/>
      <c r="Q391" s="1059"/>
    </row>
    <row r="392" spans="3:17" ht="32.25" customHeight="1">
      <c r="C392" s="550" t="s">
        <v>2178</v>
      </c>
      <c r="D392" s="151"/>
      <c r="E392" s="511" t="s">
        <v>2172</v>
      </c>
      <c r="F392" s="1039" t="s">
        <v>2217</v>
      </c>
      <c r="G392" s="1039"/>
      <c r="H392" s="1039"/>
      <c r="I392" s="1039"/>
      <c r="J392" s="592" t="s">
        <v>127</v>
      </c>
      <c r="K392" s="78">
        <f>K386+199.54</f>
        <v>291.58</v>
      </c>
      <c r="L392" s="35">
        <v>0</v>
      </c>
      <c r="M392" s="105"/>
      <c r="N392" s="1035">
        <v>0</v>
      </c>
      <c r="O392" s="1035"/>
      <c r="P392" s="1035"/>
      <c r="Q392" s="1035"/>
    </row>
    <row r="393" spans="3:17" ht="32.25" customHeight="1">
      <c r="C393" s="550" t="s">
        <v>2179</v>
      </c>
      <c r="D393" s="151"/>
      <c r="E393" s="511" t="s">
        <v>2173</v>
      </c>
      <c r="F393" s="1039" t="s">
        <v>2218</v>
      </c>
      <c r="G393" s="1039"/>
      <c r="H393" s="1039"/>
      <c r="I393" s="1039"/>
      <c r="J393" s="592" t="s">
        <v>127</v>
      </c>
      <c r="K393" s="78">
        <f>323.05+K385</f>
        <v>663.905</v>
      </c>
      <c r="L393" s="35">
        <v>0</v>
      </c>
      <c r="M393" s="105"/>
      <c r="N393" s="1035">
        <v>0</v>
      </c>
      <c r="O393" s="1035"/>
      <c r="P393" s="1035"/>
      <c r="Q393" s="1035"/>
    </row>
    <row r="394" spans="3:17" ht="32.25" customHeight="1">
      <c r="C394" s="550" t="s">
        <v>2180</v>
      </c>
      <c r="D394" s="151"/>
      <c r="E394" s="511" t="s">
        <v>2174</v>
      </c>
      <c r="F394" s="947" t="s">
        <v>2140</v>
      </c>
      <c r="G394" s="947"/>
      <c r="H394" s="947"/>
      <c r="I394" s="947"/>
      <c r="J394" s="96" t="s">
        <v>127</v>
      </c>
      <c r="K394" s="52">
        <f>918.5305625+K384</f>
        <v>1578.4300625</v>
      </c>
      <c r="L394" s="21"/>
      <c r="M394" s="105"/>
      <c r="N394" s="1037">
        <f aca="true" t="shared" si="27" ref="N394">ROUND(L394*K394,2)</f>
        <v>0</v>
      </c>
      <c r="O394" s="1037"/>
      <c r="P394" s="1037"/>
      <c r="Q394" s="1037"/>
    </row>
    <row r="395" spans="3:30" ht="32.25" customHeight="1">
      <c r="C395" s="550" t="s">
        <v>2181</v>
      </c>
      <c r="D395" s="195"/>
      <c r="E395" s="511" t="s">
        <v>2175</v>
      </c>
      <c r="F395" s="954" t="s">
        <v>206</v>
      </c>
      <c r="G395" s="954"/>
      <c r="H395" s="954"/>
      <c r="I395" s="954"/>
      <c r="J395" s="103" t="s">
        <v>2227</v>
      </c>
      <c r="K395" s="45">
        <v>1</v>
      </c>
      <c r="L395" s="36"/>
      <c r="M395" s="561"/>
      <c r="N395" s="1038">
        <f>ROUND(L395*K395,2)</f>
        <v>0</v>
      </c>
      <c r="O395" s="1038"/>
      <c r="P395" s="1038"/>
      <c r="Q395" s="1038"/>
      <c r="AD395" s="562"/>
    </row>
    <row r="396" spans="3:30" ht="32.25" customHeight="1">
      <c r="C396" s="550" t="s">
        <v>2182</v>
      </c>
      <c r="D396" s="195"/>
      <c r="E396" s="511" t="s">
        <v>2176</v>
      </c>
      <c r="F396" s="954" t="s">
        <v>2226</v>
      </c>
      <c r="G396" s="954"/>
      <c r="H396" s="954"/>
      <c r="I396" s="954"/>
      <c r="J396" s="103" t="s">
        <v>2227</v>
      </c>
      <c r="K396" s="45">
        <v>1</v>
      </c>
      <c r="L396" s="36"/>
      <c r="M396" s="561"/>
      <c r="N396" s="1038">
        <f>ROUND(L396*K396,2)</f>
        <v>0</v>
      </c>
      <c r="O396" s="1038"/>
      <c r="P396" s="1038"/>
      <c r="Q396" s="1038"/>
      <c r="AD396" s="562"/>
    </row>
    <row r="397" spans="3:17" ht="32.25" customHeight="1">
      <c r="C397" s="547"/>
      <c r="D397" s="564" t="s">
        <v>2194</v>
      </c>
      <c r="E397" s="105"/>
      <c r="F397" s="200"/>
      <c r="G397" s="200"/>
      <c r="H397" s="200"/>
      <c r="I397" s="200"/>
      <c r="J397" s="548"/>
      <c r="K397" s="65"/>
      <c r="L397" s="105"/>
      <c r="M397" s="105"/>
      <c r="N397" s="593"/>
      <c r="O397" s="594"/>
      <c r="P397" s="594"/>
      <c r="Q397" s="594"/>
    </row>
    <row r="398" spans="3:17" ht="29.25" customHeight="1">
      <c r="C398" s="550" t="s">
        <v>2187</v>
      </c>
      <c r="D398" s="490"/>
      <c r="E398" s="511" t="s">
        <v>2188</v>
      </c>
      <c r="F398" s="1039" t="s">
        <v>2219</v>
      </c>
      <c r="G398" s="1039"/>
      <c r="H398" s="1039"/>
      <c r="I398" s="1039"/>
      <c r="J398" s="592" t="s">
        <v>131</v>
      </c>
      <c r="K398" s="78">
        <v>1</v>
      </c>
      <c r="L398" s="35">
        <v>0</v>
      </c>
      <c r="M398" s="105"/>
      <c r="N398" s="1035">
        <v>0</v>
      </c>
      <c r="O398" s="1035"/>
      <c r="P398" s="1035"/>
      <c r="Q398" s="1035"/>
    </row>
    <row r="399" spans="3:17" ht="29.25" customHeight="1">
      <c r="C399" s="550" t="s">
        <v>2166</v>
      </c>
      <c r="D399" s="151"/>
      <c r="E399" s="511" t="s">
        <v>2190</v>
      </c>
      <c r="F399" s="1036" t="s">
        <v>2193</v>
      </c>
      <c r="G399" s="1036"/>
      <c r="H399" s="1036"/>
      <c r="I399" s="1036"/>
      <c r="J399" s="595" t="s">
        <v>131</v>
      </c>
      <c r="K399" s="79">
        <v>1</v>
      </c>
      <c r="L399" s="26"/>
      <c r="M399" s="105"/>
      <c r="N399" s="1010">
        <f>ROUND(L399*K399,2)</f>
        <v>0</v>
      </c>
      <c r="O399" s="1010"/>
      <c r="P399" s="1010"/>
      <c r="Q399" s="1010"/>
    </row>
    <row r="400" spans="3:30" ht="29.25" customHeight="1">
      <c r="C400" s="550" t="s">
        <v>2181</v>
      </c>
      <c r="D400" s="195"/>
      <c r="E400" s="511" t="s">
        <v>2191</v>
      </c>
      <c r="F400" s="954" t="s">
        <v>206</v>
      </c>
      <c r="G400" s="954"/>
      <c r="H400" s="954"/>
      <c r="I400" s="954"/>
      <c r="J400" s="103" t="s">
        <v>2227</v>
      </c>
      <c r="K400" s="45">
        <v>1</v>
      </c>
      <c r="L400" s="36"/>
      <c r="M400" s="561"/>
      <c r="N400" s="1009">
        <f>ROUND(L400*K400,2)</f>
        <v>0</v>
      </c>
      <c r="O400" s="1009"/>
      <c r="P400" s="1009"/>
      <c r="Q400" s="1009"/>
      <c r="AD400" s="562"/>
    </row>
    <row r="401" spans="3:30" ht="29.25" customHeight="1">
      <c r="C401" s="550" t="s">
        <v>2182</v>
      </c>
      <c r="D401" s="195"/>
      <c r="E401" s="511" t="s">
        <v>2192</v>
      </c>
      <c r="F401" s="954" t="s">
        <v>2226</v>
      </c>
      <c r="G401" s="954"/>
      <c r="H401" s="954"/>
      <c r="I401" s="954"/>
      <c r="J401" s="103" t="s">
        <v>2227</v>
      </c>
      <c r="K401" s="45">
        <v>1</v>
      </c>
      <c r="L401" s="36"/>
      <c r="M401" s="561"/>
      <c r="N401" s="1009">
        <f>ROUND(L401*K401,2)</f>
        <v>0</v>
      </c>
      <c r="O401" s="1009"/>
      <c r="P401" s="1009"/>
      <c r="Q401" s="1009"/>
      <c r="AD401" s="562"/>
    </row>
    <row r="402" ht="18">
      <c r="M402" s="105"/>
    </row>
    <row r="403" ht="18">
      <c r="M403" s="105"/>
    </row>
  </sheetData>
  <sheetProtection sheet="1" objects="1" scenarios="1"/>
  <mergeCells count="595">
    <mergeCell ref="N373:Q373"/>
    <mergeCell ref="F374:I374"/>
    <mergeCell ref="N374:Q374"/>
    <mergeCell ref="N375:Q375"/>
    <mergeCell ref="F384:I384"/>
    <mergeCell ref="N384:Q384"/>
    <mergeCell ref="F394:I394"/>
    <mergeCell ref="N394:Q394"/>
    <mergeCell ref="F338:I338"/>
    <mergeCell ref="N338:Q338"/>
    <mergeCell ref="F340:I340"/>
    <mergeCell ref="N340:Q340"/>
    <mergeCell ref="F286:I286"/>
    <mergeCell ref="N286:Q286"/>
    <mergeCell ref="F287:I287"/>
    <mergeCell ref="N287:Q287"/>
    <mergeCell ref="F296:I296"/>
    <mergeCell ref="N296:Q296"/>
    <mergeCell ref="F305:I305"/>
    <mergeCell ref="N305:Q305"/>
    <mergeCell ref="F316:I316"/>
    <mergeCell ref="N316:Q316"/>
    <mergeCell ref="F326:I326"/>
    <mergeCell ref="F371:I371"/>
    <mergeCell ref="N371:Q371"/>
    <mergeCell ref="F372:I372"/>
    <mergeCell ref="N372:Q372"/>
    <mergeCell ref="F373:I373"/>
    <mergeCell ref="F215:I215"/>
    <mergeCell ref="N215:Q215"/>
    <mergeCell ref="F216:I216"/>
    <mergeCell ref="N216:Q216"/>
    <mergeCell ref="F259:I259"/>
    <mergeCell ref="N259:Q259"/>
    <mergeCell ref="F268:I268"/>
    <mergeCell ref="N268:Q268"/>
    <mergeCell ref="F277:I277"/>
    <mergeCell ref="F217:I217"/>
    <mergeCell ref="N217:Q217"/>
    <mergeCell ref="F244:I244"/>
    <mergeCell ref="N244:Q244"/>
    <mergeCell ref="F250:I250"/>
    <mergeCell ref="N250:Q250"/>
    <mergeCell ref="F240:I240"/>
    <mergeCell ref="N240:Q240"/>
    <mergeCell ref="F218:I218"/>
    <mergeCell ref="F222:I222"/>
    <mergeCell ref="F224:I224"/>
    <mergeCell ref="F220:I220"/>
    <mergeCell ref="F230:I230"/>
    <mergeCell ref="F231:I231"/>
    <mergeCell ref="N341:Q341"/>
    <mergeCell ref="F369:I369"/>
    <mergeCell ref="N369:Q369"/>
    <mergeCell ref="F315:I315"/>
    <mergeCell ref="N315:Q315"/>
    <mergeCell ref="F289:I289"/>
    <mergeCell ref="N289:Q289"/>
    <mergeCell ref="N326:Q326"/>
    <mergeCell ref="F337:I337"/>
    <mergeCell ref="N337:Q337"/>
    <mergeCell ref="N360:Q360"/>
    <mergeCell ref="N322:Q322"/>
    <mergeCell ref="N327:Q327"/>
    <mergeCell ref="F321:I321"/>
    <mergeCell ref="N311:Q311"/>
    <mergeCell ref="N310:Q310"/>
    <mergeCell ref="F328:I328"/>
    <mergeCell ref="N357:Q357"/>
    <mergeCell ref="F357:I357"/>
    <mergeCell ref="N323:Q323"/>
    <mergeCell ref="F324:I324"/>
    <mergeCell ref="F253:I253"/>
    <mergeCell ref="N350:Q350"/>
    <mergeCell ref="N352:Q352"/>
    <mergeCell ref="N351:Q351"/>
    <mergeCell ref="F349:I349"/>
    <mergeCell ref="N347:Q347"/>
    <mergeCell ref="F346:I346"/>
    <mergeCell ref="N292:Q292"/>
    <mergeCell ref="N291:Q291"/>
    <mergeCell ref="F325:I325"/>
    <mergeCell ref="N325:Q325"/>
    <mergeCell ref="F339:I339"/>
    <mergeCell ref="N339:Q339"/>
    <mergeCell ref="F335:I335"/>
    <mergeCell ref="N335:Q335"/>
    <mergeCell ref="F336:I336"/>
    <mergeCell ref="N336:Q336"/>
    <mergeCell ref="N330:Q330"/>
    <mergeCell ref="F312:I312"/>
    <mergeCell ref="N277:Q277"/>
    <mergeCell ref="F298:I298"/>
    <mergeCell ref="N298:Q298"/>
    <mergeCell ref="F311:I311"/>
    <mergeCell ref="F310:I310"/>
    <mergeCell ref="F225:I225"/>
    <mergeCell ref="F219:I219"/>
    <mergeCell ref="F221:I221"/>
    <mergeCell ref="F223:I223"/>
    <mergeCell ref="F232:I232"/>
    <mergeCell ref="F233:I233"/>
    <mergeCell ref="N221:Q221"/>
    <mergeCell ref="N222:Q222"/>
    <mergeCell ref="N223:Q223"/>
    <mergeCell ref="N224:Q224"/>
    <mergeCell ref="N227:Q227"/>
    <mergeCell ref="N202:Q202"/>
    <mergeCell ref="F208:I208"/>
    <mergeCell ref="N208:Q208"/>
    <mergeCell ref="F209:I209"/>
    <mergeCell ref="N209:Q209"/>
    <mergeCell ref="F210:I210"/>
    <mergeCell ref="N210:Q210"/>
    <mergeCell ref="F214:I214"/>
    <mergeCell ref="N214:Q214"/>
    <mergeCell ref="F213:I213"/>
    <mergeCell ref="F203:I203"/>
    <mergeCell ref="N203:Q203"/>
    <mergeCell ref="F211:I211"/>
    <mergeCell ref="N211:Q211"/>
    <mergeCell ref="F191:I191"/>
    <mergeCell ref="N191:Q191"/>
    <mergeCell ref="N193:Q193"/>
    <mergeCell ref="N195:Q195"/>
    <mergeCell ref="F200:I200"/>
    <mergeCell ref="N200:Q200"/>
    <mergeCell ref="F201:I201"/>
    <mergeCell ref="N201:Q201"/>
    <mergeCell ref="N207:Q207"/>
    <mergeCell ref="N204:Q204"/>
    <mergeCell ref="F199:I199"/>
    <mergeCell ref="F193:I193"/>
    <mergeCell ref="F198:I198"/>
    <mergeCell ref="F196:I196"/>
    <mergeCell ref="F204:I204"/>
    <mergeCell ref="N205:Q205"/>
    <mergeCell ref="N206:Q206"/>
    <mergeCell ref="F206:I206"/>
    <mergeCell ref="N199:Q199"/>
    <mergeCell ref="N196:Q196"/>
    <mergeCell ref="F192:I192"/>
    <mergeCell ref="F195:I195"/>
    <mergeCell ref="F202:I202"/>
    <mergeCell ref="N192:Q192"/>
    <mergeCell ref="F189:I189"/>
    <mergeCell ref="N189:Q189"/>
    <mergeCell ref="F190:I190"/>
    <mergeCell ref="N190:Q190"/>
    <mergeCell ref="F181:I181"/>
    <mergeCell ref="N181:Q181"/>
    <mergeCell ref="F182:I182"/>
    <mergeCell ref="N182:Q182"/>
    <mergeCell ref="N178:Q178"/>
    <mergeCell ref="F184:I184"/>
    <mergeCell ref="F187:I187"/>
    <mergeCell ref="F188:I188"/>
    <mergeCell ref="F185:I185"/>
    <mergeCell ref="N186:Q186"/>
    <mergeCell ref="N187:Q187"/>
    <mergeCell ref="N188:Q188"/>
    <mergeCell ref="N180:Q180"/>
    <mergeCell ref="F180:I180"/>
    <mergeCell ref="F178:I178"/>
    <mergeCell ref="N177:Q177"/>
    <mergeCell ref="N184:Q184"/>
    <mergeCell ref="N185:Q185"/>
    <mergeCell ref="F176:I176"/>
    <mergeCell ref="N176:Q176"/>
    <mergeCell ref="F183:I183"/>
    <mergeCell ref="N183:Q183"/>
    <mergeCell ref="N118:Q118"/>
    <mergeCell ref="N119:Q119"/>
    <mergeCell ref="F142:I142"/>
    <mergeCell ref="F143:I143"/>
    <mergeCell ref="N142:Q142"/>
    <mergeCell ref="N143:Q143"/>
    <mergeCell ref="F164:I164"/>
    <mergeCell ref="F165:I165"/>
    <mergeCell ref="N164:Q164"/>
    <mergeCell ref="N165:Q165"/>
    <mergeCell ref="F140:I140"/>
    <mergeCell ref="N140:Q140"/>
    <mergeCell ref="N156:Q156"/>
    <mergeCell ref="F144:I144"/>
    <mergeCell ref="N144:Q144"/>
    <mergeCell ref="F166:I166"/>
    <mergeCell ref="N166:Q166"/>
    <mergeCell ref="F163:I163"/>
    <mergeCell ref="N163:Q163"/>
    <mergeCell ref="F175:I175"/>
    <mergeCell ref="N175:Q175"/>
    <mergeCell ref="N172:Q172"/>
    <mergeCell ref="F167:I167"/>
    <mergeCell ref="F168:I168"/>
    <mergeCell ref="F169:I169"/>
    <mergeCell ref="N167:Q167"/>
    <mergeCell ref="N168:Q168"/>
    <mergeCell ref="N169:Q169"/>
    <mergeCell ref="N171:Q171"/>
    <mergeCell ref="N173:Q173"/>
    <mergeCell ref="F174:I174"/>
    <mergeCell ref="F173:I173"/>
    <mergeCell ref="F171:I171"/>
    <mergeCell ref="F172:I172"/>
    <mergeCell ref="N385:Q385"/>
    <mergeCell ref="F392:I392"/>
    <mergeCell ref="N392:Q392"/>
    <mergeCell ref="F393:I393"/>
    <mergeCell ref="N393:Q393"/>
    <mergeCell ref="F292:I292"/>
    <mergeCell ref="F348:I348"/>
    <mergeCell ref="F366:I366"/>
    <mergeCell ref="N366:Q366"/>
    <mergeCell ref="F367:I367"/>
    <mergeCell ref="N367:Q367"/>
    <mergeCell ref="F391:I391"/>
    <mergeCell ref="N391:Q391"/>
    <mergeCell ref="N349:Q349"/>
    <mergeCell ref="N361:Q361"/>
    <mergeCell ref="F362:I362"/>
    <mergeCell ref="N362:Q362"/>
    <mergeCell ref="N377:Q377"/>
    <mergeCell ref="F361:I361"/>
    <mergeCell ref="F388:I388"/>
    <mergeCell ref="F389:I389"/>
    <mergeCell ref="N332:Q332"/>
    <mergeCell ref="N312:Q312"/>
    <mergeCell ref="F341:I341"/>
    <mergeCell ref="N256:Q256"/>
    <mergeCell ref="F257:I257"/>
    <mergeCell ref="N257:Q257"/>
    <mergeCell ref="N274:Q274"/>
    <mergeCell ref="F267:I267"/>
    <mergeCell ref="N267:Q267"/>
    <mergeCell ref="F308:I308"/>
    <mergeCell ref="N308:Q308"/>
    <mergeCell ref="N306:Q306"/>
    <mergeCell ref="F307:I307"/>
    <mergeCell ref="N307:Q307"/>
    <mergeCell ref="N297:Q297"/>
    <mergeCell ref="F297:I297"/>
    <mergeCell ref="F288:I288"/>
    <mergeCell ref="N282:Q282"/>
    <mergeCell ref="N333:Q333"/>
    <mergeCell ref="N321:Q321"/>
    <mergeCell ref="F269:I269"/>
    <mergeCell ref="N269:Q269"/>
    <mergeCell ref="N328:Q328"/>
    <mergeCell ref="N329:Q329"/>
    <mergeCell ref="N317:Q317"/>
    <mergeCell ref="F309:I309"/>
    <mergeCell ref="F293:I293"/>
    <mergeCell ref="N293:Q293"/>
    <mergeCell ref="F294:I294"/>
    <mergeCell ref="N294:Q294"/>
    <mergeCell ref="F295:I295"/>
    <mergeCell ref="N295:Q295"/>
    <mergeCell ref="N288:Q288"/>
    <mergeCell ref="N278:Q278"/>
    <mergeCell ref="N281:Q281"/>
    <mergeCell ref="F302:I302"/>
    <mergeCell ref="N302:Q302"/>
    <mergeCell ref="F303:I303"/>
    <mergeCell ref="N303:Q303"/>
    <mergeCell ref="F304:I304"/>
    <mergeCell ref="N304:Q304"/>
    <mergeCell ref="F274:I274"/>
    <mergeCell ref="F360:I360"/>
    <mergeCell ref="F390:I390"/>
    <mergeCell ref="N386:Q386"/>
    <mergeCell ref="F395:I395"/>
    <mergeCell ref="N395:Q395"/>
    <mergeCell ref="F379:I379"/>
    <mergeCell ref="N379:Q379"/>
    <mergeCell ref="F363:I363"/>
    <mergeCell ref="F382:I382"/>
    <mergeCell ref="F375:I375"/>
    <mergeCell ref="N378:Q378"/>
    <mergeCell ref="N380:Q380"/>
    <mergeCell ref="N382:Q382"/>
    <mergeCell ref="F378:I378"/>
    <mergeCell ref="F380:I380"/>
    <mergeCell ref="F381:I381"/>
    <mergeCell ref="N381:Q381"/>
    <mergeCell ref="F377:I377"/>
    <mergeCell ref="N376:Q376"/>
    <mergeCell ref="F376:I376"/>
    <mergeCell ref="N363:Q363"/>
    <mergeCell ref="F364:I364"/>
    <mergeCell ref="F365:I365"/>
    <mergeCell ref="F385:I385"/>
    <mergeCell ref="N398:Q398"/>
    <mergeCell ref="F401:I401"/>
    <mergeCell ref="N401:Q401"/>
    <mergeCell ref="F399:I399"/>
    <mergeCell ref="N399:Q399"/>
    <mergeCell ref="F386:I386"/>
    <mergeCell ref="N388:Q388"/>
    <mergeCell ref="N389:Q389"/>
    <mergeCell ref="F396:I396"/>
    <mergeCell ref="N396:Q396"/>
    <mergeCell ref="F398:I398"/>
    <mergeCell ref="F400:I400"/>
    <mergeCell ref="N400:Q400"/>
    <mergeCell ref="N390:Q390"/>
    <mergeCell ref="H1:K1"/>
    <mergeCell ref="F125:I125"/>
    <mergeCell ref="N125:Q125"/>
    <mergeCell ref="N112:Q112"/>
    <mergeCell ref="N113:Q113"/>
    <mergeCell ref="F124:I124"/>
    <mergeCell ref="F122:I122"/>
    <mergeCell ref="N122:Q122"/>
    <mergeCell ref="N124:Q124"/>
    <mergeCell ref="N120:Q120"/>
    <mergeCell ref="F121:I121"/>
    <mergeCell ref="N116:Q116"/>
    <mergeCell ref="F117:I117"/>
    <mergeCell ref="F123:I123"/>
    <mergeCell ref="N123:Q123"/>
    <mergeCell ref="N121:Q121"/>
    <mergeCell ref="F120:I120"/>
    <mergeCell ref="F119:I119"/>
    <mergeCell ref="F116:I116"/>
    <mergeCell ref="F115:I115"/>
    <mergeCell ref="M85:Q85"/>
    <mergeCell ref="C87:G87"/>
    <mergeCell ref="N87:Q87"/>
    <mergeCell ref="M106:P106"/>
    <mergeCell ref="O13:P13"/>
    <mergeCell ref="M37:P37"/>
    <mergeCell ref="M33:P33"/>
    <mergeCell ref="M34:P34"/>
    <mergeCell ref="M35:P35"/>
    <mergeCell ref="O19:P19"/>
    <mergeCell ref="F84:J84"/>
    <mergeCell ref="M31:P31"/>
    <mergeCell ref="E25:P25"/>
    <mergeCell ref="F82:J82"/>
    <mergeCell ref="C76:Q76"/>
    <mergeCell ref="F78:P78"/>
    <mergeCell ref="M82:P82"/>
    <mergeCell ref="M84:Q84"/>
    <mergeCell ref="O16:P16"/>
    <mergeCell ref="O22:P22"/>
    <mergeCell ref="H37:J37"/>
    <mergeCell ref="N92:Q92"/>
    <mergeCell ref="L94:Q94"/>
    <mergeCell ref="C100:Q100"/>
    <mergeCell ref="F102:P102"/>
    <mergeCell ref="N90:Q90"/>
    <mergeCell ref="F103:P103"/>
    <mergeCell ref="F104:P104"/>
    <mergeCell ref="H33:J33"/>
    <mergeCell ref="H34:J34"/>
    <mergeCell ref="F368:I368"/>
    <mergeCell ref="N368:Q368"/>
    <mergeCell ref="C2:Q2"/>
    <mergeCell ref="C4:Q4"/>
    <mergeCell ref="F6:P6"/>
    <mergeCell ref="F7:P7"/>
    <mergeCell ref="M29:P29"/>
    <mergeCell ref="H35:J35"/>
    <mergeCell ref="N89:Q89"/>
    <mergeCell ref="H36:J36"/>
    <mergeCell ref="M36:P36"/>
    <mergeCell ref="F80:P80"/>
    <mergeCell ref="L39:P39"/>
    <mergeCell ref="O21:P21"/>
    <mergeCell ref="F79:P79"/>
    <mergeCell ref="F8:P8"/>
    <mergeCell ref="O10:P10"/>
    <mergeCell ref="O15:P15"/>
    <mergeCell ref="M108:Q108"/>
    <mergeCell ref="M109:Q109"/>
    <mergeCell ref="F111:I111"/>
    <mergeCell ref="N111:Q111"/>
    <mergeCell ref="L111:M111"/>
    <mergeCell ref="M28:P28"/>
    <mergeCell ref="O18:P18"/>
    <mergeCell ref="O12:P12"/>
    <mergeCell ref="N331:Q331"/>
    <mergeCell ref="F290:I290"/>
    <mergeCell ref="F301:I301"/>
    <mergeCell ref="N290:Q290"/>
    <mergeCell ref="F306:I306"/>
    <mergeCell ref="N318:Q318"/>
    <mergeCell ref="F136:I136"/>
    <mergeCell ref="N136:Q136"/>
    <mergeCell ref="N137:Q137"/>
    <mergeCell ref="F131:I131"/>
    <mergeCell ref="N131:Q131"/>
    <mergeCell ref="F158:I158"/>
    <mergeCell ref="N158:Q158"/>
    <mergeCell ref="F160:I160"/>
    <mergeCell ref="N160:Q160"/>
    <mergeCell ref="F162:I162"/>
    <mergeCell ref="N162:Q162"/>
    <mergeCell ref="N313:Q313"/>
    <mergeCell ref="F314:I314"/>
    <mergeCell ref="N314:Q314"/>
    <mergeCell ref="F323:I323"/>
    <mergeCell ref="F278:I278"/>
    <mergeCell ref="F350:I350"/>
    <mergeCell ref="F355:I355"/>
    <mergeCell ref="N355:Q355"/>
    <mergeCell ref="N342:Q342"/>
    <mergeCell ref="N346:Q346"/>
    <mergeCell ref="F351:I351"/>
    <mergeCell ref="F352:I352"/>
    <mergeCell ref="F354:I354"/>
    <mergeCell ref="N354:Q354"/>
    <mergeCell ref="F344:I344"/>
    <mergeCell ref="F345:I345"/>
    <mergeCell ref="N344:Q344"/>
    <mergeCell ref="N345:Q345"/>
    <mergeCell ref="N348:Q348"/>
    <mergeCell ref="N353:Q353"/>
    <mergeCell ref="F347:I347"/>
    <mergeCell ref="N320:Q320"/>
    <mergeCell ref="F318:I318"/>
    <mergeCell ref="F320:I320"/>
    <mergeCell ref="F342:I342"/>
    <mergeCell ref="F317:I317"/>
    <mergeCell ref="N147:Q147"/>
    <mergeCell ref="F153:I153"/>
    <mergeCell ref="N152:Q152"/>
    <mergeCell ref="N161:Q161"/>
    <mergeCell ref="F157:I157"/>
    <mergeCell ref="F152:I152"/>
    <mergeCell ref="F156:I156"/>
    <mergeCell ref="F154:I154"/>
    <mergeCell ref="F161:I161"/>
    <mergeCell ref="F159:I159"/>
    <mergeCell ref="N159:Q159"/>
    <mergeCell ref="F147:I147"/>
    <mergeCell ref="F148:I148"/>
    <mergeCell ref="N151:Q151"/>
    <mergeCell ref="N157:Q157"/>
    <mergeCell ref="F177:I177"/>
    <mergeCell ref="N324:Q324"/>
    <mergeCell ref="N115:Q115"/>
    <mergeCell ref="F127:I127"/>
    <mergeCell ref="N127:Q127"/>
    <mergeCell ref="F129:I129"/>
    <mergeCell ref="N129:Q129"/>
    <mergeCell ref="F126:I126"/>
    <mergeCell ref="N126:Q126"/>
    <mergeCell ref="F118:I118"/>
    <mergeCell ref="F322:I322"/>
    <mergeCell ref="F151:I151"/>
    <mergeCell ref="N260:Q260"/>
    <mergeCell ref="N301:Q301"/>
    <mergeCell ref="N117:Q117"/>
    <mergeCell ref="N309:Q309"/>
    <mergeCell ref="F258:I258"/>
    <mergeCell ref="N258:Q258"/>
    <mergeCell ref="F265:I265"/>
    <mergeCell ref="N265:Q265"/>
    <mergeCell ref="F266:I266"/>
    <mergeCell ref="N266:Q266"/>
    <mergeCell ref="F260:I260"/>
    <mergeCell ref="F255:I255"/>
    <mergeCell ref="F313:I313"/>
    <mergeCell ref="F256:I256"/>
    <mergeCell ref="F139:I139"/>
    <mergeCell ref="N139:Q139"/>
    <mergeCell ref="F146:I146"/>
    <mergeCell ref="N146:Q146"/>
    <mergeCell ref="F128:I128"/>
    <mergeCell ref="N128:Q128"/>
    <mergeCell ref="F133:I133"/>
    <mergeCell ref="F135:I135"/>
    <mergeCell ref="F132:I132"/>
    <mergeCell ref="N132:Q132"/>
    <mergeCell ref="N135:Q135"/>
    <mergeCell ref="N133:Q133"/>
    <mergeCell ref="F141:I141"/>
    <mergeCell ref="N141:Q141"/>
    <mergeCell ref="F130:I130"/>
    <mergeCell ref="N130:Q130"/>
    <mergeCell ref="F137:I137"/>
    <mergeCell ref="F134:I134"/>
    <mergeCell ref="N134:Q134"/>
    <mergeCell ref="F281:I281"/>
    <mergeCell ref="F145:I145"/>
    <mergeCell ref="N145:Q145"/>
    <mergeCell ref="N148:Q148"/>
    <mergeCell ref="N154:Q154"/>
    <mergeCell ref="F150:I150"/>
    <mergeCell ref="N150:Q150"/>
    <mergeCell ref="N153:Q153"/>
    <mergeCell ref="F155:I155"/>
    <mergeCell ref="N155:Q155"/>
    <mergeCell ref="N174:Q174"/>
    <mergeCell ref="F186:I186"/>
    <mergeCell ref="F197:I197"/>
    <mergeCell ref="F205:I205"/>
    <mergeCell ref="F212:I212"/>
    <mergeCell ref="N197:Q197"/>
    <mergeCell ref="N198:Q198"/>
    <mergeCell ref="F264:I264"/>
    <mergeCell ref="N264:Q264"/>
    <mergeCell ref="F261:I261"/>
    <mergeCell ref="F262:I262"/>
    <mergeCell ref="N261:Q261"/>
    <mergeCell ref="N262:Q262"/>
    <mergeCell ref="F229:I229"/>
    <mergeCell ref="F254:I254"/>
    <mergeCell ref="F246:I246"/>
    <mergeCell ref="N246:Q246"/>
    <mergeCell ref="F247:I247"/>
    <mergeCell ref="F226:I226"/>
    <mergeCell ref="N228:Q228"/>
    <mergeCell ref="N229:Q229"/>
    <mergeCell ref="N245:Q245"/>
    <mergeCell ref="F248:I248"/>
    <mergeCell ref="N248:Q248"/>
    <mergeCell ref="F249:I249"/>
    <mergeCell ref="N249:Q249"/>
    <mergeCell ref="F245:I245"/>
    <mergeCell ref="N247:Q247"/>
    <mergeCell ref="F227:I227"/>
    <mergeCell ref="F228:I228"/>
    <mergeCell ref="F239:I239"/>
    <mergeCell ref="N239:Q239"/>
    <mergeCell ref="F241:I241"/>
    <mergeCell ref="N241:Q241"/>
    <mergeCell ref="F242:I242"/>
    <mergeCell ref="F252:I252"/>
    <mergeCell ref="F251:I251"/>
    <mergeCell ref="N251:Q251"/>
    <mergeCell ref="N255:Q255"/>
    <mergeCell ref="N226:Q226"/>
    <mergeCell ref="N242:Q242"/>
    <mergeCell ref="N233:Q233"/>
    <mergeCell ref="N234:Q234"/>
    <mergeCell ref="N235:Q235"/>
    <mergeCell ref="N237:Q237"/>
    <mergeCell ref="N238:Q238"/>
    <mergeCell ref="N230:Q230"/>
    <mergeCell ref="N231:Q231"/>
    <mergeCell ref="N232:Q232"/>
    <mergeCell ref="N253:Q253"/>
    <mergeCell ref="N254:Q254"/>
    <mergeCell ref="N252:Q252"/>
    <mergeCell ref="F359:I359"/>
    <mergeCell ref="N358:Q358"/>
    <mergeCell ref="N359:Q359"/>
    <mergeCell ref="F207:I207"/>
    <mergeCell ref="F291:I291"/>
    <mergeCell ref="F270:I270"/>
    <mergeCell ref="F273:I273"/>
    <mergeCell ref="N273:Q273"/>
    <mergeCell ref="F271:I271"/>
    <mergeCell ref="N270:Q270"/>
    <mergeCell ref="N271:Q271"/>
    <mergeCell ref="F279:I279"/>
    <mergeCell ref="F280:I280"/>
    <mergeCell ref="N279:Q279"/>
    <mergeCell ref="N280:Q280"/>
    <mergeCell ref="F272:I272"/>
    <mergeCell ref="N272:Q272"/>
    <mergeCell ref="N285:Q285"/>
    <mergeCell ref="N225:Q225"/>
    <mergeCell ref="N218:Q218"/>
    <mergeCell ref="N219:Q219"/>
    <mergeCell ref="N220:Q220"/>
    <mergeCell ref="N212:Q212"/>
    <mergeCell ref="N213:Q213"/>
    <mergeCell ref="N364:Q364"/>
    <mergeCell ref="N365:Q365"/>
    <mergeCell ref="F237:I237"/>
    <mergeCell ref="F234:I234"/>
    <mergeCell ref="F235:I235"/>
    <mergeCell ref="F238:I238"/>
    <mergeCell ref="F282:I282"/>
    <mergeCell ref="F331:I331"/>
    <mergeCell ref="F353:I353"/>
    <mergeCell ref="F332:I332"/>
    <mergeCell ref="F333:I333"/>
    <mergeCell ref="F327:I327"/>
    <mergeCell ref="F329:I329"/>
    <mergeCell ref="F330:I330"/>
    <mergeCell ref="F275:I275"/>
    <mergeCell ref="N275:Q275"/>
    <mergeCell ref="F276:I276"/>
    <mergeCell ref="N276:Q276"/>
    <mergeCell ref="F283:I283"/>
    <mergeCell ref="N283:Q283"/>
    <mergeCell ref="F284:I284"/>
    <mergeCell ref="N284:Q284"/>
    <mergeCell ref="F285:I285"/>
    <mergeCell ref="F358:I358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426"/>
  <sheetViews>
    <sheetView showGridLines="0" view="pageBreakPreview" zoomScaleSheetLayoutView="100" workbookViewId="0" topLeftCell="A1">
      <pane ySplit="1" topLeftCell="A356" activePane="bottomLeft" state="frozen"/>
      <selection pane="topLeft" activeCell="AE69" sqref="AE69"/>
      <selection pane="bottomLeft" activeCell="L365" sqref="L365:L372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56" width="9.33203125" style="172" customWidth="1"/>
    <col min="57" max="57" width="9.5" style="172" bestFit="1" customWidth="1"/>
    <col min="58" max="58" width="10" style="172" bestFit="1" customWidth="1"/>
    <col min="59" max="61" width="9.5" style="172" bestFit="1" customWidth="1"/>
    <col min="62" max="62" width="9.33203125" style="172" customWidth="1"/>
    <col min="63" max="63" width="10" style="172" bestFit="1" customWidth="1"/>
    <col min="64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23" t="s">
        <v>257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596" t="s">
        <v>527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74"/>
      <c r="P15" s="974"/>
      <c r="Q15" s="58"/>
      <c r="R15" s="456"/>
    </row>
    <row r="16" spans="2:18" s="162" customFormat="1" ht="18" customHeight="1">
      <c r="B16" s="455"/>
      <c r="C16" s="58"/>
      <c r="D16" s="58"/>
      <c r="E16" s="160" t="str">
        <f>IF('[2]Rekapitulace stavby'!E14="","",'[2]Rekapitulace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74"/>
      <c r="P16" s="974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f>M31</f>
        <v>0</v>
      </c>
      <c r="I34" s="973"/>
      <c r="J34" s="973"/>
      <c r="K34" s="58"/>
      <c r="L34" s="58"/>
      <c r="M34" s="975">
        <f>H34*F34</f>
        <v>0</v>
      </c>
      <c r="N34" s="973"/>
      <c r="O34" s="973"/>
      <c r="P34" s="973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 aca="true" t="shared" si="0" ref="H35:H37">M33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 t="shared" si="0"/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 t="shared" si="0"/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910" t="str">
        <f>F8</f>
        <v>03 - VNITŘNÍ KANALIAZCE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3.6" customHeight="1"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21" customHeight="1">
      <c r="B84" s="455"/>
      <c r="C84" s="158" t="s">
        <v>20</v>
      </c>
      <c r="D84" s="58"/>
      <c r="E84" s="58"/>
      <c r="F84" s="978" t="str">
        <f>F12</f>
        <v xml:space="preserve">R-MOSTY, Z.S.
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982"/>
      <c r="P89" s="982"/>
      <c r="Q89" s="982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03 - VNITŘNÍ KANALIAZCE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2">
        <v>0</v>
      </c>
      <c r="O92" s="983"/>
      <c r="P92" s="983"/>
      <c r="Q92" s="983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2:29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  <c r="AC95" s="105"/>
    </row>
    <row r="96" ht="18">
      <c r="AC96" s="105"/>
    </row>
    <row r="97" ht="18">
      <c r="AC97" s="105"/>
    </row>
    <row r="98" ht="18">
      <c r="AC98" s="105"/>
    </row>
    <row r="99" spans="2:29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  <c r="AC99" s="105"/>
    </row>
    <row r="100" spans="2:29" s="162" customFormat="1" ht="36.95" customHeight="1"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  <c r="AC100" s="105"/>
    </row>
    <row r="101" spans="2:29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  <c r="AC101" s="105"/>
    </row>
    <row r="102" spans="2:29" s="162" customFormat="1" ht="30" customHeight="1"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  <c r="AC102" s="105"/>
    </row>
    <row r="103" spans="2:29" ht="30" customHeight="1">
      <c r="B103" s="452"/>
      <c r="C103" s="158" t="s">
        <v>101</v>
      </c>
      <c r="D103" s="157"/>
      <c r="E103" s="157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57"/>
      <c r="R103" s="453"/>
      <c r="AC103" s="105"/>
    </row>
    <row r="104" spans="2:29" s="162" customFormat="1" ht="36.95" customHeight="1">
      <c r="B104" s="455"/>
      <c r="C104" s="174" t="s">
        <v>102</v>
      </c>
      <c r="D104" s="58"/>
      <c r="E104" s="58"/>
      <c r="F104" s="910" t="str">
        <f>F8</f>
        <v>03 - VNITŘNÍ KANALIAZCE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  <c r="AC104" s="105"/>
    </row>
    <row r="105" spans="2:29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  <c r="AC105" s="105"/>
    </row>
    <row r="106" spans="2:29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  <c r="AC106" s="105"/>
    </row>
    <row r="107" spans="2:29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  <c r="AC107" s="105"/>
    </row>
    <row r="108" spans="2:29" s="162" customFormat="1" ht="18">
      <c r="B108" s="455"/>
      <c r="C108" s="158" t="s">
        <v>20</v>
      </c>
      <c r="D108" s="58"/>
      <c r="E108" s="58"/>
      <c r="F108" s="160" t="str">
        <f>F12</f>
        <v xml:space="preserve">R-MOSTY, Z.S.
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  <c r="AC108" s="105"/>
    </row>
    <row r="109" spans="2:29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  <c r="AC109" s="105"/>
    </row>
    <row r="110" spans="2:29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  <c r="AC110" s="105"/>
    </row>
    <row r="111" spans="2:29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105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W113+#REF!+#REF!+W257+#REF!+W291+W327+#REF!+W373+W378+W387</f>
        <v>#REF!</v>
      </c>
      <c r="X112" s="85"/>
      <c r="Y112" s="474" t="e">
        <f>Y113+#REF!+#REF!+Y257+#REF!+Y291+Y327+#REF!+Y373+Y378+Y387</f>
        <v>#REF!</v>
      </c>
      <c r="Z112" s="85"/>
      <c r="AA112" s="475" t="e">
        <f>AA113+#REF!+#REF!+AA257+#REF!+AA291+AA327+#REF!+AA373+AA378+AA387</f>
        <v>#REF!</v>
      </c>
      <c r="AC112" s="105"/>
      <c r="AU112" s="448" t="s">
        <v>109</v>
      </c>
      <c r="BK112" s="476" t="e">
        <f>BK113+#REF!+#REF!+BK257+#REF!+BK291+BK327+#REF!+BK373+BK378+BK387</f>
        <v>#REF!</v>
      </c>
    </row>
    <row r="113" spans="1:63" s="398" customFormat="1" ht="37.35" customHeight="1">
      <c r="A113" s="181"/>
      <c r="B113" s="399"/>
      <c r="C113" s="181"/>
      <c r="D113" s="597" t="str">
        <f>F104</f>
        <v>03 - VNITŘNÍ KANALIAZCE</v>
      </c>
      <c r="E113" s="597"/>
      <c r="F113" s="597"/>
      <c r="G113" s="597"/>
      <c r="H113" s="597"/>
      <c r="I113" s="597"/>
      <c r="J113" s="597"/>
      <c r="K113" s="597"/>
      <c r="L113" s="597"/>
      <c r="M113" s="597"/>
      <c r="N113" s="1087">
        <f>SUM(N115:Q372)</f>
        <v>0</v>
      </c>
      <c r="O113" s="1088"/>
      <c r="P113" s="1088"/>
      <c r="Q113" s="1088"/>
      <c r="R113" s="598"/>
      <c r="S113" s="599"/>
      <c r="T113" s="599"/>
      <c r="U113" s="599"/>
      <c r="V113" s="599"/>
      <c r="W113" s="600" t="e">
        <f>SUM(W115:W247)</f>
        <v>#REF!</v>
      </c>
      <c r="X113" s="599"/>
      <c r="Y113" s="600" t="e">
        <f>SUM(Y115:Y247)</f>
        <v>#REF!</v>
      </c>
      <c r="Z113" s="599"/>
      <c r="AA113" s="601" t="e">
        <f>SUM(AA115:AA247)</f>
        <v>#REF!</v>
      </c>
      <c r="AB113" s="602"/>
      <c r="AC113" s="105"/>
      <c r="AU113" s="405" t="s">
        <v>69</v>
      </c>
      <c r="AY113" s="404" t="s">
        <v>125</v>
      </c>
      <c r="BK113" s="406" t="e">
        <f>SUM(BK115:BK247)</f>
        <v>#REF!</v>
      </c>
    </row>
    <row r="114" spans="1:63" s="394" customFormat="1" ht="37.35" customHeight="1">
      <c r="A114" s="546"/>
      <c r="B114" s="389"/>
      <c r="C114" s="388"/>
      <c r="D114" s="597" t="s">
        <v>528</v>
      </c>
      <c r="E114" s="390"/>
      <c r="F114" s="390"/>
      <c r="G114" s="390"/>
      <c r="H114" s="390"/>
      <c r="I114" s="390"/>
      <c r="J114" s="390"/>
      <c r="K114" s="603"/>
      <c r="L114" s="390"/>
      <c r="M114" s="390"/>
      <c r="N114" s="604"/>
      <c r="O114" s="605"/>
      <c r="P114" s="605"/>
      <c r="Q114" s="605"/>
      <c r="R114" s="391"/>
      <c r="S114" s="388"/>
      <c r="T114" s="388"/>
      <c r="U114" s="388"/>
      <c r="V114" s="388"/>
      <c r="W114" s="392"/>
      <c r="X114" s="388"/>
      <c r="Y114" s="392"/>
      <c r="Z114" s="388"/>
      <c r="AA114" s="393"/>
      <c r="AC114" s="105"/>
      <c r="AU114" s="395"/>
      <c r="AY114" s="396"/>
      <c r="BK114" s="397"/>
    </row>
    <row r="115" spans="1:65" s="162" customFormat="1" ht="42" customHeight="1">
      <c r="A115" s="58"/>
      <c r="B115" s="455"/>
      <c r="C115" s="195" t="s">
        <v>207</v>
      </c>
      <c r="D115" s="490"/>
      <c r="E115" s="195" t="s">
        <v>1326</v>
      </c>
      <c r="F115" s="999" t="s">
        <v>252</v>
      </c>
      <c r="G115" s="999"/>
      <c r="H115" s="999"/>
      <c r="I115" s="999"/>
      <c r="J115" s="94" t="s">
        <v>131</v>
      </c>
      <c r="K115" s="38">
        <v>1</v>
      </c>
      <c r="L115" s="21"/>
      <c r="M115" s="390"/>
      <c r="N115" s="948">
        <f aca="true" t="shared" si="1" ref="N115:N138">ROUND(L115*K115,2)</f>
        <v>0</v>
      </c>
      <c r="O115" s="948"/>
      <c r="P115" s="948"/>
      <c r="Q115" s="948"/>
      <c r="R115" s="456"/>
      <c r="S115" s="58"/>
      <c r="T115" s="483" t="s">
        <v>5</v>
      </c>
      <c r="U115" s="221" t="s">
        <v>36</v>
      </c>
      <c r="V115" s="408">
        <v>0</v>
      </c>
      <c r="W115" s="408" t="e">
        <f>V115*#REF!</f>
        <v>#REF!</v>
      </c>
      <c r="X115" s="408">
        <v>0</v>
      </c>
      <c r="Y115" s="408" t="e">
        <f>X115*#REF!</f>
        <v>#REF!</v>
      </c>
      <c r="Z115" s="408">
        <v>0</v>
      </c>
      <c r="AA115" s="409" t="e">
        <f>Z115*#REF!</f>
        <v>#REF!</v>
      </c>
      <c r="AC115" s="105"/>
      <c r="AU115" s="448" t="s">
        <v>76</v>
      </c>
      <c r="AY115" s="448" t="s">
        <v>125</v>
      </c>
      <c r="BE115" s="484">
        <f>IF(U115="základní",#REF!,0)</f>
        <v>0</v>
      </c>
      <c r="BF115" s="484" t="e">
        <f>IF(U115="snížená",#REF!,0)</f>
        <v>#REF!</v>
      </c>
      <c r="BG115" s="484">
        <f>IF(U115="zákl. přenesená",#REF!,0)</f>
        <v>0</v>
      </c>
      <c r="BH115" s="484">
        <f>IF(U115="sníž. přenesená",#REF!,0)</f>
        <v>0</v>
      </c>
      <c r="BI115" s="484">
        <f>IF(U115="nulová",#REF!,0)</f>
        <v>0</v>
      </c>
      <c r="BJ115" s="448" t="s">
        <v>80</v>
      </c>
      <c r="BK115" s="484" t="e">
        <f>ROUND(#REF!*#REF!,2)</f>
        <v>#REF!</v>
      </c>
      <c r="BL115" s="448" t="s">
        <v>128</v>
      </c>
      <c r="BM115" s="448" t="s">
        <v>80</v>
      </c>
    </row>
    <row r="116" spans="1:65" s="609" customFormat="1" ht="30" customHeight="1">
      <c r="A116" s="606"/>
      <c r="B116" s="607"/>
      <c r="C116" s="608"/>
      <c r="D116" s="608"/>
      <c r="F116" s="1076" t="s">
        <v>546</v>
      </c>
      <c r="G116" s="1077"/>
      <c r="H116" s="1077"/>
      <c r="I116" s="1078"/>
      <c r="J116" s="487"/>
      <c r="K116" s="39"/>
      <c r="L116" s="32"/>
      <c r="M116" s="390"/>
      <c r="N116" s="1037"/>
      <c r="O116" s="1037"/>
      <c r="P116" s="1037"/>
      <c r="Q116" s="1037"/>
      <c r="R116" s="610"/>
      <c r="S116" s="606"/>
      <c r="T116" s="611"/>
      <c r="U116" s="612"/>
      <c r="V116" s="613"/>
      <c r="W116" s="613"/>
      <c r="X116" s="613"/>
      <c r="Y116" s="613"/>
      <c r="Z116" s="613"/>
      <c r="AA116" s="614"/>
      <c r="AC116" s="105"/>
      <c r="AU116" s="615"/>
      <c r="AY116" s="615"/>
      <c r="BE116" s="616"/>
      <c r="BF116" s="616"/>
      <c r="BG116" s="616"/>
      <c r="BH116" s="616"/>
      <c r="BI116" s="616"/>
      <c r="BJ116" s="615"/>
      <c r="BK116" s="616"/>
      <c r="BL116" s="615"/>
      <c r="BM116" s="615"/>
    </row>
    <row r="117" spans="1:65" s="162" customFormat="1" ht="30" customHeight="1">
      <c r="A117" s="58"/>
      <c r="B117" s="455"/>
      <c r="C117" s="511" t="s">
        <v>208</v>
      </c>
      <c r="D117" s="511"/>
      <c r="E117" s="511" t="s">
        <v>1327</v>
      </c>
      <c r="F117" s="1015" t="s">
        <v>536</v>
      </c>
      <c r="G117" s="1016"/>
      <c r="H117" s="1016"/>
      <c r="I117" s="1017"/>
      <c r="J117" s="94" t="s">
        <v>133</v>
      </c>
      <c r="K117" s="38">
        <f>0.84+0.45+0.58+2.3+0.3+0.25+(0.65+0.82+0.22+0.88)*2</f>
        <v>9.86</v>
      </c>
      <c r="L117" s="21"/>
      <c r="M117" s="390"/>
      <c r="N117" s="948">
        <f t="shared" si="1"/>
        <v>0</v>
      </c>
      <c r="O117" s="948"/>
      <c r="P117" s="948"/>
      <c r="Q117" s="948"/>
      <c r="R117" s="456"/>
      <c r="S117" s="58"/>
      <c r="T117" s="483"/>
      <c r="U117" s="221"/>
      <c r="V117" s="408"/>
      <c r="W117" s="408"/>
      <c r="X117" s="408"/>
      <c r="Y117" s="408"/>
      <c r="Z117" s="408"/>
      <c r="AA117" s="409"/>
      <c r="AC117" s="105"/>
      <c r="AU117" s="448"/>
      <c r="AY117" s="448"/>
      <c r="BE117" s="484"/>
      <c r="BF117" s="484"/>
      <c r="BG117" s="484"/>
      <c r="BH117" s="484"/>
      <c r="BI117" s="484"/>
      <c r="BJ117" s="448"/>
      <c r="BK117" s="484"/>
      <c r="BL117" s="448"/>
      <c r="BM117" s="448"/>
    </row>
    <row r="118" spans="1:65" s="191" customFormat="1" ht="30" customHeight="1">
      <c r="A118" s="617"/>
      <c r="B118" s="618"/>
      <c r="C118" s="511" t="s">
        <v>209</v>
      </c>
      <c r="D118" s="511"/>
      <c r="E118" s="511" t="s">
        <v>1328</v>
      </c>
      <c r="F118" s="1005" t="s">
        <v>535</v>
      </c>
      <c r="G118" s="1006"/>
      <c r="H118" s="1006"/>
      <c r="I118" s="1007"/>
      <c r="J118" s="101" t="s">
        <v>133</v>
      </c>
      <c r="K118" s="40">
        <f>K117*1.1</f>
        <v>10.846</v>
      </c>
      <c r="L118" s="27"/>
      <c r="M118" s="390"/>
      <c r="N118" s="998">
        <f t="shared" si="1"/>
        <v>0</v>
      </c>
      <c r="O118" s="998"/>
      <c r="P118" s="998"/>
      <c r="Q118" s="998"/>
      <c r="R118" s="619"/>
      <c r="S118" s="617"/>
      <c r="T118" s="620"/>
      <c r="U118" s="621"/>
      <c r="V118" s="622"/>
      <c r="W118" s="622"/>
      <c r="X118" s="622"/>
      <c r="Y118" s="622"/>
      <c r="Z118" s="622"/>
      <c r="AA118" s="623"/>
      <c r="AC118" s="105"/>
      <c r="AU118" s="624"/>
      <c r="AY118" s="624"/>
      <c r="BE118" s="625"/>
      <c r="BF118" s="625"/>
      <c r="BG118" s="625"/>
      <c r="BH118" s="625"/>
      <c r="BI118" s="625"/>
      <c r="BJ118" s="624"/>
      <c r="BK118" s="625"/>
      <c r="BL118" s="624"/>
      <c r="BM118" s="624"/>
    </row>
    <row r="119" spans="1:65" s="191" customFormat="1" ht="30" customHeight="1">
      <c r="A119" s="617"/>
      <c r="B119" s="618"/>
      <c r="C119" s="511" t="s">
        <v>210</v>
      </c>
      <c r="D119" s="511"/>
      <c r="E119" s="511" t="s">
        <v>1329</v>
      </c>
      <c r="F119" s="1005" t="s">
        <v>529</v>
      </c>
      <c r="G119" s="1006"/>
      <c r="H119" s="1006"/>
      <c r="I119" s="1007"/>
      <c r="J119" s="101" t="s">
        <v>198</v>
      </c>
      <c r="K119" s="40">
        <f>10</f>
        <v>10</v>
      </c>
      <c r="L119" s="27"/>
      <c r="M119" s="390"/>
      <c r="N119" s="998">
        <f t="shared" si="1"/>
        <v>0</v>
      </c>
      <c r="O119" s="998"/>
      <c r="P119" s="998"/>
      <c r="Q119" s="998"/>
      <c r="R119" s="619"/>
      <c r="S119" s="617"/>
      <c r="T119" s="620"/>
      <c r="U119" s="621"/>
      <c r="V119" s="622"/>
      <c r="W119" s="622"/>
      <c r="X119" s="622"/>
      <c r="Y119" s="622"/>
      <c r="Z119" s="622"/>
      <c r="AA119" s="623"/>
      <c r="AC119" s="105"/>
      <c r="AU119" s="624"/>
      <c r="AY119" s="624"/>
      <c r="BE119" s="625"/>
      <c r="BF119" s="625"/>
      <c r="BG119" s="625"/>
      <c r="BH119" s="625"/>
      <c r="BI119" s="625"/>
      <c r="BJ119" s="624"/>
      <c r="BK119" s="625"/>
      <c r="BL119" s="624"/>
      <c r="BM119" s="624"/>
    </row>
    <row r="120" spans="1:65" s="191" customFormat="1" ht="30" customHeight="1">
      <c r="A120" s="617"/>
      <c r="B120" s="618"/>
      <c r="C120" s="511" t="s">
        <v>211</v>
      </c>
      <c r="D120" s="511"/>
      <c r="E120" s="511" t="s">
        <v>1330</v>
      </c>
      <c r="F120" s="1005" t="s">
        <v>530</v>
      </c>
      <c r="G120" s="1006"/>
      <c r="H120" s="1006"/>
      <c r="I120" s="1007"/>
      <c r="J120" s="101" t="s">
        <v>198</v>
      </c>
      <c r="K120" s="40">
        <v>1</v>
      </c>
      <c r="L120" s="27"/>
      <c r="M120" s="390"/>
      <c r="N120" s="998">
        <f t="shared" si="1"/>
        <v>0</v>
      </c>
      <c r="O120" s="998"/>
      <c r="P120" s="998"/>
      <c r="Q120" s="998"/>
      <c r="R120" s="619"/>
      <c r="S120" s="617"/>
      <c r="T120" s="620"/>
      <c r="U120" s="621"/>
      <c r="V120" s="622"/>
      <c r="W120" s="622"/>
      <c r="X120" s="622"/>
      <c r="Y120" s="622"/>
      <c r="Z120" s="622"/>
      <c r="AA120" s="623"/>
      <c r="AC120" s="105"/>
      <c r="AU120" s="624"/>
      <c r="AY120" s="624"/>
      <c r="BE120" s="625"/>
      <c r="BF120" s="625"/>
      <c r="BG120" s="625"/>
      <c r="BH120" s="625"/>
      <c r="BI120" s="625"/>
      <c r="BJ120" s="624"/>
      <c r="BK120" s="625"/>
      <c r="BL120" s="624"/>
      <c r="BM120" s="624"/>
    </row>
    <row r="121" spans="1:65" s="162" customFormat="1" ht="30" customHeight="1">
      <c r="A121" s="58"/>
      <c r="B121" s="455"/>
      <c r="C121" s="511" t="s">
        <v>212</v>
      </c>
      <c r="D121" s="511"/>
      <c r="E121" s="511" t="s">
        <v>1331</v>
      </c>
      <c r="F121" s="1015" t="s">
        <v>537</v>
      </c>
      <c r="G121" s="1016"/>
      <c r="H121" s="1016"/>
      <c r="I121" s="1017"/>
      <c r="J121" s="94" t="s">
        <v>133</v>
      </c>
      <c r="K121" s="38">
        <f>(0.15+0.36+1.13)*2+0.36+1.4</f>
        <v>5.039999999999999</v>
      </c>
      <c r="L121" s="21"/>
      <c r="M121" s="390"/>
      <c r="N121" s="948">
        <f t="shared" si="1"/>
        <v>0</v>
      </c>
      <c r="O121" s="948"/>
      <c r="P121" s="948"/>
      <c r="Q121" s="948"/>
      <c r="R121" s="456"/>
      <c r="S121" s="58"/>
      <c r="T121" s="483"/>
      <c r="U121" s="221"/>
      <c r="V121" s="408"/>
      <c r="W121" s="408"/>
      <c r="X121" s="408"/>
      <c r="Y121" s="408"/>
      <c r="Z121" s="408"/>
      <c r="AA121" s="409"/>
      <c r="AC121" s="105"/>
      <c r="AU121" s="448"/>
      <c r="AY121" s="448"/>
      <c r="BE121" s="484"/>
      <c r="BF121" s="484"/>
      <c r="BG121" s="484"/>
      <c r="BH121" s="484"/>
      <c r="BI121" s="484"/>
      <c r="BJ121" s="448"/>
      <c r="BK121" s="484"/>
      <c r="BL121" s="448"/>
      <c r="BM121" s="448"/>
    </row>
    <row r="122" spans="1:65" s="191" customFormat="1" ht="30" customHeight="1">
      <c r="A122" s="617"/>
      <c r="B122" s="618"/>
      <c r="C122" s="511" t="s">
        <v>213</v>
      </c>
      <c r="D122" s="511"/>
      <c r="E122" s="511" t="s">
        <v>1332</v>
      </c>
      <c r="F122" s="1005" t="s">
        <v>534</v>
      </c>
      <c r="G122" s="1006"/>
      <c r="H122" s="1006"/>
      <c r="I122" s="1007"/>
      <c r="J122" s="101" t="s">
        <v>133</v>
      </c>
      <c r="K122" s="40">
        <f>K121*1.1</f>
        <v>5.544</v>
      </c>
      <c r="L122" s="27"/>
      <c r="M122" s="390"/>
      <c r="N122" s="998">
        <f t="shared" si="1"/>
        <v>0</v>
      </c>
      <c r="O122" s="998"/>
      <c r="P122" s="998"/>
      <c r="Q122" s="998"/>
      <c r="R122" s="619"/>
      <c r="S122" s="617"/>
      <c r="T122" s="620"/>
      <c r="U122" s="621"/>
      <c r="V122" s="622"/>
      <c r="W122" s="622"/>
      <c r="X122" s="622"/>
      <c r="Y122" s="622"/>
      <c r="Z122" s="622"/>
      <c r="AA122" s="623"/>
      <c r="AC122" s="105"/>
      <c r="AU122" s="624"/>
      <c r="AY122" s="624"/>
      <c r="BE122" s="625"/>
      <c r="BF122" s="625"/>
      <c r="BG122" s="625"/>
      <c r="BH122" s="625"/>
      <c r="BI122" s="625"/>
      <c r="BJ122" s="624"/>
      <c r="BK122" s="625"/>
      <c r="BL122" s="624"/>
      <c r="BM122" s="624"/>
    </row>
    <row r="123" spans="1:65" s="191" customFormat="1" ht="30" customHeight="1">
      <c r="A123" s="617"/>
      <c r="B123" s="618"/>
      <c r="C123" s="511" t="s">
        <v>214</v>
      </c>
      <c r="D123" s="511"/>
      <c r="E123" s="511" t="s">
        <v>1333</v>
      </c>
      <c r="F123" s="1005" t="s">
        <v>531</v>
      </c>
      <c r="G123" s="1006"/>
      <c r="H123" s="1006"/>
      <c r="I123" s="1007"/>
      <c r="J123" s="101" t="s">
        <v>198</v>
      </c>
      <c r="K123" s="40">
        <v>6</v>
      </c>
      <c r="L123" s="27"/>
      <c r="M123" s="390"/>
      <c r="N123" s="998">
        <f t="shared" si="1"/>
        <v>0</v>
      </c>
      <c r="O123" s="998"/>
      <c r="P123" s="998"/>
      <c r="Q123" s="998"/>
      <c r="R123" s="619"/>
      <c r="S123" s="617"/>
      <c r="T123" s="620"/>
      <c r="U123" s="621"/>
      <c r="V123" s="622"/>
      <c r="W123" s="622"/>
      <c r="X123" s="622"/>
      <c r="Y123" s="622"/>
      <c r="Z123" s="622"/>
      <c r="AA123" s="623"/>
      <c r="AC123" s="105"/>
      <c r="AU123" s="624"/>
      <c r="AY123" s="624"/>
      <c r="BE123" s="625"/>
      <c r="BF123" s="625"/>
      <c r="BG123" s="625"/>
      <c r="BH123" s="625"/>
      <c r="BI123" s="625"/>
      <c r="BJ123" s="624"/>
      <c r="BK123" s="625"/>
      <c r="BL123" s="624"/>
      <c r="BM123" s="624"/>
    </row>
    <row r="124" spans="1:65" s="191" customFormat="1" ht="30" customHeight="1">
      <c r="A124" s="617"/>
      <c r="B124" s="618"/>
      <c r="C124" s="511" t="s">
        <v>215</v>
      </c>
      <c r="D124" s="511"/>
      <c r="E124" s="511" t="s">
        <v>1334</v>
      </c>
      <c r="F124" s="1005" t="s">
        <v>532</v>
      </c>
      <c r="G124" s="1006"/>
      <c r="H124" s="1006"/>
      <c r="I124" s="1007"/>
      <c r="J124" s="101" t="s">
        <v>198</v>
      </c>
      <c r="K124" s="40">
        <v>5</v>
      </c>
      <c r="L124" s="27"/>
      <c r="M124" s="390"/>
      <c r="N124" s="998">
        <f t="shared" si="1"/>
        <v>0</v>
      </c>
      <c r="O124" s="998"/>
      <c r="P124" s="998"/>
      <c r="Q124" s="998"/>
      <c r="R124" s="619"/>
      <c r="S124" s="617"/>
      <c r="T124" s="620"/>
      <c r="U124" s="621"/>
      <c r="V124" s="622"/>
      <c r="W124" s="622"/>
      <c r="X124" s="622"/>
      <c r="Y124" s="622"/>
      <c r="Z124" s="622"/>
      <c r="AA124" s="623"/>
      <c r="AC124" s="105"/>
      <c r="AU124" s="624"/>
      <c r="AY124" s="624"/>
      <c r="BE124" s="625"/>
      <c r="BF124" s="625"/>
      <c r="BG124" s="625"/>
      <c r="BH124" s="625"/>
      <c r="BI124" s="625"/>
      <c r="BJ124" s="624"/>
      <c r="BK124" s="625"/>
      <c r="BL124" s="624"/>
      <c r="BM124" s="624"/>
    </row>
    <row r="125" spans="1:65" s="191" customFormat="1" ht="30" customHeight="1">
      <c r="A125" s="617"/>
      <c r="B125" s="618"/>
      <c r="C125" s="511" t="s">
        <v>216</v>
      </c>
      <c r="D125" s="511"/>
      <c r="E125" s="511" t="s">
        <v>1335</v>
      </c>
      <c r="F125" s="1005" t="s">
        <v>533</v>
      </c>
      <c r="G125" s="1006"/>
      <c r="H125" s="1006"/>
      <c r="I125" s="1007"/>
      <c r="J125" s="101" t="s">
        <v>198</v>
      </c>
      <c r="K125" s="40">
        <v>1</v>
      </c>
      <c r="L125" s="27"/>
      <c r="M125" s="390"/>
      <c r="N125" s="998">
        <f t="shared" si="1"/>
        <v>0</v>
      </c>
      <c r="O125" s="998"/>
      <c r="P125" s="998"/>
      <c r="Q125" s="998"/>
      <c r="R125" s="619"/>
      <c r="S125" s="617"/>
      <c r="T125" s="620"/>
      <c r="U125" s="621"/>
      <c r="V125" s="622"/>
      <c r="W125" s="622"/>
      <c r="X125" s="622"/>
      <c r="Y125" s="622"/>
      <c r="Z125" s="622"/>
      <c r="AA125" s="623"/>
      <c r="AC125" s="105"/>
      <c r="AU125" s="624"/>
      <c r="AY125" s="624"/>
      <c r="BE125" s="625"/>
      <c r="BF125" s="625"/>
      <c r="BG125" s="625"/>
      <c r="BH125" s="625"/>
      <c r="BI125" s="625"/>
      <c r="BJ125" s="624"/>
      <c r="BK125" s="625"/>
      <c r="BL125" s="624"/>
      <c r="BM125" s="624"/>
    </row>
    <row r="126" spans="1:65" s="162" customFormat="1" ht="30" customHeight="1">
      <c r="A126" s="58"/>
      <c r="B126" s="455"/>
      <c r="C126" s="511" t="s">
        <v>217</v>
      </c>
      <c r="D126" s="511"/>
      <c r="E126" s="511" t="s">
        <v>1336</v>
      </c>
      <c r="F126" s="1015" t="s">
        <v>538</v>
      </c>
      <c r="G126" s="1016"/>
      <c r="H126" s="1016"/>
      <c r="I126" s="1017"/>
      <c r="J126" s="94" t="s">
        <v>133</v>
      </c>
      <c r="K126" s="38">
        <f>4.35+4.31+3.64+5.03+0.75+5.05</f>
        <v>23.130000000000003</v>
      </c>
      <c r="L126" s="21"/>
      <c r="M126" s="390"/>
      <c r="N126" s="948">
        <f t="shared" si="1"/>
        <v>0</v>
      </c>
      <c r="O126" s="948"/>
      <c r="P126" s="948"/>
      <c r="Q126" s="948"/>
      <c r="R126" s="456"/>
      <c r="S126" s="58"/>
      <c r="T126" s="483"/>
      <c r="U126" s="221"/>
      <c r="V126" s="408"/>
      <c r="W126" s="408"/>
      <c r="X126" s="408"/>
      <c r="Y126" s="408"/>
      <c r="Z126" s="408"/>
      <c r="AA126" s="409"/>
      <c r="AC126" s="105"/>
      <c r="AU126" s="448"/>
      <c r="AY126" s="448"/>
      <c r="BE126" s="484"/>
      <c r="BF126" s="484"/>
      <c r="BG126" s="484"/>
      <c r="BH126" s="484"/>
      <c r="BI126" s="484"/>
      <c r="BJ126" s="448"/>
      <c r="BK126" s="484"/>
      <c r="BL126" s="448"/>
      <c r="BM126" s="448"/>
    </row>
    <row r="127" spans="1:65" s="191" customFormat="1" ht="30" customHeight="1">
      <c r="A127" s="617"/>
      <c r="B127" s="618"/>
      <c r="C127" s="511" t="s">
        <v>218</v>
      </c>
      <c r="D127" s="511"/>
      <c r="E127" s="511" t="s">
        <v>1337</v>
      </c>
      <c r="F127" s="1005" t="s">
        <v>539</v>
      </c>
      <c r="G127" s="1006"/>
      <c r="H127" s="1006"/>
      <c r="I127" s="1007"/>
      <c r="J127" s="101" t="s">
        <v>133</v>
      </c>
      <c r="K127" s="40">
        <f>K126*1.1</f>
        <v>25.443000000000005</v>
      </c>
      <c r="L127" s="27"/>
      <c r="M127" s="390"/>
      <c r="N127" s="998">
        <f t="shared" si="1"/>
        <v>0</v>
      </c>
      <c r="O127" s="998"/>
      <c r="P127" s="998"/>
      <c r="Q127" s="998"/>
      <c r="R127" s="619"/>
      <c r="S127" s="617"/>
      <c r="T127" s="620"/>
      <c r="U127" s="621"/>
      <c r="V127" s="622"/>
      <c r="W127" s="622"/>
      <c r="X127" s="622"/>
      <c r="Y127" s="622"/>
      <c r="Z127" s="622"/>
      <c r="AA127" s="623"/>
      <c r="AC127" s="105"/>
      <c r="AU127" s="624"/>
      <c r="AY127" s="624"/>
      <c r="BE127" s="625"/>
      <c r="BF127" s="625"/>
      <c r="BG127" s="625"/>
      <c r="BH127" s="625"/>
      <c r="BI127" s="625"/>
      <c r="BJ127" s="624"/>
      <c r="BK127" s="625"/>
      <c r="BL127" s="624"/>
      <c r="BM127" s="624"/>
    </row>
    <row r="128" spans="1:65" s="191" customFormat="1" ht="30" customHeight="1">
      <c r="A128" s="617"/>
      <c r="B128" s="618"/>
      <c r="C128" s="511" t="s">
        <v>219</v>
      </c>
      <c r="D128" s="511"/>
      <c r="E128" s="511" t="s">
        <v>1338</v>
      </c>
      <c r="F128" s="1005" t="s">
        <v>542</v>
      </c>
      <c r="G128" s="1006"/>
      <c r="H128" s="1006"/>
      <c r="I128" s="1007"/>
      <c r="J128" s="101" t="s">
        <v>198</v>
      </c>
      <c r="K128" s="40">
        <v>4</v>
      </c>
      <c r="L128" s="27"/>
      <c r="M128" s="390"/>
      <c r="N128" s="998">
        <f t="shared" si="1"/>
        <v>0</v>
      </c>
      <c r="O128" s="998"/>
      <c r="P128" s="998"/>
      <c r="Q128" s="998"/>
      <c r="R128" s="619"/>
      <c r="S128" s="617"/>
      <c r="T128" s="620"/>
      <c r="U128" s="621"/>
      <c r="V128" s="622"/>
      <c r="W128" s="622"/>
      <c r="X128" s="622"/>
      <c r="Y128" s="622"/>
      <c r="Z128" s="622"/>
      <c r="AA128" s="623"/>
      <c r="AC128" s="105"/>
      <c r="AU128" s="624"/>
      <c r="AY128" s="624"/>
      <c r="BE128" s="625"/>
      <c r="BF128" s="625"/>
      <c r="BG128" s="625"/>
      <c r="BH128" s="625"/>
      <c r="BI128" s="625"/>
      <c r="BJ128" s="624"/>
      <c r="BK128" s="625"/>
      <c r="BL128" s="624"/>
      <c r="BM128" s="624"/>
    </row>
    <row r="129" spans="1:65" s="191" customFormat="1" ht="30" customHeight="1">
      <c r="A129" s="617"/>
      <c r="B129" s="618"/>
      <c r="C129" s="511" t="s">
        <v>220</v>
      </c>
      <c r="D129" s="511"/>
      <c r="E129" s="511" t="s">
        <v>1339</v>
      </c>
      <c r="F129" s="1005" t="s">
        <v>543</v>
      </c>
      <c r="G129" s="1006"/>
      <c r="H129" s="1006"/>
      <c r="I129" s="1007"/>
      <c r="J129" s="101" t="s">
        <v>198</v>
      </c>
      <c r="K129" s="40">
        <v>2</v>
      </c>
      <c r="L129" s="27"/>
      <c r="M129" s="390"/>
      <c r="N129" s="998">
        <f t="shared" si="1"/>
        <v>0</v>
      </c>
      <c r="O129" s="998"/>
      <c r="P129" s="998"/>
      <c r="Q129" s="998"/>
      <c r="R129" s="619"/>
      <c r="S129" s="617"/>
      <c r="T129" s="620"/>
      <c r="U129" s="621"/>
      <c r="V129" s="622"/>
      <c r="W129" s="622"/>
      <c r="X129" s="622"/>
      <c r="Y129" s="622"/>
      <c r="Z129" s="622"/>
      <c r="AA129" s="623"/>
      <c r="AC129" s="105"/>
      <c r="AU129" s="624"/>
      <c r="AY129" s="624"/>
      <c r="BE129" s="625"/>
      <c r="BF129" s="625"/>
      <c r="BG129" s="625"/>
      <c r="BH129" s="625"/>
      <c r="BI129" s="625"/>
      <c r="BJ129" s="624"/>
      <c r="BK129" s="625"/>
      <c r="BL129" s="624"/>
      <c r="BM129" s="624"/>
    </row>
    <row r="130" spans="1:65" s="191" customFormat="1" ht="30" customHeight="1">
      <c r="A130" s="617"/>
      <c r="B130" s="618"/>
      <c r="C130" s="511" t="s">
        <v>221</v>
      </c>
      <c r="D130" s="511"/>
      <c r="E130" s="511" t="s">
        <v>1340</v>
      </c>
      <c r="F130" s="1005" t="s">
        <v>540</v>
      </c>
      <c r="G130" s="1006"/>
      <c r="H130" s="1006"/>
      <c r="I130" s="1007"/>
      <c r="J130" s="101" t="s">
        <v>198</v>
      </c>
      <c r="K130" s="40">
        <v>2</v>
      </c>
      <c r="L130" s="27"/>
      <c r="M130" s="390"/>
      <c r="N130" s="998">
        <f t="shared" si="1"/>
        <v>0</v>
      </c>
      <c r="O130" s="998"/>
      <c r="P130" s="998"/>
      <c r="Q130" s="998"/>
      <c r="R130" s="619"/>
      <c r="S130" s="617"/>
      <c r="T130" s="620"/>
      <c r="U130" s="621"/>
      <c r="V130" s="622"/>
      <c r="W130" s="622"/>
      <c r="X130" s="622"/>
      <c r="Y130" s="622"/>
      <c r="Z130" s="622"/>
      <c r="AA130" s="623"/>
      <c r="AC130" s="105"/>
      <c r="AU130" s="624"/>
      <c r="AY130" s="624"/>
      <c r="BE130" s="625"/>
      <c r="BF130" s="625"/>
      <c r="BG130" s="625"/>
      <c r="BH130" s="625"/>
      <c r="BI130" s="625"/>
      <c r="BJ130" s="624"/>
      <c r="BK130" s="625"/>
      <c r="BL130" s="624"/>
      <c r="BM130" s="624"/>
    </row>
    <row r="131" spans="1:65" s="191" customFormat="1" ht="30" customHeight="1">
      <c r="A131" s="617"/>
      <c r="B131" s="618"/>
      <c r="C131" s="511" t="s">
        <v>222</v>
      </c>
      <c r="D131" s="511"/>
      <c r="E131" s="511" t="s">
        <v>1341</v>
      </c>
      <c r="F131" s="1005" t="s">
        <v>541</v>
      </c>
      <c r="G131" s="1006"/>
      <c r="H131" s="1006"/>
      <c r="I131" s="1007"/>
      <c r="J131" s="101" t="s">
        <v>198</v>
      </c>
      <c r="K131" s="40">
        <v>1</v>
      </c>
      <c r="L131" s="27"/>
      <c r="M131" s="390"/>
      <c r="N131" s="998">
        <f t="shared" si="1"/>
        <v>0</v>
      </c>
      <c r="O131" s="998"/>
      <c r="P131" s="998"/>
      <c r="Q131" s="998"/>
      <c r="R131" s="619"/>
      <c r="S131" s="617"/>
      <c r="T131" s="620"/>
      <c r="U131" s="621"/>
      <c r="V131" s="622"/>
      <c r="W131" s="622"/>
      <c r="X131" s="622"/>
      <c r="Y131" s="622"/>
      <c r="Z131" s="622"/>
      <c r="AA131" s="623"/>
      <c r="AC131" s="105"/>
      <c r="AU131" s="624"/>
      <c r="AY131" s="624"/>
      <c r="BE131" s="625"/>
      <c r="BF131" s="625"/>
      <c r="BG131" s="625"/>
      <c r="BH131" s="625"/>
      <c r="BI131" s="625"/>
      <c r="BJ131" s="624"/>
      <c r="BK131" s="625"/>
      <c r="BL131" s="624"/>
      <c r="BM131" s="624"/>
    </row>
    <row r="132" spans="1:65" s="162" customFormat="1" ht="30" customHeight="1">
      <c r="A132" s="58"/>
      <c r="B132" s="455"/>
      <c r="C132" s="511" t="s">
        <v>223</v>
      </c>
      <c r="D132" s="511"/>
      <c r="E132" s="511" t="s">
        <v>1342</v>
      </c>
      <c r="F132" s="1015" t="s">
        <v>544</v>
      </c>
      <c r="G132" s="1016"/>
      <c r="H132" s="1016"/>
      <c r="I132" s="1017"/>
      <c r="J132" s="94" t="s">
        <v>198</v>
      </c>
      <c r="K132" s="38">
        <v>4</v>
      </c>
      <c r="L132" s="21"/>
      <c r="M132" s="390"/>
      <c r="N132" s="948">
        <f t="shared" si="1"/>
        <v>0</v>
      </c>
      <c r="O132" s="948"/>
      <c r="P132" s="948"/>
      <c r="Q132" s="948"/>
      <c r="R132" s="456"/>
      <c r="S132" s="58"/>
      <c r="T132" s="483"/>
      <c r="U132" s="221"/>
      <c r="V132" s="408"/>
      <c r="W132" s="408"/>
      <c r="X132" s="408"/>
      <c r="Y132" s="408"/>
      <c r="Z132" s="408"/>
      <c r="AA132" s="409"/>
      <c r="AC132" s="105"/>
      <c r="AU132" s="448"/>
      <c r="AY132" s="448"/>
      <c r="BE132" s="484"/>
      <c r="BF132" s="484"/>
      <c r="BG132" s="484"/>
      <c r="BH132" s="484"/>
      <c r="BI132" s="484"/>
      <c r="BJ132" s="448"/>
      <c r="BK132" s="484"/>
      <c r="BL132" s="448"/>
      <c r="BM132" s="448"/>
    </row>
    <row r="133" spans="1:65" s="191" customFormat="1" ht="30" customHeight="1">
      <c r="A133" s="617"/>
      <c r="B133" s="618"/>
      <c r="C133" s="511" t="s">
        <v>224</v>
      </c>
      <c r="D133" s="511"/>
      <c r="E133" s="511" t="s">
        <v>1343</v>
      </c>
      <c r="F133" s="1005" t="s">
        <v>545</v>
      </c>
      <c r="G133" s="1006"/>
      <c r="H133" s="1006"/>
      <c r="I133" s="1007"/>
      <c r="J133" s="101" t="s">
        <v>198</v>
      </c>
      <c r="K133" s="40">
        <v>4</v>
      </c>
      <c r="L133" s="27"/>
      <c r="M133" s="390"/>
      <c r="N133" s="998">
        <f t="shared" si="1"/>
        <v>0</v>
      </c>
      <c r="O133" s="998"/>
      <c r="P133" s="998"/>
      <c r="Q133" s="998"/>
      <c r="R133" s="619"/>
      <c r="S133" s="617"/>
      <c r="T133" s="620"/>
      <c r="U133" s="621"/>
      <c r="V133" s="622"/>
      <c r="W133" s="622"/>
      <c r="X133" s="622"/>
      <c r="Y133" s="622"/>
      <c r="Z133" s="622"/>
      <c r="AA133" s="623"/>
      <c r="AC133" s="105"/>
      <c r="AU133" s="624"/>
      <c r="AY133" s="624"/>
      <c r="BE133" s="625"/>
      <c r="BF133" s="625"/>
      <c r="BG133" s="625"/>
      <c r="BH133" s="625"/>
      <c r="BI133" s="625"/>
      <c r="BJ133" s="624"/>
      <c r="BK133" s="625"/>
      <c r="BL133" s="624"/>
      <c r="BM133" s="624"/>
    </row>
    <row r="134" spans="1:65" s="609" customFormat="1" ht="30" customHeight="1">
      <c r="A134" s="606"/>
      <c r="B134" s="607"/>
      <c r="C134" s="626"/>
      <c r="D134" s="626"/>
      <c r="E134" s="627"/>
      <c r="F134" s="1076" t="s">
        <v>547</v>
      </c>
      <c r="G134" s="1077"/>
      <c r="H134" s="1077"/>
      <c r="I134" s="1078"/>
      <c r="J134" s="628"/>
      <c r="K134" s="41"/>
      <c r="L134" s="32"/>
      <c r="M134" s="390"/>
      <c r="N134" s="1037"/>
      <c r="O134" s="1037"/>
      <c r="P134" s="1037"/>
      <c r="Q134" s="1037"/>
      <c r="R134" s="610"/>
      <c r="S134" s="606"/>
      <c r="T134" s="611"/>
      <c r="U134" s="612"/>
      <c r="V134" s="613"/>
      <c r="W134" s="613"/>
      <c r="X134" s="613"/>
      <c r="Y134" s="613"/>
      <c r="Z134" s="613"/>
      <c r="AA134" s="614"/>
      <c r="AC134" s="105"/>
      <c r="AU134" s="615"/>
      <c r="AY134" s="615"/>
      <c r="BE134" s="616"/>
      <c r="BF134" s="616"/>
      <c r="BG134" s="616"/>
      <c r="BH134" s="616"/>
      <c r="BI134" s="616"/>
      <c r="BJ134" s="615"/>
      <c r="BK134" s="616"/>
      <c r="BL134" s="615"/>
      <c r="BM134" s="615"/>
    </row>
    <row r="135" spans="1:65" s="162" customFormat="1" ht="30" customHeight="1">
      <c r="A135" s="58"/>
      <c r="B135" s="455"/>
      <c r="C135" s="511" t="s">
        <v>225</v>
      </c>
      <c r="D135" s="511"/>
      <c r="E135" s="511" t="s">
        <v>1371</v>
      </c>
      <c r="F135" s="1015" t="s">
        <v>548</v>
      </c>
      <c r="G135" s="1016"/>
      <c r="H135" s="1016"/>
      <c r="I135" s="1017"/>
      <c r="J135" s="133" t="s">
        <v>198</v>
      </c>
      <c r="K135" s="42">
        <v>3</v>
      </c>
      <c r="L135" s="21"/>
      <c r="M135" s="390"/>
      <c r="N135" s="948">
        <f t="shared" si="1"/>
        <v>0</v>
      </c>
      <c r="O135" s="948"/>
      <c r="P135" s="948"/>
      <c r="Q135" s="948"/>
      <c r="R135" s="456"/>
      <c r="S135" s="58"/>
      <c r="T135" s="483"/>
      <c r="U135" s="221"/>
      <c r="V135" s="408"/>
      <c r="W135" s="408"/>
      <c r="X135" s="408"/>
      <c r="Y135" s="408"/>
      <c r="Z135" s="408"/>
      <c r="AA135" s="409"/>
      <c r="AC135" s="105"/>
      <c r="AU135" s="448"/>
      <c r="AY135" s="448"/>
      <c r="BE135" s="484"/>
      <c r="BF135" s="484"/>
      <c r="BG135" s="484"/>
      <c r="BH135" s="484"/>
      <c r="BI135" s="484"/>
      <c r="BJ135" s="448"/>
      <c r="BK135" s="484"/>
      <c r="BL135" s="448"/>
      <c r="BM135" s="448"/>
    </row>
    <row r="136" spans="1:65" s="191" customFormat="1" ht="30" customHeight="1">
      <c r="A136" s="617"/>
      <c r="B136" s="618"/>
      <c r="C136" s="511" t="s">
        <v>226</v>
      </c>
      <c r="D136" s="511"/>
      <c r="E136" s="511" t="s">
        <v>1372</v>
      </c>
      <c r="F136" s="1005" t="s">
        <v>556</v>
      </c>
      <c r="G136" s="1006"/>
      <c r="H136" s="1006"/>
      <c r="I136" s="1007"/>
      <c r="J136" s="101" t="s">
        <v>198</v>
      </c>
      <c r="K136" s="40">
        <v>3</v>
      </c>
      <c r="L136" s="27"/>
      <c r="M136" s="390"/>
      <c r="N136" s="998">
        <f t="shared" si="1"/>
        <v>0</v>
      </c>
      <c r="O136" s="998"/>
      <c r="P136" s="998"/>
      <c r="Q136" s="998"/>
      <c r="R136" s="619"/>
      <c r="S136" s="617"/>
      <c r="T136" s="620"/>
      <c r="U136" s="621"/>
      <c r="V136" s="622"/>
      <c r="W136" s="622"/>
      <c r="X136" s="622"/>
      <c r="Y136" s="622"/>
      <c r="Z136" s="622"/>
      <c r="AA136" s="623"/>
      <c r="AC136" s="105"/>
      <c r="AU136" s="624"/>
      <c r="AY136" s="624"/>
      <c r="BE136" s="625"/>
      <c r="BF136" s="625"/>
      <c r="BG136" s="625"/>
      <c r="BH136" s="625"/>
      <c r="BI136" s="625"/>
      <c r="BJ136" s="624"/>
      <c r="BK136" s="625"/>
      <c r="BL136" s="624"/>
      <c r="BM136" s="624"/>
    </row>
    <row r="137" spans="1:65" s="162" customFormat="1" ht="30" customHeight="1">
      <c r="A137" s="58"/>
      <c r="B137" s="455"/>
      <c r="C137" s="511" t="s">
        <v>227</v>
      </c>
      <c r="D137" s="511"/>
      <c r="E137" s="511" t="s">
        <v>1373</v>
      </c>
      <c r="F137" s="1015" t="s">
        <v>549</v>
      </c>
      <c r="G137" s="1016"/>
      <c r="H137" s="1016"/>
      <c r="I137" s="1017"/>
      <c r="J137" s="133" t="s">
        <v>198</v>
      </c>
      <c r="K137" s="42">
        <v>3</v>
      </c>
      <c r="L137" s="21"/>
      <c r="M137" s="390"/>
      <c r="N137" s="948">
        <f t="shared" si="1"/>
        <v>0</v>
      </c>
      <c r="O137" s="948"/>
      <c r="P137" s="948"/>
      <c r="Q137" s="948"/>
      <c r="R137" s="456"/>
      <c r="S137" s="58"/>
      <c r="T137" s="483"/>
      <c r="U137" s="221"/>
      <c r="V137" s="408"/>
      <c r="W137" s="408"/>
      <c r="X137" s="408"/>
      <c r="Y137" s="408"/>
      <c r="Z137" s="408"/>
      <c r="AA137" s="409"/>
      <c r="AC137" s="105"/>
      <c r="AU137" s="448"/>
      <c r="AY137" s="448"/>
      <c r="BE137" s="484"/>
      <c r="BF137" s="484"/>
      <c r="BG137" s="484"/>
      <c r="BH137" s="484"/>
      <c r="BI137" s="484"/>
      <c r="BJ137" s="448"/>
      <c r="BK137" s="484"/>
      <c r="BL137" s="448"/>
      <c r="BM137" s="448"/>
    </row>
    <row r="138" spans="1:65" s="191" customFormat="1" ht="30" customHeight="1">
      <c r="A138" s="617"/>
      <c r="B138" s="618"/>
      <c r="C138" s="511" t="s">
        <v>228</v>
      </c>
      <c r="D138" s="511"/>
      <c r="E138" s="511" t="s">
        <v>1374</v>
      </c>
      <c r="F138" s="1005" t="s">
        <v>555</v>
      </c>
      <c r="G138" s="1006"/>
      <c r="H138" s="1006"/>
      <c r="I138" s="1007"/>
      <c r="J138" s="101" t="s">
        <v>198</v>
      </c>
      <c r="K138" s="40">
        <v>3</v>
      </c>
      <c r="L138" s="27"/>
      <c r="M138" s="390"/>
      <c r="N138" s="998">
        <f t="shared" si="1"/>
        <v>0</v>
      </c>
      <c r="O138" s="998"/>
      <c r="P138" s="998"/>
      <c r="Q138" s="998"/>
      <c r="R138" s="619"/>
      <c r="S138" s="617"/>
      <c r="T138" s="620"/>
      <c r="U138" s="621"/>
      <c r="V138" s="622"/>
      <c r="W138" s="622"/>
      <c r="X138" s="622"/>
      <c r="Y138" s="622"/>
      <c r="Z138" s="622"/>
      <c r="AA138" s="623"/>
      <c r="AC138" s="105"/>
      <c r="AU138" s="624"/>
      <c r="AY138" s="624"/>
      <c r="BE138" s="625"/>
      <c r="BF138" s="625"/>
      <c r="BG138" s="625"/>
      <c r="BH138" s="625"/>
      <c r="BI138" s="625"/>
      <c r="BJ138" s="624"/>
      <c r="BK138" s="625"/>
      <c r="BL138" s="624"/>
      <c r="BM138" s="624"/>
    </row>
    <row r="139" spans="1:65" s="162" customFormat="1" ht="30" customHeight="1">
      <c r="A139" s="58"/>
      <c r="B139" s="455"/>
      <c r="C139" s="511" t="s">
        <v>229</v>
      </c>
      <c r="D139" s="511"/>
      <c r="E139" s="511" t="s">
        <v>1375</v>
      </c>
      <c r="F139" s="1025" t="s">
        <v>550</v>
      </c>
      <c r="G139" s="1026"/>
      <c r="H139" s="1026"/>
      <c r="I139" s="1027"/>
      <c r="J139" s="133" t="s">
        <v>198</v>
      </c>
      <c r="K139" s="42">
        <v>3</v>
      </c>
      <c r="L139" s="21"/>
      <c r="M139" s="390"/>
      <c r="N139" s="948">
        <f aca="true" t="shared" si="2" ref="N139:N157">ROUND(L139*K139,2)</f>
        <v>0</v>
      </c>
      <c r="O139" s="948"/>
      <c r="P139" s="948"/>
      <c r="Q139" s="948"/>
      <c r="R139" s="456"/>
      <c r="S139" s="58"/>
      <c r="T139" s="483"/>
      <c r="U139" s="221"/>
      <c r="V139" s="408"/>
      <c r="W139" s="408"/>
      <c r="X139" s="408"/>
      <c r="Y139" s="408"/>
      <c r="Z139" s="408"/>
      <c r="AA139" s="409"/>
      <c r="AC139" s="105"/>
      <c r="AU139" s="448"/>
      <c r="AY139" s="448"/>
      <c r="BE139" s="484"/>
      <c r="BF139" s="484"/>
      <c r="BG139" s="484"/>
      <c r="BH139" s="484"/>
      <c r="BI139" s="484"/>
      <c r="BJ139" s="448"/>
      <c r="BK139" s="484"/>
      <c r="BL139" s="448"/>
      <c r="BM139" s="448"/>
    </row>
    <row r="140" spans="1:65" s="191" customFormat="1" ht="30" customHeight="1">
      <c r="A140" s="617"/>
      <c r="B140" s="618"/>
      <c r="C140" s="511" t="s">
        <v>230</v>
      </c>
      <c r="D140" s="511"/>
      <c r="E140" s="511" t="s">
        <v>1376</v>
      </c>
      <c r="F140" s="1005" t="s">
        <v>551</v>
      </c>
      <c r="G140" s="1006"/>
      <c r="H140" s="1006"/>
      <c r="I140" s="1007"/>
      <c r="J140" s="101" t="s">
        <v>198</v>
      </c>
      <c r="K140" s="40">
        <v>3</v>
      </c>
      <c r="L140" s="27"/>
      <c r="M140" s="390"/>
      <c r="N140" s="998">
        <f t="shared" si="2"/>
        <v>0</v>
      </c>
      <c r="O140" s="998"/>
      <c r="P140" s="998"/>
      <c r="Q140" s="998"/>
      <c r="R140" s="619"/>
      <c r="S140" s="617"/>
      <c r="T140" s="620"/>
      <c r="U140" s="621"/>
      <c r="V140" s="622"/>
      <c r="W140" s="622"/>
      <c r="X140" s="622"/>
      <c r="Y140" s="622"/>
      <c r="Z140" s="622"/>
      <c r="AA140" s="623"/>
      <c r="AC140" s="105"/>
      <c r="AU140" s="624"/>
      <c r="AY140" s="624"/>
      <c r="BE140" s="625"/>
      <c r="BF140" s="625"/>
      <c r="BG140" s="625"/>
      <c r="BH140" s="625"/>
      <c r="BI140" s="625"/>
      <c r="BJ140" s="624"/>
      <c r="BK140" s="625"/>
      <c r="BL140" s="624"/>
      <c r="BM140" s="624"/>
    </row>
    <row r="141" spans="1:65" s="162" customFormat="1" ht="30" customHeight="1">
      <c r="A141" s="58"/>
      <c r="B141" s="455"/>
      <c r="C141" s="511" t="s">
        <v>231</v>
      </c>
      <c r="D141" s="511"/>
      <c r="E141" s="511" t="s">
        <v>1377</v>
      </c>
      <c r="F141" s="1025" t="s">
        <v>553</v>
      </c>
      <c r="G141" s="1026"/>
      <c r="H141" s="1026"/>
      <c r="I141" s="1027"/>
      <c r="J141" s="133" t="s">
        <v>198</v>
      </c>
      <c r="K141" s="42">
        <v>3</v>
      </c>
      <c r="L141" s="21"/>
      <c r="M141" s="390"/>
      <c r="N141" s="948">
        <f t="shared" si="2"/>
        <v>0</v>
      </c>
      <c r="O141" s="948"/>
      <c r="P141" s="948"/>
      <c r="Q141" s="948"/>
      <c r="R141" s="456"/>
      <c r="S141" s="58"/>
      <c r="T141" s="483"/>
      <c r="U141" s="221"/>
      <c r="V141" s="408"/>
      <c r="W141" s="408"/>
      <c r="X141" s="408"/>
      <c r="Y141" s="408"/>
      <c r="Z141" s="408"/>
      <c r="AA141" s="409"/>
      <c r="AC141" s="105"/>
      <c r="AU141" s="448"/>
      <c r="AY141" s="448"/>
      <c r="BE141" s="484"/>
      <c r="BF141" s="484"/>
      <c r="BG141" s="484"/>
      <c r="BH141" s="484"/>
      <c r="BI141" s="484"/>
      <c r="BJ141" s="448"/>
      <c r="BK141" s="484"/>
      <c r="BL141" s="448"/>
      <c r="BM141" s="448"/>
    </row>
    <row r="142" spans="1:65" s="191" customFormat="1" ht="30" customHeight="1">
      <c r="A142" s="617"/>
      <c r="B142" s="618"/>
      <c r="C142" s="511" t="s">
        <v>232</v>
      </c>
      <c r="D142" s="511"/>
      <c r="E142" s="511" t="s">
        <v>1411</v>
      </c>
      <c r="F142" s="1005" t="s">
        <v>552</v>
      </c>
      <c r="G142" s="1006"/>
      <c r="H142" s="1006"/>
      <c r="I142" s="1007"/>
      <c r="J142" s="101" t="s">
        <v>198</v>
      </c>
      <c r="K142" s="40">
        <v>3</v>
      </c>
      <c r="L142" s="27"/>
      <c r="M142" s="390"/>
      <c r="N142" s="998">
        <f t="shared" si="2"/>
        <v>0</v>
      </c>
      <c r="O142" s="998"/>
      <c r="P142" s="998"/>
      <c r="Q142" s="998"/>
      <c r="R142" s="619"/>
      <c r="S142" s="617"/>
      <c r="T142" s="620"/>
      <c r="U142" s="621"/>
      <c r="V142" s="622"/>
      <c r="W142" s="622"/>
      <c r="X142" s="622"/>
      <c r="Y142" s="622"/>
      <c r="Z142" s="622"/>
      <c r="AA142" s="623"/>
      <c r="AC142" s="105"/>
      <c r="AU142" s="624"/>
      <c r="AY142" s="624"/>
      <c r="BE142" s="625"/>
      <c r="BF142" s="625"/>
      <c r="BG142" s="625"/>
      <c r="BH142" s="625"/>
      <c r="BI142" s="625"/>
      <c r="BJ142" s="624"/>
      <c r="BK142" s="625"/>
      <c r="BL142" s="624"/>
      <c r="BM142" s="624"/>
    </row>
    <row r="143" spans="1:65" s="162" customFormat="1" ht="30" customHeight="1">
      <c r="A143" s="58"/>
      <c r="B143" s="455"/>
      <c r="C143" s="511" t="s">
        <v>233</v>
      </c>
      <c r="D143" s="511"/>
      <c r="E143" s="511" t="s">
        <v>1379</v>
      </c>
      <c r="F143" s="1015" t="s">
        <v>1394</v>
      </c>
      <c r="G143" s="1016"/>
      <c r="H143" s="1016"/>
      <c r="I143" s="1017"/>
      <c r="J143" s="102" t="s">
        <v>198</v>
      </c>
      <c r="K143" s="43">
        <v>3</v>
      </c>
      <c r="L143" s="21"/>
      <c r="M143" s="390"/>
      <c r="N143" s="948">
        <f t="shared" si="2"/>
        <v>0</v>
      </c>
      <c r="O143" s="948"/>
      <c r="P143" s="948"/>
      <c r="Q143" s="948"/>
      <c r="R143" s="456"/>
      <c r="S143" s="58"/>
      <c r="T143" s="483"/>
      <c r="U143" s="221"/>
      <c r="V143" s="408"/>
      <c r="W143" s="408"/>
      <c r="X143" s="408"/>
      <c r="Y143" s="408"/>
      <c r="Z143" s="408"/>
      <c r="AA143" s="409"/>
      <c r="AC143" s="105"/>
      <c r="AU143" s="448"/>
      <c r="AY143" s="448"/>
      <c r="BE143" s="484"/>
      <c r="BF143" s="484"/>
      <c r="BG143" s="484"/>
      <c r="BH143" s="484"/>
      <c r="BI143" s="484"/>
      <c r="BJ143" s="448"/>
      <c r="BK143" s="484"/>
      <c r="BL143" s="448"/>
      <c r="BM143" s="448"/>
    </row>
    <row r="144" spans="1:65" s="191" customFormat="1" ht="30" customHeight="1">
      <c r="A144" s="617"/>
      <c r="B144" s="618"/>
      <c r="C144" s="511" t="s">
        <v>234</v>
      </c>
      <c r="D144" s="511"/>
      <c r="E144" s="511" t="s">
        <v>1380</v>
      </c>
      <c r="F144" s="1005" t="s">
        <v>554</v>
      </c>
      <c r="G144" s="1006"/>
      <c r="H144" s="1006"/>
      <c r="I144" s="1007"/>
      <c r="J144" s="101" t="s">
        <v>198</v>
      </c>
      <c r="K144" s="40">
        <v>3</v>
      </c>
      <c r="L144" s="27"/>
      <c r="M144" s="390"/>
      <c r="N144" s="998">
        <f t="shared" si="2"/>
        <v>0</v>
      </c>
      <c r="O144" s="998"/>
      <c r="P144" s="998"/>
      <c r="Q144" s="998"/>
      <c r="R144" s="619"/>
      <c r="S144" s="617"/>
      <c r="T144" s="620"/>
      <c r="U144" s="621"/>
      <c r="V144" s="622"/>
      <c r="W144" s="622"/>
      <c r="X144" s="622"/>
      <c r="Y144" s="622"/>
      <c r="Z144" s="622"/>
      <c r="AA144" s="623"/>
      <c r="AC144" s="105"/>
      <c r="AU144" s="624"/>
      <c r="AY144" s="624"/>
      <c r="BE144" s="625"/>
      <c r="BF144" s="625"/>
      <c r="BG144" s="625"/>
      <c r="BH144" s="625"/>
      <c r="BI144" s="625"/>
      <c r="BJ144" s="624"/>
      <c r="BK144" s="625"/>
      <c r="BL144" s="624"/>
      <c r="BM144" s="624"/>
    </row>
    <row r="145" spans="1:65" s="162" customFormat="1" ht="30" customHeight="1">
      <c r="A145" s="58"/>
      <c r="B145" s="455"/>
      <c r="C145" s="511" t="s">
        <v>235</v>
      </c>
      <c r="D145" s="511"/>
      <c r="E145" s="511" t="s">
        <v>1381</v>
      </c>
      <c r="F145" s="1015" t="s">
        <v>557</v>
      </c>
      <c r="G145" s="1016"/>
      <c r="H145" s="1016"/>
      <c r="I145" s="1017"/>
      <c r="J145" s="133" t="s">
        <v>198</v>
      </c>
      <c r="K145" s="42">
        <v>3</v>
      </c>
      <c r="L145" s="21"/>
      <c r="M145" s="390"/>
      <c r="N145" s="948">
        <f t="shared" si="2"/>
        <v>0</v>
      </c>
      <c r="O145" s="948"/>
      <c r="P145" s="948"/>
      <c r="Q145" s="948"/>
      <c r="R145" s="456"/>
      <c r="S145" s="58"/>
      <c r="T145" s="483"/>
      <c r="U145" s="221"/>
      <c r="V145" s="408"/>
      <c r="W145" s="408"/>
      <c r="X145" s="408"/>
      <c r="Y145" s="408"/>
      <c r="Z145" s="408"/>
      <c r="AA145" s="409"/>
      <c r="AC145" s="105"/>
      <c r="AU145" s="448"/>
      <c r="AY145" s="448"/>
      <c r="BE145" s="484"/>
      <c r="BF145" s="484"/>
      <c r="BG145" s="484"/>
      <c r="BH145" s="484"/>
      <c r="BI145" s="484"/>
      <c r="BJ145" s="448"/>
      <c r="BK145" s="484"/>
      <c r="BL145" s="448"/>
      <c r="BM145" s="448"/>
    </row>
    <row r="146" spans="1:65" s="191" customFormat="1" ht="30" customHeight="1">
      <c r="A146" s="617"/>
      <c r="B146" s="618"/>
      <c r="C146" s="511" t="s">
        <v>769</v>
      </c>
      <c r="D146" s="511"/>
      <c r="E146" s="511" t="s">
        <v>1382</v>
      </c>
      <c r="F146" s="1005" t="s">
        <v>558</v>
      </c>
      <c r="G146" s="1006"/>
      <c r="H146" s="1006"/>
      <c r="I146" s="1007"/>
      <c r="J146" s="101" t="s">
        <v>198</v>
      </c>
      <c r="K146" s="40">
        <v>3</v>
      </c>
      <c r="L146" s="27"/>
      <c r="M146" s="390"/>
      <c r="N146" s="998">
        <f t="shared" si="2"/>
        <v>0</v>
      </c>
      <c r="O146" s="998"/>
      <c r="P146" s="998"/>
      <c r="Q146" s="998"/>
      <c r="R146" s="619"/>
      <c r="S146" s="617"/>
      <c r="T146" s="620"/>
      <c r="U146" s="621"/>
      <c r="V146" s="622"/>
      <c r="W146" s="622"/>
      <c r="X146" s="622"/>
      <c r="Y146" s="622"/>
      <c r="Z146" s="622"/>
      <c r="AA146" s="623"/>
      <c r="AC146" s="105"/>
      <c r="AU146" s="624"/>
      <c r="AY146" s="624"/>
      <c r="BE146" s="625"/>
      <c r="BF146" s="625"/>
      <c r="BG146" s="625"/>
      <c r="BH146" s="625"/>
      <c r="BI146" s="625"/>
      <c r="BJ146" s="624"/>
      <c r="BK146" s="625"/>
      <c r="BL146" s="624"/>
      <c r="BM146" s="624"/>
    </row>
    <row r="147" spans="1:65" s="162" customFormat="1" ht="30" customHeight="1">
      <c r="A147" s="58"/>
      <c r="B147" s="455"/>
      <c r="C147" s="511" t="s">
        <v>770</v>
      </c>
      <c r="D147" s="511"/>
      <c r="E147" s="511" t="s">
        <v>1383</v>
      </c>
      <c r="F147" s="1015" t="s">
        <v>565</v>
      </c>
      <c r="G147" s="1016"/>
      <c r="H147" s="1016"/>
      <c r="I147" s="1017"/>
      <c r="J147" s="133" t="s">
        <v>198</v>
      </c>
      <c r="K147" s="42">
        <v>3</v>
      </c>
      <c r="L147" s="21"/>
      <c r="M147" s="390"/>
      <c r="N147" s="948">
        <f t="shared" si="2"/>
        <v>0</v>
      </c>
      <c r="O147" s="948"/>
      <c r="P147" s="948"/>
      <c r="Q147" s="948"/>
      <c r="R147" s="456"/>
      <c r="S147" s="58"/>
      <c r="T147" s="483"/>
      <c r="U147" s="221"/>
      <c r="V147" s="408"/>
      <c r="W147" s="408"/>
      <c r="X147" s="408"/>
      <c r="Y147" s="408"/>
      <c r="Z147" s="408"/>
      <c r="AA147" s="409"/>
      <c r="AC147" s="105"/>
      <c r="AU147" s="448"/>
      <c r="AY147" s="448"/>
      <c r="BE147" s="484"/>
      <c r="BF147" s="484"/>
      <c r="BG147" s="484"/>
      <c r="BH147" s="484"/>
      <c r="BI147" s="484"/>
      <c r="BJ147" s="448"/>
      <c r="BK147" s="484"/>
      <c r="BL147" s="448"/>
      <c r="BM147" s="448"/>
    </row>
    <row r="148" spans="1:65" s="191" customFormat="1" ht="30" customHeight="1">
      <c r="A148" s="617"/>
      <c r="B148" s="618"/>
      <c r="C148" s="511" t="s">
        <v>771</v>
      </c>
      <c r="D148" s="511"/>
      <c r="E148" s="511" t="s">
        <v>1384</v>
      </c>
      <c r="F148" s="1005" t="s">
        <v>566</v>
      </c>
      <c r="G148" s="1006"/>
      <c r="H148" s="1006"/>
      <c r="I148" s="1007"/>
      <c r="J148" s="101" t="s">
        <v>198</v>
      </c>
      <c r="K148" s="40">
        <v>3</v>
      </c>
      <c r="L148" s="27"/>
      <c r="M148" s="390"/>
      <c r="N148" s="998">
        <f t="shared" si="2"/>
        <v>0</v>
      </c>
      <c r="O148" s="998"/>
      <c r="P148" s="998"/>
      <c r="Q148" s="998"/>
      <c r="R148" s="619"/>
      <c r="S148" s="617"/>
      <c r="T148" s="620"/>
      <c r="U148" s="621"/>
      <c r="V148" s="622"/>
      <c r="W148" s="622"/>
      <c r="X148" s="622"/>
      <c r="Y148" s="622"/>
      <c r="Z148" s="622"/>
      <c r="AA148" s="623"/>
      <c r="AC148" s="105"/>
      <c r="AU148" s="624"/>
      <c r="AY148" s="624"/>
      <c r="BE148" s="625"/>
      <c r="BF148" s="625"/>
      <c r="BG148" s="625"/>
      <c r="BH148" s="625"/>
      <c r="BI148" s="625"/>
      <c r="BJ148" s="624"/>
      <c r="BK148" s="625"/>
      <c r="BL148" s="624"/>
      <c r="BM148" s="624"/>
    </row>
    <row r="149" spans="1:65" s="162" customFormat="1" ht="30" customHeight="1">
      <c r="A149" s="58"/>
      <c r="B149" s="455"/>
      <c r="C149" s="511" t="s">
        <v>772</v>
      </c>
      <c r="D149" s="511"/>
      <c r="E149" s="511" t="s">
        <v>1367</v>
      </c>
      <c r="F149" s="1015" t="s">
        <v>559</v>
      </c>
      <c r="G149" s="1016"/>
      <c r="H149" s="1016"/>
      <c r="I149" s="1017"/>
      <c r="J149" s="102" t="s">
        <v>198</v>
      </c>
      <c r="K149" s="43">
        <v>3</v>
      </c>
      <c r="L149" s="21"/>
      <c r="M149" s="390"/>
      <c r="N149" s="948">
        <f t="shared" si="2"/>
        <v>0</v>
      </c>
      <c r="O149" s="948"/>
      <c r="P149" s="948"/>
      <c r="Q149" s="948"/>
      <c r="R149" s="456"/>
      <c r="S149" s="58"/>
      <c r="T149" s="483"/>
      <c r="U149" s="221"/>
      <c r="V149" s="408"/>
      <c r="W149" s="408"/>
      <c r="X149" s="408"/>
      <c r="Y149" s="408"/>
      <c r="Z149" s="408"/>
      <c r="AA149" s="409"/>
      <c r="AC149" s="105"/>
      <c r="AU149" s="448"/>
      <c r="AY149" s="448"/>
      <c r="BE149" s="484"/>
      <c r="BF149" s="484"/>
      <c r="BG149" s="484"/>
      <c r="BH149" s="484"/>
      <c r="BI149" s="484"/>
      <c r="BJ149" s="448"/>
      <c r="BK149" s="484"/>
      <c r="BL149" s="448"/>
      <c r="BM149" s="448"/>
    </row>
    <row r="150" spans="1:65" s="191" customFormat="1" ht="30" customHeight="1">
      <c r="A150" s="617"/>
      <c r="B150" s="618"/>
      <c r="C150" s="511" t="s">
        <v>773</v>
      </c>
      <c r="D150" s="511"/>
      <c r="E150" s="511" t="s">
        <v>1368</v>
      </c>
      <c r="F150" s="1005" t="s">
        <v>560</v>
      </c>
      <c r="G150" s="1006"/>
      <c r="H150" s="1006"/>
      <c r="I150" s="1007"/>
      <c r="J150" s="101" t="s">
        <v>198</v>
      </c>
      <c r="K150" s="40">
        <v>3</v>
      </c>
      <c r="L150" s="27"/>
      <c r="M150" s="390"/>
      <c r="N150" s="998">
        <f t="shared" si="2"/>
        <v>0</v>
      </c>
      <c r="O150" s="998"/>
      <c r="P150" s="998"/>
      <c r="Q150" s="998"/>
      <c r="R150" s="619"/>
      <c r="S150" s="617"/>
      <c r="T150" s="620"/>
      <c r="U150" s="621"/>
      <c r="V150" s="622"/>
      <c r="W150" s="622"/>
      <c r="X150" s="622"/>
      <c r="Y150" s="622"/>
      <c r="Z150" s="622"/>
      <c r="AA150" s="623"/>
      <c r="AC150" s="105"/>
      <c r="AU150" s="624"/>
      <c r="AY150" s="624"/>
      <c r="BE150" s="625"/>
      <c r="BF150" s="625"/>
      <c r="BG150" s="625"/>
      <c r="BH150" s="625"/>
      <c r="BI150" s="625"/>
      <c r="BJ150" s="624"/>
      <c r="BK150" s="625"/>
      <c r="BL150" s="624"/>
      <c r="BM150" s="624"/>
    </row>
    <row r="151" spans="1:65" s="162" customFormat="1" ht="30" customHeight="1">
      <c r="A151" s="58"/>
      <c r="B151" s="455"/>
      <c r="C151" s="511" t="s">
        <v>774</v>
      </c>
      <c r="D151" s="511"/>
      <c r="E151" s="511" t="s">
        <v>1369</v>
      </c>
      <c r="F151" s="1015" t="s">
        <v>1398</v>
      </c>
      <c r="G151" s="1016"/>
      <c r="H151" s="1016"/>
      <c r="I151" s="1017"/>
      <c r="J151" s="102" t="s">
        <v>198</v>
      </c>
      <c r="K151" s="43">
        <v>3</v>
      </c>
      <c r="L151" s="21"/>
      <c r="M151" s="390"/>
      <c r="N151" s="948">
        <f t="shared" si="2"/>
        <v>0</v>
      </c>
      <c r="O151" s="948"/>
      <c r="P151" s="948"/>
      <c r="Q151" s="948"/>
      <c r="R151" s="456"/>
      <c r="S151" s="58"/>
      <c r="T151" s="483"/>
      <c r="U151" s="221"/>
      <c r="V151" s="408"/>
      <c r="W151" s="408"/>
      <c r="X151" s="408"/>
      <c r="Y151" s="408"/>
      <c r="Z151" s="408"/>
      <c r="AA151" s="409"/>
      <c r="AC151" s="105"/>
      <c r="AU151" s="448"/>
      <c r="AY151" s="448"/>
      <c r="BE151" s="484"/>
      <c r="BF151" s="484"/>
      <c r="BG151" s="484"/>
      <c r="BH151" s="484"/>
      <c r="BI151" s="484"/>
      <c r="BJ151" s="448"/>
      <c r="BK151" s="484"/>
      <c r="BL151" s="448"/>
      <c r="BM151" s="448"/>
    </row>
    <row r="152" spans="1:65" s="191" customFormat="1" ht="30" customHeight="1">
      <c r="A152" s="617"/>
      <c r="B152" s="618"/>
      <c r="C152" s="511" t="s">
        <v>775</v>
      </c>
      <c r="D152" s="511"/>
      <c r="E152" s="511" t="s">
        <v>1370</v>
      </c>
      <c r="F152" s="1005" t="s">
        <v>1399</v>
      </c>
      <c r="G152" s="1006"/>
      <c r="H152" s="1006"/>
      <c r="I152" s="1007"/>
      <c r="J152" s="101" t="s">
        <v>198</v>
      </c>
      <c r="K152" s="40">
        <v>3</v>
      </c>
      <c r="L152" s="27"/>
      <c r="M152" s="390"/>
      <c r="N152" s="998">
        <f t="shared" si="2"/>
        <v>0</v>
      </c>
      <c r="O152" s="998"/>
      <c r="P152" s="998"/>
      <c r="Q152" s="998"/>
      <c r="R152" s="619"/>
      <c r="S152" s="617"/>
      <c r="T152" s="620"/>
      <c r="U152" s="621"/>
      <c r="V152" s="622"/>
      <c r="W152" s="622"/>
      <c r="X152" s="622"/>
      <c r="Y152" s="622"/>
      <c r="Z152" s="622"/>
      <c r="AA152" s="623"/>
      <c r="AC152" s="105"/>
      <c r="AU152" s="624"/>
      <c r="AY152" s="624"/>
      <c r="BE152" s="625"/>
      <c r="BF152" s="625"/>
      <c r="BG152" s="625"/>
      <c r="BH152" s="625"/>
      <c r="BI152" s="625"/>
      <c r="BJ152" s="624"/>
      <c r="BK152" s="625"/>
      <c r="BL152" s="624"/>
      <c r="BM152" s="624"/>
    </row>
    <row r="153" spans="1:65" s="162" customFormat="1" ht="30" customHeight="1">
      <c r="A153" s="58"/>
      <c r="B153" s="455"/>
      <c r="C153" s="511" t="s">
        <v>776</v>
      </c>
      <c r="D153" s="511"/>
      <c r="E153" s="511" t="s">
        <v>1396</v>
      </c>
      <c r="F153" s="1025" t="s">
        <v>563</v>
      </c>
      <c r="G153" s="1026"/>
      <c r="H153" s="1026"/>
      <c r="I153" s="1027"/>
      <c r="J153" s="133" t="s">
        <v>198</v>
      </c>
      <c r="K153" s="42">
        <v>3</v>
      </c>
      <c r="L153" s="21"/>
      <c r="M153" s="390"/>
      <c r="N153" s="948">
        <f t="shared" si="2"/>
        <v>0</v>
      </c>
      <c r="O153" s="948"/>
      <c r="P153" s="948"/>
      <c r="Q153" s="948"/>
      <c r="R153" s="456"/>
      <c r="S153" s="58"/>
      <c r="T153" s="483"/>
      <c r="U153" s="221"/>
      <c r="V153" s="408"/>
      <c r="W153" s="408"/>
      <c r="X153" s="408"/>
      <c r="Y153" s="408"/>
      <c r="Z153" s="408"/>
      <c r="AA153" s="409"/>
      <c r="AC153" s="105"/>
      <c r="AU153" s="448"/>
      <c r="AY153" s="448"/>
      <c r="BE153" s="484"/>
      <c r="BF153" s="484"/>
      <c r="BG153" s="484"/>
      <c r="BH153" s="484"/>
      <c r="BI153" s="484"/>
      <c r="BJ153" s="448"/>
      <c r="BK153" s="484"/>
      <c r="BL153" s="448"/>
      <c r="BM153" s="448"/>
    </row>
    <row r="154" spans="1:65" s="191" customFormat="1" ht="30" customHeight="1">
      <c r="A154" s="617"/>
      <c r="B154" s="618"/>
      <c r="C154" s="511" t="s">
        <v>777</v>
      </c>
      <c r="D154" s="511"/>
      <c r="E154" s="511" t="s">
        <v>1397</v>
      </c>
      <c r="F154" s="1005" t="s">
        <v>564</v>
      </c>
      <c r="G154" s="1006"/>
      <c r="H154" s="1006"/>
      <c r="I154" s="1007"/>
      <c r="J154" s="101" t="s">
        <v>198</v>
      </c>
      <c r="K154" s="40">
        <v>3</v>
      </c>
      <c r="L154" s="27"/>
      <c r="M154" s="390"/>
      <c r="N154" s="998">
        <f t="shared" si="2"/>
        <v>0</v>
      </c>
      <c r="O154" s="998"/>
      <c r="P154" s="998"/>
      <c r="Q154" s="998"/>
      <c r="R154" s="619"/>
      <c r="S154" s="617"/>
      <c r="T154" s="620"/>
      <c r="U154" s="621"/>
      <c r="V154" s="622"/>
      <c r="W154" s="622"/>
      <c r="X154" s="622"/>
      <c r="Y154" s="622"/>
      <c r="Z154" s="622"/>
      <c r="AA154" s="623"/>
      <c r="AC154" s="105"/>
      <c r="AU154" s="624"/>
      <c r="AY154" s="624"/>
      <c r="BE154" s="625"/>
      <c r="BF154" s="625"/>
      <c r="BG154" s="625"/>
      <c r="BH154" s="625"/>
      <c r="BI154" s="625"/>
      <c r="BJ154" s="624"/>
      <c r="BK154" s="625"/>
      <c r="BL154" s="624"/>
      <c r="BM154" s="624"/>
    </row>
    <row r="155" spans="1:65" s="162" customFormat="1" ht="30" customHeight="1">
      <c r="A155" s="58"/>
      <c r="B155" s="455"/>
      <c r="C155" s="511" t="s">
        <v>778</v>
      </c>
      <c r="D155" s="511"/>
      <c r="E155" s="511" t="s">
        <v>1391</v>
      </c>
      <c r="F155" s="1015" t="s">
        <v>567</v>
      </c>
      <c r="G155" s="1016"/>
      <c r="H155" s="1016"/>
      <c r="I155" s="1017"/>
      <c r="J155" s="102" t="s">
        <v>198</v>
      </c>
      <c r="K155" s="43">
        <v>1</v>
      </c>
      <c r="L155" s="21"/>
      <c r="M155" s="390"/>
      <c r="N155" s="948">
        <f t="shared" si="2"/>
        <v>0</v>
      </c>
      <c r="O155" s="948"/>
      <c r="P155" s="948"/>
      <c r="Q155" s="948"/>
      <c r="R155" s="456"/>
      <c r="S155" s="58"/>
      <c r="T155" s="483"/>
      <c r="U155" s="221"/>
      <c r="V155" s="408"/>
      <c r="W155" s="408"/>
      <c r="X155" s="408"/>
      <c r="Y155" s="408"/>
      <c r="Z155" s="408"/>
      <c r="AA155" s="409"/>
      <c r="AC155" s="105"/>
      <c r="AU155" s="448"/>
      <c r="AY155" s="448"/>
      <c r="BE155" s="484"/>
      <c r="BF155" s="484"/>
      <c r="BG155" s="484"/>
      <c r="BH155" s="484"/>
      <c r="BI155" s="484"/>
      <c r="BJ155" s="448"/>
      <c r="BK155" s="484"/>
      <c r="BL155" s="448"/>
      <c r="BM155" s="448"/>
    </row>
    <row r="156" spans="1:65" s="191" customFormat="1" ht="30" customHeight="1">
      <c r="A156" s="617"/>
      <c r="B156" s="618"/>
      <c r="C156" s="511" t="s">
        <v>779</v>
      </c>
      <c r="D156" s="511"/>
      <c r="E156" s="511" t="s">
        <v>1405</v>
      </c>
      <c r="F156" s="1005" t="s">
        <v>568</v>
      </c>
      <c r="G156" s="1006"/>
      <c r="H156" s="1006"/>
      <c r="I156" s="1007"/>
      <c r="J156" s="101" t="s">
        <v>198</v>
      </c>
      <c r="K156" s="40">
        <v>1</v>
      </c>
      <c r="L156" s="27"/>
      <c r="M156" s="390"/>
      <c r="N156" s="998">
        <f t="shared" si="2"/>
        <v>0</v>
      </c>
      <c r="O156" s="998"/>
      <c r="P156" s="998"/>
      <c r="Q156" s="998"/>
      <c r="R156" s="619"/>
      <c r="S156" s="617"/>
      <c r="T156" s="620"/>
      <c r="U156" s="621"/>
      <c r="V156" s="622"/>
      <c r="W156" s="622"/>
      <c r="X156" s="622"/>
      <c r="Y156" s="622"/>
      <c r="Z156" s="622"/>
      <c r="AA156" s="623"/>
      <c r="AC156" s="105"/>
      <c r="AU156" s="624"/>
      <c r="AY156" s="624"/>
      <c r="BE156" s="625"/>
      <c r="BF156" s="625"/>
      <c r="BG156" s="625"/>
      <c r="BH156" s="625"/>
      <c r="BI156" s="625"/>
      <c r="BJ156" s="624"/>
      <c r="BK156" s="625"/>
      <c r="BL156" s="624"/>
      <c r="BM156" s="624"/>
    </row>
    <row r="157" spans="1:65" s="162" customFormat="1" ht="30" customHeight="1">
      <c r="A157" s="58"/>
      <c r="B157" s="455"/>
      <c r="C157" s="511" t="s">
        <v>780</v>
      </c>
      <c r="D157" s="511"/>
      <c r="E157" s="511" t="s">
        <v>1392</v>
      </c>
      <c r="F157" s="1015" t="s">
        <v>569</v>
      </c>
      <c r="G157" s="1016"/>
      <c r="H157" s="1016"/>
      <c r="I157" s="1017"/>
      <c r="J157" s="102" t="s">
        <v>198</v>
      </c>
      <c r="K157" s="43">
        <v>1</v>
      </c>
      <c r="L157" s="21"/>
      <c r="M157" s="390"/>
      <c r="N157" s="948">
        <f t="shared" si="2"/>
        <v>0</v>
      </c>
      <c r="O157" s="948"/>
      <c r="P157" s="948"/>
      <c r="Q157" s="948"/>
      <c r="R157" s="456"/>
      <c r="S157" s="58"/>
      <c r="T157" s="483"/>
      <c r="U157" s="221"/>
      <c r="V157" s="408"/>
      <c r="W157" s="408"/>
      <c r="X157" s="408"/>
      <c r="Y157" s="408"/>
      <c r="Z157" s="408"/>
      <c r="AA157" s="409"/>
      <c r="AC157" s="105"/>
      <c r="AU157" s="448"/>
      <c r="AY157" s="448"/>
      <c r="BE157" s="484"/>
      <c r="BF157" s="484"/>
      <c r="BG157" s="484"/>
      <c r="BH157" s="484"/>
      <c r="BI157" s="484"/>
      <c r="BJ157" s="448"/>
      <c r="BK157" s="484"/>
      <c r="BL157" s="448"/>
      <c r="BM157" s="448"/>
    </row>
    <row r="158" spans="1:65" s="191" customFormat="1" ht="30" customHeight="1">
      <c r="A158" s="617"/>
      <c r="B158" s="618"/>
      <c r="C158" s="511" t="s">
        <v>781</v>
      </c>
      <c r="D158" s="511"/>
      <c r="E158" s="511" t="s">
        <v>1393</v>
      </c>
      <c r="F158" s="1005" t="s">
        <v>570</v>
      </c>
      <c r="G158" s="1006"/>
      <c r="H158" s="1006"/>
      <c r="I158" s="1007"/>
      <c r="J158" s="101" t="s">
        <v>198</v>
      </c>
      <c r="K158" s="40">
        <v>1</v>
      </c>
      <c r="L158" s="27"/>
      <c r="M158" s="390"/>
      <c r="N158" s="998">
        <f>ROUND(L158*K158,2)</f>
        <v>0</v>
      </c>
      <c r="O158" s="998"/>
      <c r="P158" s="998"/>
      <c r="Q158" s="998"/>
      <c r="R158" s="619"/>
      <c r="S158" s="617"/>
      <c r="T158" s="620"/>
      <c r="U158" s="621"/>
      <c r="V158" s="622"/>
      <c r="W158" s="622"/>
      <c r="X158" s="622"/>
      <c r="Y158" s="622"/>
      <c r="Z158" s="622"/>
      <c r="AA158" s="623"/>
      <c r="AC158" s="105"/>
      <c r="AU158" s="624"/>
      <c r="AY158" s="624"/>
      <c r="BE158" s="625"/>
      <c r="BF158" s="625"/>
      <c r="BG158" s="625"/>
      <c r="BH158" s="625"/>
      <c r="BI158" s="625"/>
      <c r="BJ158" s="624"/>
      <c r="BK158" s="625"/>
      <c r="BL158" s="624"/>
      <c r="BM158" s="624"/>
    </row>
    <row r="159" spans="1:63" s="635" customFormat="1" ht="37.35" customHeight="1">
      <c r="A159" s="629"/>
      <c r="B159" s="630"/>
      <c r="C159" s="511" t="s">
        <v>782</v>
      </c>
      <c r="D159" s="510"/>
      <c r="E159" s="511" t="s">
        <v>1344</v>
      </c>
      <c r="F159" s="999" t="s">
        <v>247</v>
      </c>
      <c r="G159" s="999"/>
      <c r="H159" s="999"/>
      <c r="I159" s="999"/>
      <c r="J159" s="102" t="s">
        <v>131</v>
      </c>
      <c r="K159" s="44">
        <v>1</v>
      </c>
      <c r="L159" s="21"/>
      <c r="M159" s="390"/>
      <c r="N159" s="948">
        <f>ROUND(L159*K159,2)</f>
        <v>0</v>
      </c>
      <c r="O159" s="948"/>
      <c r="P159" s="948"/>
      <c r="Q159" s="948"/>
      <c r="R159" s="631"/>
      <c r="S159" s="632"/>
      <c r="T159" s="632"/>
      <c r="U159" s="632"/>
      <c r="V159" s="632"/>
      <c r="W159" s="633"/>
      <c r="X159" s="632"/>
      <c r="Y159" s="633"/>
      <c r="Z159" s="632"/>
      <c r="AA159" s="634"/>
      <c r="AC159" s="105"/>
      <c r="AU159" s="636"/>
      <c r="AY159" s="637"/>
      <c r="BK159" s="638"/>
    </row>
    <row r="160" spans="2:47" s="249" customFormat="1" ht="30" customHeight="1">
      <c r="B160" s="247"/>
      <c r="C160" s="511" t="s">
        <v>783</v>
      </c>
      <c r="D160" s="511"/>
      <c r="E160" s="511" t="s">
        <v>1366</v>
      </c>
      <c r="F160" s="954" t="s">
        <v>206</v>
      </c>
      <c r="G160" s="954"/>
      <c r="H160" s="954"/>
      <c r="I160" s="954"/>
      <c r="J160" s="103" t="s">
        <v>2227</v>
      </c>
      <c r="K160" s="45">
        <v>1</v>
      </c>
      <c r="L160" s="29"/>
      <c r="M160" s="390"/>
      <c r="N160" s="948">
        <f>ROUND(L160*K160,2)</f>
        <v>0</v>
      </c>
      <c r="O160" s="948"/>
      <c r="P160" s="948"/>
      <c r="Q160" s="948"/>
      <c r="R160" s="248"/>
      <c r="T160" s="639"/>
      <c r="U160" s="87"/>
      <c r="V160" s="87"/>
      <c r="W160" s="87"/>
      <c r="X160" s="87"/>
      <c r="Y160" s="87"/>
      <c r="Z160" s="87"/>
      <c r="AA160" s="275"/>
      <c r="AC160" s="105"/>
      <c r="AU160" s="240" t="s">
        <v>76</v>
      </c>
    </row>
    <row r="161" spans="2:65" s="249" customFormat="1" ht="30" customHeight="1">
      <c r="B161" s="247"/>
      <c r="C161" s="511" t="s">
        <v>784</v>
      </c>
      <c r="D161" s="511"/>
      <c r="E161" s="511" t="s">
        <v>1367</v>
      </c>
      <c r="F161" s="954" t="s">
        <v>2226</v>
      </c>
      <c r="G161" s="954"/>
      <c r="H161" s="954"/>
      <c r="I161" s="954"/>
      <c r="J161" s="103" t="s">
        <v>2227</v>
      </c>
      <c r="K161" s="45">
        <v>1</v>
      </c>
      <c r="L161" s="29"/>
      <c r="M161" s="390"/>
      <c r="N161" s="948">
        <f>ROUND(L161*K161,2)</f>
        <v>0</v>
      </c>
      <c r="O161" s="948"/>
      <c r="P161" s="948"/>
      <c r="Q161" s="948"/>
      <c r="R161" s="248"/>
      <c r="T161" s="640" t="s">
        <v>5</v>
      </c>
      <c r="U161" s="641" t="s">
        <v>36</v>
      </c>
      <c r="V161" s="642">
        <v>0</v>
      </c>
      <c r="W161" s="642" t="e">
        <f>V161*#REF!</f>
        <v>#REF!</v>
      </c>
      <c r="X161" s="642">
        <v>0</v>
      </c>
      <c r="Y161" s="642" t="e">
        <f>X161*#REF!</f>
        <v>#REF!</v>
      </c>
      <c r="Z161" s="642">
        <v>0</v>
      </c>
      <c r="AA161" s="643" t="e">
        <f>Z161*#REF!</f>
        <v>#REF!</v>
      </c>
      <c r="AC161" s="105"/>
      <c r="AU161" s="240" t="s">
        <v>76</v>
      </c>
      <c r="AY161" s="240" t="s">
        <v>125</v>
      </c>
      <c r="BE161" s="250">
        <f>IF(U161="základní",#REF!,0)</f>
        <v>0</v>
      </c>
      <c r="BF161" s="250" t="e">
        <f>IF(U161="snížená",#REF!,0)</f>
        <v>#REF!</v>
      </c>
      <c r="BG161" s="250">
        <f>IF(U161="zákl. přenesená",#REF!,0)</f>
        <v>0</v>
      </c>
      <c r="BH161" s="250">
        <f>IF(U161="sníž. přenesená",#REF!,0)</f>
        <v>0</v>
      </c>
      <c r="BI161" s="250">
        <f>IF(U161="nulová",#REF!,0)</f>
        <v>0</v>
      </c>
      <c r="BJ161" s="240" t="s">
        <v>80</v>
      </c>
      <c r="BK161" s="250" t="e">
        <f>ROUND(#REF!*#REF!,2)</f>
        <v>#REF!</v>
      </c>
      <c r="BL161" s="240" t="s">
        <v>128</v>
      </c>
      <c r="BM161" s="240" t="s">
        <v>139</v>
      </c>
    </row>
    <row r="162" spans="1:63" s="394" customFormat="1" ht="37.35" customHeight="1">
      <c r="A162" s="546"/>
      <c r="B162" s="389"/>
      <c r="C162" s="644"/>
      <c r="D162" s="597" t="s">
        <v>571</v>
      </c>
      <c r="E162" s="645"/>
      <c r="F162" s="390"/>
      <c r="G162" s="390"/>
      <c r="H162" s="390"/>
      <c r="I162" s="390"/>
      <c r="J162" s="390"/>
      <c r="K162" s="46"/>
      <c r="L162" s="738"/>
      <c r="M162" s="390"/>
      <c r="N162" s="646"/>
      <c r="O162" s="647"/>
      <c r="P162" s="647"/>
      <c r="Q162" s="647"/>
      <c r="R162" s="391"/>
      <c r="S162" s="388"/>
      <c r="T162" s="388"/>
      <c r="U162" s="388"/>
      <c r="V162" s="388"/>
      <c r="W162" s="392"/>
      <c r="X162" s="388"/>
      <c r="Y162" s="392"/>
      <c r="Z162" s="388"/>
      <c r="AA162" s="393"/>
      <c r="AC162" s="105"/>
      <c r="AU162" s="395"/>
      <c r="AY162" s="396"/>
      <c r="BK162" s="397"/>
    </row>
    <row r="163" spans="1:65" s="162" customFormat="1" ht="42.75" customHeight="1">
      <c r="A163" s="58"/>
      <c r="B163" s="455"/>
      <c r="C163" s="511" t="s">
        <v>785</v>
      </c>
      <c r="D163" s="511"/>
      <c r="E163" s="511" t="s">
        <v>1345</v>
      </c>
      <c r="F163" s="999" t="s">
        <v>252</v>
      </c>
      <c r="G163" s="999"/>
      <c r="H163" s="999"/>
      <c r="I163" s="999"/>
      <c r="J163" s="94" t="s">
        <v>131</v>
      </c>
      <c r="K163" s="40">
        <v>1</v>
      </c>
      <c r="L163" s="21"/>
      <c r="M163" s="390"/>
      <c r="N163" s="948">
        <f>ROUND(L163*K163,2)</f>
        <v>0</v>
      </c>
      <c r="O163" s="948"/>
      <c r="P163" s="948"/>
      <c r="Q163" s="948"/>
      <c r="R163" s="456"/>
      <c r="S163" s="58"/>
      <c r="T163" s="483"/>
      <c r="U163" s="221"/>
      <c r="V163" s="408"/>
      <c r="W163" s="408"/>
      <c r="X163" s="408"/>
      <c r="Y163" s="408"/>
      <c r="Z163" s="408"/>
      <c r="AA163" s="409"/>
      <c r="AC163" s="105"/>
      <c r="AU163" s="448"/>
      <c r="AY163" s="448"/>
      <c r="BE163" s="484"/>
      <c r="BF163" s="484"/>
      <c r="BG163" s="484"/>
      <c r="BH163" s="484"/>
      <c r="BI163" s="484"/>
      <c r="BJ163" s="448"/>
      <c r="BK163" s="484"/>
      <c r="BL163" s="448"/>
      <c r="BM163" s="448"/>
    </row>
    <row r="164" spans="1:65" s="609" customFormat="1" ht="30" customHeight="1">
      <c r="A164" s="606"/>
      <c r="B164" s="607"/>
      <c r="C164" s="626"/>
      <c r="D164" s="626"/>
      <c r="E164" s="627"/>
      <c r="F164" s="1076" t="s">
        <v>546</v>
      </c>
      <c r="G164" s="1077"/>
      <c r="H164" s="1077"/>
      <c r="I164" s="1078"/>
      <c r="J164" s="487"/>
      <c r="K164" s="41"/>
      <c r="L164" s="32"/>
      <c r="M164" s="390"/>
      <c r="N164" s="1037"/>
      <c r="O164" s="1037"/>
      <c r="P164" s="1037"/>
      <c r="Q164" s="1037"/>
      <c r="R164" s="610"/>
      <c r="S164" s="606"/>
      <c r="T164" s="611"/>
      <c r="U164" s="612"/>
      <c r="V164" s="613"/>
      <c r="W164" s="613"/>
      <c r="X164" s="613"/>
      <c r="Y164" s="613"/>
      <c r="Z164" s="613"/>
      <c r="AA164" s="614"/>
      <c r="AC164" s="105"/>
      <c r="AU164" s="615"/>
      <c r="AY164" s="615"/>
      <c r="BE164" s="616"/>
      <c r="BF164" s="616"/>
      <c r="BG164" s="616"/>
      <c r="BH164" s="616"/>
      <c r="BI164" s="616"/>
      <c r="BJ164" s="615"/>
      <c r="BK164" s="616"/>
      <c r="BL164" s="615"/>
      <c r="BM164" s="615"/>
    </row>
    <row r="165" spans="1:65" s="162" customFormat="1" ht="30" customHeight="1">
      <c r="A165" s="58"/>
      <c r="B165" s="455"/>
      <c r="C165" s="511" t="s">
        <v>786</v>
      </c>
      <c r="D165" s="511"/>
      <c r="E165" s="511" t="s">
        <v>1327</v>
      </c>
      <c r="F165" s="1015" t="s">
        <v>536</v>
      </c>
      <c r="G165" s="1016"/>
      <c r="H165" s="1016"/>
      <c r="I165" s="1017"/>
      <c r="J165" s="94" t="s">
        <v>133</v>
      </c>
      <c r="K165" s="42">
        <f>0.19+0.81+0.65+0.61+0.99+0.19+0.81+0.45+0.41+0.2+0.18+1.79+0.87+0.64</f>
        <v>8.790000000000001</v>
      </c>
      <c r="L165" s="21"/>
      <c r="M165" s="390"/>
      <c r="N165" s="948">
        <f aca="true" t="shared" si="3" ref="N165:N169">ROUND(L165*K165,2)</f>
        <v>0</v>
      </c>
      <c r="O165" s="948"/>
      <c r="P165" s="948"/>
      <c r="Q165" s="948"/>
      <c r="R165" s="456"/>
      <c r="S165" s="58"/>
      <c r="T165" s="483"/>
      <c r="U165" s="221"/>
      <c r="V165" s="408"/>
      <c r="W165" s="408"/>
      <c r="X165" s="408"/>
      <c r="Y165" s="408"/>
      <c r="Z165" s="408"/>
      <c r="AA165" s="409"/>
      <c r="AC165" s="105"/>
      <c r="AU165" s="448"/>
      <c r="AY165" s="448"/>
      <c r="BE165" s="484"/>
      <c r="BF165" s="484"/>
      <c r="BG165" s="484"/>
      <c r="BH165" s="484"/>
      <c r="BI165" s="484"/>
      <c r="BJ165" s="448"/>
      <c r="BK165" s="484"/>
      <c r="BL165" s="448"/>
      <c r="BM165" s="448"/>
    </row>
    <row r="166" spans="1:65" s="191" customFormat="1" ht="30" customHeight="1">
      <c r="A166" s="617"/>
      <c r="B166" s="618"/>
      <c r="C166" s="511" t="s">
        <v>787</v>
      </c>
      <c r="D166" s="511"/>
      <c r="E166" s="511" t="s">
        <v>1328</v>
      </c>
      <c r="F166" s="1005" t="s">
        <v>535</v>
      </c>
      <c r="G166" s="1006"/>
      <c r="H166" s="1006"/>
      <c r="I166" s="1007"/>
      <c r="J166" s="101" t="s">
        <v>133</v>
      </c>
      <c r="K166" s="40">
        <f>K165*1.1</f>
        <v>9.669000000000002</v>
      </c>
      <c r="L166" s="27"/>
      <c r="M166" s="390"/>
      <c r="N166" s="998">
        <f t="shared" si="3"/>
        <v>0</v>
      </c>
      <c r="O166" s="998"/>
      <c r="P166" s="998"/>
      <c r="Q166" s="998"/>
      <c r="R166" s="619"/>
      <c r="S166" s="617"/>
      <c r="T166" s="620"/>
      <c r="U166" s="621"/>
      <c r="V166" s="622"/>
      <c r="W166" s="622"/>
      <c r="X166" s="622"/>
      <c r="Y166" s="622"/>
      <c r="Z166" s="622"/>
      <c r="AA166" s="623"/>
      <c r="AC166" s="105"/>
      <c r="AU166" s="624"/>
      <c r="AY166" s="624"/>
      <c r="BE166" s="625"/>
      <c r="BF166" s="625"/>
      <c r="BG166" s="625"/>
      <c r="BH166" s="625"/>
      <c r="BI166" s="625"/>
      <c r="BJ166" s="624"/>
      <c r="BK166" s="625"/>
      <c r="BL166" s="624"/>
      <c r="BM166" s="624"/>
    </row>
    <row r="167" spans="1:65" s="191" customFormat="1" ht="30" customHeight="1">
      <c r="A167" s="617"/>
      <c r="B167" s="618"/>
      <c r="C167" s="511" t="s">
        <v>788</v>
      </c>
      <c r="D167" s="511"/>
      <c r="E167" s="511" t="s">
        <v>1329</v>
      </c>
      <c r="F167" s="1005" t="s">
        <v>529</v>
      </c>
      <c r="G167" s="1006"/>
      <c r="H167" s="1006"/>
      <c r="I167" s="1007"/>
      <c r="J167" s="101" t="s">
        <v>198</v>
      </c>
      <c r="K167" s="40">
        <f>8</f>
        <v>8</v>
      </c>
      <c r="L167" s="27"/>
      <c r="M167" s="390"/>
      <c r="N167" s="998">
        <f t="shared" si="3"/>
        <v>0</v>
      </c>
      <c r="O167" s="998"/>
      <c r="P167" s="998"/>
      <c r="Q167" s="998"/>
      <c r="R167" s="619"/>
      <c r="S167" s="617"/>
      <c r="T167" s="620"/>
      <c r="U167" s="621"/>
      <c r="V167" s="622"/>
      <c r="W167" s="622"/>
      <c r="X167" s="622"/>
      <c r="Y167" s="622"/>
      <c r="Z167" s="622"/>
      <c r="AA167" s="623"/>
      <c r="AC167" s="105"/>
      <c r="AU167" s="624"/>
      <c r="AY167" s="624"/>
      <c r="BE167" s="625"/>
      <c r="BF167" s="625"/>
      <c r="BG167" s="625"/>
      <c r="BH167" s="625"/>
      <c r="BI167" s="625"/>
      <c r="BJ167" s="624"/>
      <c r="BK167" s="625"/>
      <c r="BL167" s="624"/>
      <c r="BM167" s="624"/>
    </row>
    <row r="168" spans="1:65" s="191" customFormat="1" ht="30" customHeight="1">
      <c r="A168" s="617"/>
      <c r="B168" s="618"/>
      <c r="C168" s="511" t="s">
        <v>789</v>
      </c>
      <c r="D168" s="511"/>
      <c r="E168" s="511" t="s">
        <v>1330</v>
      </c>
      <c r="F168" s="1005" t="s">
        <v>575</v>
      </c>
      <c r="G168" s="1006"/>
      <c r="H168" s="1006"/>
      <c r="I168" s="1007"/>
      <c r="J168" s="101" t="s">
        <v>198</v>
      </c>
      <c r="K168" s="40">
        <v>1</v>
      </c>
      <c r="L168" s="27"/>
      <c r="M168" s="390"/>
      <c r="N168" s="998">
        <f t="shared" si="3"/>
        <v>0</v>
      </c>
      <c r="O168" s="998"/>
      <c r="P168" s="998"/>
      <c r="Q168" s="998"/>
      <c r="R168" s="619"/>
      <c r="S168" s="617"/>
      <c r="T168" s="620"/>
      <c r="U168" s="621"/>
      <c r="V168" s="622"/>
      <c r="W168" s="622"/>
      <c r="X168" s="622"/>
      <c r="Y168" s="622"/>
      <c r="Z168" s="622"/>
      <c r="AA168" s="623"/>
      <c r="AC168" s="105"/>
      <c r="AU168" s="624"/>
      <c r="AY168" s="624"/>
      <c r="BE168" s="625"/>
      <c r="BF168" s="625"/>
      <c r="BG168" s="625"/>
      <c r="BH168" s="625"/>
      <c r="BI168" s="625"/>
      <c r="BJ168" s="624"/>
      <c r="BK168" s="625"/>
      <c r="BL168" s="624"/>
      <c r="BM168" s="624"/>
    </row>
    <row r="169" spans="1:65" s="162" customFormat="1" ht="30" customHeight="1">
      <c r="A169" s="58"/>
      <c r="B169" s="455"/>
      <c r="C169" s="511" t="s">
        <v>790</v>
      </c>
      <c r="D169" s="511"/>
      <c r="E169" s="511" t="s">
        <v>1346</v>
      </c>
      <c r="F169" s="1015" t="s">
        <v>572</v>
      </c>
      <c r="G169" s="1016"/>
      <c r="H169" s="1016"/>
      <c r="I169" s="1017"/>
      <c r="J169" s="94" t="s">
        <v>133</v>
      </c>
      <c r="K169" s="42">
        <f>(0.49+0.58)*2</f>
        <v>2.1399999999999997</v>
      </c>
      <c r="L169" s="21"/>
      <c r="M169" s="390"/>
      <c r="N169" s="948">
        <f t="shared" si="3"/>
        <v>0</v>
      </c>
      <c r="O169" s="948"/>
      <c r="P169" s="948"/>
      <c r="Q169" s="948"/>
      <c r="R169" s="456"/>
      <c r="S169" s="58"/>
      <c r="T169" s="483"/>
      <c r="U169" s="221"/>
      <c r="V169" s="408"/>
      <c r="W169" s="408"/>
      <c r="X169" s="408"/>
      <c r="Y169" s="408"/>
      <c r="Z169" s="408"/>
      <c r="AA169" s="409"/>
      <c r="AC169" s="105"/>
      <c r="AU169" s="448"/>
      <c r="AY169" s="448"/>
      <c r="BE169" s="484"/>
      <c r="BF169" s="484"/>
      <c r="BG169" s="484"/>
      <c r="BH169" s="484"/>
      <c r="BI169" s="484"/>
      <c r="BJ169" s="448"/>
      <c r="BK169" s="484"/>
      <c r="BL169" s="448"/>
      <c r="BM169" s="448"/>
    </row>
    <row r="170" spans="1:65" s="191" customFormat="1" ht="30" customHeight="1">
      <c r="A170" s="617"/>
      <c r="B170" s="618"/>
      <c r="C170" s="511" t="s">
        <v>791</v>
      </c>
      <c r="D170" s="511"/>
      <c r="E170" s="511" t="s">
        <v>1347</v>
      </c>
      <c r="F170" s="1005" t="s">
        <v>573</v>
      </c>
      <c r="G170" s="1006"/>
      <c r="H170" s="1006"/>
      <c r="I170" s="1007"/>
      <c r="J170" s="101" t="s">
        <v>133</v>
      </c>
      <c r="K170" s="40">
        <f>K169*1.1</f>
        <v>2.3539999999999996</v>
      </c>
      <c r="L170" s="27"/>
      <c r="M170" s="390"/>
      <c r="N170" s="998">
        <f aca="true" t="shared" si="4" ref="N170:N205">ROUND(L170*K170,2)</f>
        <v>0</v>
      </c>
      <c r="O170" s="998"/>
      <c r="P170" s="998"/>
      <c r="Q170" s="998"/>
      <c r="R170" s="619"/>
      <c r="S170" s="617"/>
      <c r="T170" s="620"/>
      <c r="U170" s="621"/>
      <c r="V170" s="622"/>
      <c r="W170" s="622"/>
      <c r="X170" s="622"/>
      <c r="Y170" s="622"/>
      <c r="Z170" s="622"/>
      <c r="AA170" s="623"/>
      <c r="AC170" s="105"/>
      <c r="AU170" s="624"/>
      <c r="AY170" s="624"/>
      <c r="BE170" s="625"/>
      <c r="BF170" s="625"/>
      <c r="BG170" s="625"/>
      <c r="BH170" s="625"/>
      <c r="BI170" s="625"/>
      <c r="BJ170" s="624"/>
      <c r="BK170" s="625"/>
      <c r="BL170" s="624"/>
      <c r="BM170" s="624"/>
    </row>
    <row r="171" spans="1:65" s="191" customFormat="1" ht="30" customHeight="1">
      <c r="A171" s="617"/>
      <c r="B171" s="618"/>
      <c r="C171" s="511" t="s">
        <v>792</v>
      </c>
      <c r="D171" s="511"/>
      <c r="E171" s="511" t="s">
        <v>1348</v>
      </c>
      <c r="F171" s="1005" t="s">
        <v>574</v>
      </c>
      <c r="G171" s="1006"/>
      <c r="H171" s="1006"/>
      <c r="I171" s="1007"/>
      <c r="J171" s="101" t="s">
        <v>198</v>
      </c>
      <c r="K171" s="40">
        <v>2</v>
      </c>
      <c r="L171" s="27"/>
      <c r="M171" s="390"/>
      <c r="N171" s="998">
        <f t="shared" si="4"/>
        <v>0</v>
      </c>
      <c r="O171" s="998"/>
      <c r="P171" s="998"/>
      <c r="Q171" s="998"/>
      <c r="R171" s="619"/>
      <c r="S171" s="617"/>
      <c r="T171" s="620"/>
      <c r="U171" s="621"/>
      <c r="V171" s="622"/>
      <c r="W171" s="622"/>
      <c r="X171" s="622"/>
      <c r="Y171" s="622"/>
      <c r="Z171" s="622"/>
      <c r="AA171" s="623"/>
      <c r="AC171" s="105"/>
      <c r="AU171" s="624"/>
      <c r="AY171" s="624"/>
      <c r="BE171" s="625"/>
      <c r="BF171" s="625"/>
      <c r="BG171" s="625"/>
      <c r="BH171" s="625"/>
      <c r="BI171" s="625"/>
      <c r="BJ171" s="624"/>
      <c r="BK171" s="625"/>
      <c r="BL171" s="624"/>
      <c r="BM171" s="624"/>
    </row>
    <row r="172" spans="1:65" s="191" customFormat="1" ht="30" customHeight="1">
      <c r="A172" s="617"/>
      <c r="B172" s="618"/>
      <c r="C172" s="511" t="s">
        <v>793</v>
      </c>
      <c r="D172" s="511"/>
      <c r="E172" s="511" t="s">
        <v>1349</v>
      </c>
      <c r="F172" s="1005" t="s">
        <v>576</v>
      </c>
      <c r="G172" s="1006"/>
      <c r="H172" s="1006"/>
      <c r="I172" s="1007"/>
      <c r="J172" s="101" t="s">
        <v>198</v>
      </c>
      <c r="K172" s="40">
        <v>1</v>
      </c>
      <c r="L172" s="27"/>
      <c r="M172" s="390"/>
      <c r="N172" s="998">
        <f t="shared" si="4"/>
        <v>0</v>
      </c>
      <c r="O172" s="998"/>
      <c r="P172" s="998"/>
      <c r="Q172" s="998"/>
      <c r="R172" s="619"/>
      <c r="S172" s="617"/>
      <c r="T172" s="620"/>
      <c r="U172" s="621"/>
      <c r="V172" s="622"/>
      <c r="W172" s="622"/>
      <c r="X172" s="622"/>
      <c r="Y172" s="622"/>
      <c r="Z172" s="622"/>
      <c r="AA172" s="623"/>
      <c r="AC172" s="105"/>
      <c r="AU172" s="624"/>
      <c r="AY172" s="624"/>
      <c r="BE172" s="625"/>
      <c r="BF172" s="625"/>
      <c r="BG172" s="625"/>
      <c r="BH172" s="625"/>
      <c r="BI172" s="625"/>
      <c r="BJ172" s="624"/>
      <c r="BK172" s="625"/>
      <c r="BL172" s="624"/>
      <c r="BM172" s="624"/>
    </row>
    <row r="173" spans="1:65" s="162" customFormat="1" ht="30" customHeight="1">
      <c r="A173" s="58"/>
      <c r="B173" s="455"/>
      <c r="C173" s="511" t="s">
        <v>794</v>
      </c>
      <c r="D173" s="511"/>
      <c r="E173" s="511" t="s">
        <v>1331</v>
      </c>
      <c r="F173" s="1015" t="s">
        <v>537</v>
      </c>
      <c r="G173" s="1016"/>
      <c r="H173" s="1016"/>
      <c r="I173" s="1017"/>
      <c r="J173" s="94" t="s">
        <v>133</v>
      </c>
      <c r="K173" s="42">
        <f>0.33+1.28+0.36+0.29+1.25+2*0.38</f>
        <v>4.2700000000000005</v>
      </c>
      <c r="L173" s="21"/>
      <c r="M173" s="390"/>
      <c r="N173" s="948">
        <f t="shared" si="4"/>
        <v>0</v>
      </c>
      <c r="O173" s="948"/>
      <c r="P173" s="948"/>
      <c r="Q173" s="948"/>
      <c r="R173" s="456"/>
      <c r="S173" s="58"/>
      <c r="T173" s="483"/>
      <c r="U173" s="221"/>
      <c r="V173" s="408"/>
      <c r="W173" s="408"/>
      <c r="X173" s="408"/>
      <c r="Y173" s="408"/>
      <c r="Z173" s="408"/>
      <c r="AA173" s="409"/>
      <c r="AC173" s="105"/>
      <c r="AU173" s="448"/>
      <c r="AY173" s="448"/>
      <c r="BE173" s="484"/>
      <c r="BF173" s="484"/>
      <c r="BG173" s="484"/>
      <c r="BH173" s="484"/>
      <c r="BI173" s="484"/>
      <c r="BJ173" s="448"/>
      <c r="BK173" s="484"/>
      <c r="BL173" s="448"/>
      <c r="BM173" s="448"/>
    </row>
    <row r="174" spans="1:65" s="191" customFormat="1" ht="30" customHeight="1">
      <c r="A174" s="617"/>
      <c r="B174" s="618"/>
      <c r="C174" s="511" t="s">
        <v>795</v>
      </c>
      <c r="D174" s="511"/>
      <c r="E174" s="511" t="s">
        <v>1332</v>
      </c>
      <c r="F174" s="1005" t="s">
        <v>534</v>
      </c>
      <c r="G174" s="1006"/>
      <c r="H174" s="1006"/>
      <c r="I174" s="1007"/>
      <c r="J174" s="101" t="s">
        <v>133</v>
      </c>
      <c r="K174" s="40">
        <f>K173*1.1</f>
        <v>4.697000000000001</v>
      </c>
      <c r="L174" s="27"/>
      <c r="M174" s="390"/>
      <c r="N174" s="998">
        <f t="shared" si="4"/>
        <v>0</v>
      </c>
      <c r="O174" s="998"/>
      <c r="P174" s="998"/>
      <c r="Q174" s="998"/>
      <c r="R174" s="619"/>
      <c r="S174" s="617"/>
      <c r="T174" s="620"/>
      <c r="U174" s="621"/>
      <c r="V174" s="622"/>
      <c r="W174" s="622"/>
      <c r="X174" s="622"/>
      <c r="Y174" s="622"/>
      <c r="Z174" s="622"/>
      <c r="AA174" s="623"/>
      <c r="AC174" s="105"/>
      <c r="AU174" s="624"/>
      <c r="AY174" s="624"/>
      <c r="BE174" s="625"/>
      <c r="BF174" s="625"/>
      <c r="BG174" s="625"/>
      <c r="BH174" s="625"/>
      <c r="BI174" s="625"/>
      <c r="BJ174" s="624"/>
      <c r="BK174" s="625"/>
      <c r="BL174" s="624"/>
      <c r="BM174" s="624"/>
    </row>
    <row r="175" spans="1:65" s="191" customFormat="1" ht="30" customHeight="1">
      <c r="A175" s="617"/>
      <c r="B175" s="618"/>
      <c r="C175" s="511" t="s">
        <v>796</v>
      </c>
      <c r="D175" s="511"/>
      <c r="E175" s="511" t="s">
        <v>1333</v>
      </c>
      <c r="F175" s="1005" t="s">
        <v>531</v>
      </c>
      <c r="G175" s="1006"/>
      <c r="H175" s="1006"/>
      <c r="I175" s="1007"/>
      <c r="J175" s="101" t="s">
        <v>198</v>
      </c>
      <c r="K175" s="40">
        <v>4</v>
      </c>
      <c r="L175" s="27"/>
      <c r="M175" s="390"/>
      <c r="N175" s="998">
        <f t="shared" si="4"/>
        <v>0</v>
      </c>
      <c r="O175" s="998"/>
      <c r="P175" s="998"/>
      <c r="Q175" s="998"/>
      <c r="R175" s="619"/>
      <c r="S175" s="617"/>
      <c r="T175" s="620"/>
      <c r="U175" s="621"/>
      <c r="V175" s="622"/>
      <c r="W175" s="622"/>
      <c r="X175" s="622"/>
      <c r="Y175" s="622"/>
      <c r="Z175" s="622"/>
      <c r="AA175" s="623"/>
      <c r="AC175" s="105"/>
      <c r="AU175" s="624"/>
      <c r="AY175" s="624"/>
      <c r="BE175" s="625"/>
      <c r="BF175" s="625"/>
      <c r="BG175" s="625"/>
      <c r="BH175" s="625"/>
      <c r="BI175" s="625"/>
      <c r="BJ175" s="624"/>
      <c r="BK175" s="625"/>
      <c r="BL175" s="624"/>
      <c r="BM175" s="624"/>
    </row>
    <row r="176" spans="1:65" s="191" customFormat="1" ht="30" customHeight="1">
      <c r="A176" s="617"/>
      <c r="B176" s="618"/>
      <c r="C176" s="511" t="s">
        <v>797</v>
      </c>
      <c r="D176" s="511"/>
      <c r="E176" s="511" t="s">
        <v>1334</v>
      </c>
      <c r="F176" s="1005" t="s">
        <v>532</v>
      </c>
      <c r="G176" s="1006"/>
      <c r="H176" s="1006"/>
      <c r="I176" s="1007"/>
      <c r="J176" s="101" t="s">
        <v>198</v>
      </c>
      <c r="K176" s="40">
        <v>6</v>
      </c>
      <c r="L176" s="27"/>
      <c r="M176" s="390"/>
      <c r="N176" s="998">
        <f t="shared" si="4"/>
        <v>0</v>
      </c>
      <c r="O176" s="998"/>
      <c r="P176" s="998"/>
      <c r="Q176" s="998"/>
      <c r="R176" s="619"/>
      <c r="S176" s="617"/>
      <c r="T176" s="620"/>
      <c r="U176" s="621"/>
      <c r="V176" s="622"/>
      <c r="W176" s="622"/>
      <c r="X176" s="622"/>
      <c r="Y176" s="622"/>
      <c r="Z176" s="622"/>
      <c r="AA176" s="623"/>
      <c r="AC176" s="105"/>
      <c r="AU176" s="624"/>
      <c r="AY176" s="624"/>
      <c r="BE176" s="625"/>
      <c r="BF176" s="625"/>
      <c r="BG176" s="625"/>
      <c r="BH176" s="625"/>
      <c r="BI176" s="625"/>
      <c r="BJ176" s="624"/>
      <c r="BK176" s="625"/>
      <c r="BL176" s="624"/>
      <c r="BM176" s="624"/>
    </row>
    <row r="177" spans="1:65" s="162" customFormat="1" ht="30" customHeight="1">
      <c r="A177" s="58"/>
      <c r="B177" s="455"/>
      <c r="C177" s="511" t="s">
        <v>798</v>
      </c>
      <c r="D177" s="511"/>
      <c r="E177" s="511" t="s">
        <v>1336</v>
      </c>
      <c r="F177" s="1015" t="s">
        <v>538</v>
      </c>
      <c r="G177" s="1016"/>
      <c r="H177" s="1016"/>
      <c r="I177" s="1017"/>
      <c r="J177" s="94" t="s">
        <v>133</v>
      </c>
      <c r="K177" s="42">
        <f>4*3.87</f>
        <v>15.48</v>
      </c>
      <c r="L177" s="21"/>
      <c r="M177" s="390"/>
      <c r="N177" s="948">
        <f t="shared" si="4"/>
        <v>0</v>
      </c>
      <c r="O177" s="948"/>
      <c r="P177" s="948"/>
      <c r="Q177" s="948"/>
      <c r="R177" s="456"/>
      <c r="S177" s="58"/>
      <c r="T177" s="483"/>
      <c r="U177" s="221"/>
      <c r="V177" s="408"/>
      <c r="W177" s="408"/>
      <c r="X177" s="408"/>
      <c r="Y177" s="408"/>
      <c r="Z177" s="408"/>
      <c r="AA177" s="409"/>
      <c r="AC177" s="105"/>
      <c r="AU177" s="448"/>
      <c r="AY177" s="448"/>
      <c r="BE177" s="484"/>
      <c r="BF177" s="484"/>
      <c r="BG177" s="484"/>
      <c r="BH177" s="484"/>
      <c r="BI177" s="484"/>
      <c r="BJ177" s="448"/>
      <c r="BK177" s="484"/>
      <c r="BL177" s="448"/>
      <c r="BM177" s="448"/>
    </row>
    <row r="178" spans="1:65" s="191" customFormat="1" ht="30" customHeight="1">
      <c r="A178" s="617"/>
      <c r="B178" s="618"/>
      <c r="C178" s="511" t="s">
        <v>799</v>
      </c>
      <c r="D178" s="511"/>
      <c r="E178" s="511" t="s">
        <v>1337</v>
      </c>
      <c r="F178" s="1005" t="s">
        <v>539</v>
      </c>
      <c r="G178" s="1006"/>
      <c r="H178" s="1006"/>
      <c r="I178" s="1007"/>
      <c r="J178" s="101" t="s">
        <v>133</v>
      </c>
      <c r="K178" s="40">
        <f>K177*1.1</f>
        <v>17.028000000000002</v>
      </c>
      <c r="L178" s="27"/>
      <c r="M178" s="390"/>
      <c r="N178" s="998">
        <f t="shared" si="4"/>
        <v>0</v>
      </c>
      <c r="O178" s="998"/>
      <c r="P178" s="998"/>
      <c r="Q178" s="998"/>
      <c r="R178" s="619"/>
      <c r="S178" s="617"/>
      <c r="T178" s="620"/>
      <c r="U178" s="621"/>
      <c r="V178" s="622"/>
      <c r="W178" s="622"/>
      <c r="X178" s="622"/>
      <c r="Y178" s="622"/>
      <c r="Z178" s="622"/>
      <c r="AA178" s="623"/>
      <c r="AC178" s="105"/>
      <c r="AU178" s="624"/>
      <c r="AY178" s="624"/>
      <c r="BE178" s="625"/>
      <c r="BF178" s="625"/>
      <c r="BG178" s="625"/>
      <c r="BH178" s="625"/>
      <c r="BI178" s="625"/>
      <c r="BJ178" s="624"/>
      <c r="BK178" s="625"/>
      <c r="BL178" s="624"/>
      <c r="BM178" s="624"/>
    </row>
    <row r="179" spans="1:65" s="191" customFormat="1" ht="30" customHeight="1">
      <c r="A179" s="617"/>
      <c r="B179" s="618"/>
      <c r="C179" s="511" t="s">
        <v>800</v>
      </c>
      <c r="D179" s="511"/>
      <c r="E179" s="511" t="s">
        <v>1340</v>
      </c>
      <c r="F179" s="1005" t="s">
        <v>540</v>
      </c>
      <c r="G179" s="1006"/>
      <c r="H179" s="1006"/>
      <c r="I179" s="1007"/>
      <c r="J179" s="101" t="s">
        <v>198</v>
      </c>
      <c r="K179" s="40">
        <v>3</v>
      </c>
      <c r="L179" s="27"/>
      <c r="M179" s="390"/>
      <c r="N179" s="998">
        <f t="shared" si="4"/>
        <v>0</v>
      </c>
      <c r="O179" s="998"/>
      <c r="P179" s="998"/>
      <c r="Q179" s="998"/>
      <c r="R179" s="619"/>
      <c r="S179" s="617"/>
      <c r="T179" s="620"/>
      <c r="U179" s="621"/>
      <c r="V179" s="622"/>
      <c r="W179" s="622"/>
      <c r="X179" s="622"/>
      <c r="Y179" s="622"/>
      <c r="Z179" s="622"/>
      <c r="AA179" s="623"/>
      <c r="AC179" s="105"/>
      <c r="AU179" s="624"/>
      <c r="AY179" s="624"/>
      <c r="BE179" s="625"/>
      <c r="BF179" s="625"/>
      <c r="BG179" s="625"/>
      <c r="BH179" s="625"/>
      <c r="BI179" s="625"/>
      <c r="BJ179" s="624"/>
      <c r="BK179" s="625"/>
      <c r="BL179" s="624"/>
      <c r="BM179" s="624"/>
    </row>
    <row r="180" spans="1:65" s="191" customFormat="1" ht="30" customHeight="1">
      <c r="A180" s="617"/>
      <c r="B180" s="618"/>
      <c r="C180" s="511" t="s">
        <v>801</v>
      </c>
      <c r="D180" s="511"/>
      <c r="E180" s="511" t="s">
        <v>1341</v>
      </c>
      <c r="F180" s="1005" t="s">
        <v>577</v>
      </c>
      <c r="G180" s="1006"/>
      <c r="H180" s="1006"/>
      <c r="I180" s="1007"/>
      <c r="J180" s="101" t="s">
        <v>198</v>
      </c>
      <c r="K180" s="40">
        <v>1</v>
      </c>
      <c r="L180" s="27"/>
      <c r="M180" s="390"/>
      <c r="N180" s="998">
        <f t="shared" si="4"/>
        <v>0</v>
      </c>
      <c r="O180" s="998"/>
      <c r="P180" s="998"/>
      <c r="Q180" s="998"/>
      <c r="R180" s="619"/>
      <c r="S180" s="617"/>
      <c r="T180" s="620"/>
      <c r="U180" s="621"/>
      <c r="V180" s="622"/>
      <c r="W180" s="622"/>
      <c r="X180" s="622"/>
      <c r="Y180" s="622"/>
      <c r="Z180" s="622"/>
      <c r="AA180" s="623"/>
      <c r="AC180" s="105"/>
      <c r="AU180" s="624"/>
      <c r="AY180" s="624"/>
      <c r="BE180" s="625"/>
      <c r="BF180" s="625"/>
      <c r="BG180" s="625"/>
      <c r="BH180" s="625"/>
      <c r="BI180" s="625"/>
      <c r="BJ180" s="624"/>
      <c r="BK180" s="625"/>
      <c r="BL180" s="624"/>
      <c r="BM180" s="624"/>
    </row>
    <row r="181" spans="1:65" s="609" customFormat="1" ht="30" customHeight="1">
      <c r="A181" s="606"/>
      <c r="B181" s="607"/>
      <c r="C181" s="626"/>
      <c r="D181" s="626"/>
      <c r="E181" s="626"/>
      <c r="F181" s="957" t="s">
        <v>547</v>
      </c>
      <c r="G181" s="958"/>
      <c r="H181" s="958"/>
      <c r="I181" s="959"/>
      <c r="J181" s="648"/>
      <c r="K181" s="41"/>
      <c r="L181" s="32"/>
      <c r="M181" s="390"/>
      <c r="N181" s="1037"/>
      <c r="O181" s="1037"/>
      <c r="P181" s="1037"/>
      <c r="Q181" s="1037"/>
      <c r="R181" s="610"/>
      <c r="S181" s="606"/>
      <c r="T181" s="611"/>
      <c r="U181" s="612"/>
      <c r="V181" s="613"/>
      <c r="W181" s="613"/>
      <c r="X181" s="613"/>
      <c r="Y181" s="613"/>
      <c r="Z181" s="613"/>
      <c r="AA181" s="614"/>
      <c r="AC181" s="105"/>
      <c r="AU181" s="615"/>
      <c r="AY181" s="615"/>
      <c r="BE181" s="616"/>
      <c r="BF181" s="616"/>
      <c r="BG181" s="616"/>
      <c r="BH181" s="616"/>
      <c r="BI181" s="616"/>
      <c r="BJ181" s="615"/>
      <c r="BK181" s="616"/>
      <c r="BL181" s="615"/>
      <c r="BM181" s="615"/>
    </row>
    <row r="182" spans="1:65" s="162" customFormat="1" ht="30" customHeight="1">
      <c r="A182" s="58"/>
      <c r="B182" s="455"/>
      <c r="C182" s="511" t="s">
        <v>802</v>
      </c>
      <c r="D182" s="511"/>
      <c r="E182" s="511" t="s">
        <v>1371</v>
      </c>
      <c r="F182" s="1015" t="s">
        <v>548</v>
      </c>
      <c r="G182" s="1016"/>
      <c r="H182" s="1016"/>
      <c r="I182" s="1017"/>
      <c r="J182" s="133" t="s">
        <v>198</v>
      </c>
      <c r="K182" s="42">
        <v>4</v>
      </c>
      <c r="L182" s="21"/>
      <c r="M182" s="390"/>
      <c r="N182" s="948">
        <f t="shared" si="4"/>
        <v>0</v>
      </c>
      <c r="O182" s="948"/>
      <c r="P182" s="948"/>
      <c r="Q182" s="948"/>
      <c r="R182" s="456"/>
      <c r="S182" s="58"/>
      <c r="T182" s="483"/>
      <c r="U182" s="221"/>
      <c r="V182" s="408"/>
      <c r="W182" s="408"/>
      <c r="X182" s="408"/>
      <c r="Y182" s="408"/>
      <c r="Z182" s="408"/>
      <c r="AA182" s="409"/>
      <c r="AC182" s="105"/>
      <c r="AU182" s="448"/>
      <c r="AY182" s="448"/>
      <c r="BE182" s="484"/>
      <c r="BF182" s="484"/>
      <c r="BG182" s="484"/>
      <c r="BH182" s="484"/>
      <c r="BI182" s="484"/>
      <c r="BJ182" s="448"/>
      <c r="BK182" s="484"/>
      <c r="BL182" s="448"/>
      <c r="BM182" s="448"/>
    </row>
    <row r="183" spans="1:65" s="191" customFormat="1" ht="30" customHeight="1">
      <c r="A183" s="617"/>
      <c r="B183" s="618"/>
      <c r="C183" s="511" t="s">
        <v>803</v>
      </c>
      <c r="D183" s="511"/>
      <c r="E183" s="511" t="s">
        <v>1372</v>
      </c>
      <c r="F183" s="1005" t="s">
        <v>556</v>
      </c>
      <c r="G183" s="1006"/>
      <c r="H183" s="1006"/>
      <c r="I183" s="1007"/>
      <c r="J183" s="101" t="s">
        <v>198</v>
      </c>
      <c r="K183" s="40">
        <v>4</v>
      </c>
      <c r="L183" s="27"/>
      <c r="M183" s="390"/>
      <c r="N183" s="998">
        <f t="shared" si="4"/>
        <v>0</v>
      </c>
      <c r="O183" s="998"/>
      <c r="P183" s="998"/>
      <c r="Q183" s="998"/>
      <c r="R183" s="619"/>
      <c r="S183" s="617"/>
      <c r="T183" s="620"/>
      <c r="U183" s="621"/>
      <c r="V183" s="622"/>
      <c r="W183" s="622"/>
      <c r="X183" s="622"/>
      <c r="Y183" s="622"/>
      <c r="Z183" s="622"/>
      <c r="AA183" s="623"/>
      <c r="AC183" s="105"/>
      <c r="AU183" s="624"/>
      <c r="AY183" s="624"/>
      <c r="BE183" s="625"/>
      <c r="BF183" s="625"/>
      <c r="BG183" s="625"/>
      <c r="BH183" s="625"/>
      <c r="BI183" s="625"/>
      <c r="BJ183" s="624"/>
      <c r="BK183" s="625"/>
      <c r="BL183" s="624"/>
      <c r="BM183" s="624"/>
    </row>
    <row r="184" spans="1:65" s="162" customFormat="1" ht="30" customHeight="1">
      <c r="A184" s="58"/>
      <c r="B184" s="455"/>
      <c r="C184" s="511" t="s">
        <v>804</v>
      </c>
      <c r="D184" s="511"/>
      <c r="E184" s="511" t="s">
        <v>1373</v>
      </c>
      <c r="F184" s="1015" t="s">
        <v>549</v>
      </c>
      <c r="G184" s="1016"/>
      <c r="H184" s="1016"/>
      <c r="I184" s="1017"/>
      <c r="J184" s="133" t="s">
        <v>198</v>
      </c>
      <c r="K184" s="42">
        <v>4</v>
      </c>
      <c r="L184" s="21"/>
      <c r="M184" s="390"/>
      <c r="N184" s="948">
        <f t="shared" si="4"/>
        <v>0</v>
      </c>
      <c r="O184" s="948"/>
      <c r="P184" s="948"/>
      <c r="Q184" s="948"/>
      <c r="R184" s="456"/>
      <c r="S184" s="58"/>
      <c r="T184" s="483"/>
      <c r="U184" s="221"/>
      <c r="V184" s="408"/>
      <c r="W184" s="408"/>
      <c r="X184" s="408"/>
      <c r="Y184" s="408"/>
      <c r="Z184" s="408"/>
      <c r="AA184" s="409"/>
      <c r="AC184" s="105"/>
      <c r="AU184" s="448"/>
      <c r="AY184" s="448"/>
      <c r="BE184" s="484"/>
      <c r="BF184" s="484"/>
      <c r="BG184" s="484"/>
      <c r="BH184" s="484"/>
      <c r="BI184" s="484"/>
      <c r="BJ184" s="448"/>
      <c r="BK184" s="484"/>
      <c r="BL184" s="448"/>
      <c r="BM184" s="448"/>
    </row>
    <row r="185" spans="1:65" s="191" customFormat="1" ht="30" customHeight="1">
      <c r="A185" s="617"/>
      <c r="B185" s="618"/>
      <c r="C185" s="511" t="s">
        <v>805</v>
      </c>
      <c r="D185" s="511"/>
      <c r="E185" s="511" t="s">
        <v>1374</v>
      </c>
      <c r="F185" s="1005" t="s">
        <v>555</v>
      </c>
      <c r="G185" s="1006"/>
      <c r="H185" s="1006"/>
      <c r="I185" s="1007"/>
      <c r="J185" s="101" t="s">
        <v>198</v>
      </c>
      <c r="K185" s="40">
        <v>4</v>
      </c>
      <c r="L185" s="27"/>
      <c r="M185" s="390"/>
      <c r="N185" s="998">
        <f t="shared" si="4"/>
        <v>0</v>
      </c>
      <c r="O185" s="998"/>
      <c r="P185" s="998"/>
      <c r="Q185" s="998"/>
      <c r="R185" s="619"/>
      <c r="S185" s="617"/>
      <c r="T185" s="620"/>
      <c r="U185" s="621"/>
      <c r="V185" s="622"/>
      <c r="W185" s="622"/>
      <c r="X185" s="622"/>
      <c r="Y185" s="622"/>
      <c r="Z185" s="622"/>
      <c r="AA185" s="623"/>
      <c r="AC185" s="105"/>
      <c r="AU185" s="624"/>
      <c r="AY185" s="624"/>
      <c r="BE185" s="625"/>
      <c r="BF185" s="625"/>
      <c r="BG185" s="625"/>
      <c r="BH185" s="625"/>
      <c r="BI185" s="625"/>
      <c r="BJ185" s="624"/>
      <c r="BK185" s="625"/>
      <c r="BL185" s="624"/>
      <c r="BM185" s="624"/>
    </row>
    <row r="186" spans="1:65" s="162" customFormat="1" ht="30" customHeight="1">
      <c r="A186" s="58"/>
      <c r="B186" s="455"/>
      <c r="C186" s="511" t="s">
        <v>806</v>
      </c>
      <c r="D186" s="511"/>
      <c r="E186" s="511" t="s">
        <v>1375</v>
      </c>
      <c r="F186" s="1025" t="s">
        <v>550</v>
      </c>
      <c r="G186" s="1026"/>
      <c r="H186" s="1026"/>
      <c r="I186" s="1027"/>
      <c r="J186" s="133" t="s">
        <v>198</v>
      </c>
      <c r="K186" s="42">
        <v>4</v>
      </c>
      <c r="L186" s="21"/>
      <c r="M186" s="390"/>
      <c r="N186" s="948">
        <f t="shared" si="4"/>
        <v>0</v>
      </c>
      <c r="O186" s="948"/>
      <c r="P186" s="948"/>
      <c r="Q186" s="948"/>
      <c r="R186" s="456"/>
      <c r="S186" s="58"/>
      <c r="T186" s="483"/>
      <c r="U186" s="221"/>
      <c r="V186" s="408"/>
      <c r="W186" s="408"/>
      <c r="X186" s="408"/>
      <c r="Y186" s="408"/>
      <c r="Z186" s="408"/>
      <c r="AA186" s="409"/>
      <c r="AC186" s="105"/>
      <c r="AU186" s="448"/>
      <c r="AY186" s="448"/>
      <c r="BE186" s="484"/>
      <c r="BF186" s="484"/>
      <c r="BG186" s="484"/>
      <c r="BH186" s="484"/>
      <c r="BI186" s="484"/>
      <c r="BJ186" s="448"/>
      <c r="BK186" s="484"/>
      <c r="BL186" s="448"/>
      <c r="BM186" s="448"/>
    </row>
    <row r="187" spans="1:65" s="191" customFormat="1" ht="30" customHeight="1">
      <c r="A187" s="617"/>
      <c r="B187" s="618"/>
      <c r="C187" s="511" t="s">
        <v>807</v>
      </c>
      <c r="D187" s="511"/>
      <c r="E187" s="511" t="s">
        <v>1376</v>
      </c>
      <c r="F187" s="1005" t="s">
        <v>551</v>
      </c>
      <c r="G187" s="1006"/>
      <c r="H187" s="1006"/>
      <c r="I187" s="1007"/>
      <c r="J187" s="101" t="s">
        <v>198</v>
      </c>
      <c r="K187" s="40">
        <v>4</v>
      </c>
      <c r="L187" s="27"/>
      <c r="M187" s="390"/>
      <c r="N187" s="998">
        <f t="shared" si="4"/>
        <v>0</v>
      </c>
      <c r="O187" s="998"/>
      <c r="P187" s="998"/>
      <c r="Q187" s="998"/>
      <c r="R187" s="619"/>
      <c r="S187" s="617"/>
      <c r="T187" s="620"/>
      <c r="U187" s="621"/>
      <c r="V187" s="622"/>
      <c r="W187" s="622"/>
      <c r="X187" s="622"/>
      <c r="Y187" s="622"/>
      <c r="Z187" s="622"/>
      <c r="AA187" s="623"/>
      <c r="AC187" s="105"/>
      <c r="AU187" s="624"/>
      <c r="AY187" s="624"/>
      <c r="BE187" s="625"/>
      <c r="BF187" s="625"/>
      <c r="BG187" s="625"/>
      <c r="BH187" s="625"/>
      <c r="BI187" s="625"/>
      <c r="BJ187" s="624"/>
      <c r="BK187" s="625"/>
      <c r="BL187" s="624"/>
      <c r="BM187" s="624"/>
    </row>
    <row r="188" spans="1:65" s="162" customFormat="1" ht="30" customHeight="1">
      <c r="A188" s="58"/>
      <c r="B188" s="455"/>
      <c r="C188" s="511" t="s">
        <v>808</v>
      </c>
      <c r="D188" s="511"/>
      <c r="E188" s="511" t="s">
        <v>1377</v>
      </c>
      <c r="F188" s="1025" t="s">
        <v>578</v>
      </c>
      <c r="G188" s="1026"/>
      <c r="H188" s="1026"/>
      <c r="I188" s="1027"/>
      <c r="J188" s="133" t="s">
        <v>198</v>
      </c>
      <c r="K188" s="42">
        <v>4</v>
      </c>
      <c r="L188" s="21"/>
      <c r="M188" s="390"/>
      <c r="N188" s="948">
        <f t="shared" si="4"/>
        <v>0</v>
      </c>
      <c r="O188" s="948"/>
      <c r="P188" s="948"/>
      <c r="Q188" s="948"/>
      <c r="R188" s="456"/>
      <c r="S188" s="58"/>
      <c r="T188" s="483"/>
      <c r="U188" s="221"/>
      <c r="V188" s="408"/>
      <c r="W188" s="408"/>
      <c r="X188" s="408"/>
      <c r="Y188" s="408"/>
      <c r="Z188" s="408"/>
      <c r="AA188" s="409"/>
      <c r="AC188" s="105"/>
      <c r="AU188" s="448"/>
      <c r="AY188" s="448"/>
      <c r="BE188" s="484"/>
      <c r="BF188" s="484"/>
      <c r="BG188" s="484"/>
      <c r="BH188" s="484"/>
      <c r="BI188" s="484"/>
      <c r="BJ188" s="448"/>
      <c r="BK188" s="484"/>
      <c r="BL188" s="448"/>
      <c r="BM188" s="448"/>
    </row>
    <row r="189" spans="1:65" s="191" customFormat="1" ht="30" customHeight="1">
      <c r="A189" s="617"/>
      <c r="B189" s="618"/>
      <c r="C189" s="511" t="s">
        <v>809</v>
      </c>
      <c r="D189" s="511"/>
      <c r="E189" s="511" t="s">
        <v>1378</v>
      </c>
      <c r="F189" s="1005" t="s">
        <v>251</v>
      </c>
      <c r="G189" s="1006"/>
      <c r="H189" s="1006"/>
      <c r="I189" s="1007"/>
      <c r="J189" s="101" t="s">
        <v>198</v>
      </c>
      <c r="K189" s="40">
        <v>4</v>
      </c>
      <c r="L189" s="27"/>
      <c r="M189" s="390"/>
      <c r="N189" s="998">
        <f t="shared" si="4"/>
        <v>0</v>
      </c>
      <c r="O189" s="998"/>
      <c r="P189" s="998"/>
      <c r="Q189" s="998"/>
      <c r="R189" s="619"/>
      <c r="S189" s="617"/>
      <c r="T189" s="620"/>
      <c r="U189" s="621"/>
      <c r="V189" s="622"/>
      <c r="W189" s="622"/>
      <c r="X189" s="622"/>
      <c r="Y189" s="622"/>
      <c r="Z189" s="622"/>
      <c r="AA189" s="623"/>
      <c r="AC189" s="105"/>
      <c r="AU189" s="624"/>
      <c r="AY189" s="624"/>
      <c r="BE189" s="625"/>
      <c r="BF189" s="625"/>
      <c r="BG189" s="625"/>
      <c r="BH189" s="625"/>
      <c r="BI189" s="625"/>
      <c r="BJ189" s="624"/>
      <c r="BK189" s="625"/>
      <c r="BL189" s="624"/>
      <c r="BM189" s="624"/>
    </row>
    <row r="190" spans="1:65" s="162" customFormat="1" ht="30" customHeight="1">
      <c r="A190" s="58"/>
      <c r="B190" s="455"/>
      <c r="C190" s="511" t="s">
        <v>810</v>
      </c>
      <c r="D190" s="511"/>
      <c r="E190" s="511" t="s">
        <v>1379</v>
      </c>
      <c r="F190" s="1015" t="s">
        <v>1394</v>
      </c>
      <c r="G190" s="1016"/>
      <c r="H190" s="1016"/>
      <c r="I190" s="1017"/>
      <c r="J190" s="102" t="s">
        <v>198</v>
      </c>
      <c r="K190" s="42">
        <v>4</v>
      </c>
      <c r="L190" s="21"/>
      <c r="M190" s="390"/>
      <c r="N190" s="948">
        <f t="shared" si="4"/>
        <v>0</v>
      </c>
      <c r="O190" s="948"/>
      <c r="P190" s="948"/>
      <c r="Q190" s="948"/>
      <c r="R190" s="456"/>
      <c r="S190" s="58"/>
      <c r="T190" s="483"/>
      <c r="U190" s="221"/>
      <c r="V190" s="408"/>
      <c r="W190" s="408"/>
      <c r="X190" s="408"/>
      <c r="Y190" s="408"/>
      <c r="Z190" s="408"/>
      <c r="AA190" s="409"/>
      <c r="AC190" s="105"/>
      <c r="AU190" s="448"/>
      <c r="AY190" s="448"/>
      <c r="BE190" s="484"/>
      <c r="BF190" s="484"/>
      <c r="BG190" s="484"/>
      <c r="BH190" s="484"/>
      <c r="BI190" s="484"/>
      <c r="BJ190" s="448"/>
      <c r="BK190" s="484"/>
      <c r="BL190" s="448"/>
      <c r="BM190" s="448"/>
    </row>
    <row r="191" spans="1:65" s="191" customFormat="1" ht="30" customHeight="1">
      <c r="A191" s="617"/>
      <c r="B191" s="618"/>
      <c r="C191" s="511" t="s">
        <v>811</v>
      </c>
      <c r="D191" s="511"/>
      <c r="E191" s="511" t="s">
        <v>1380</v>
      </c>
      <c r="F191" s="1005" t="s">
        <v>554</v>
      </c>
      <c r="G191" s="1006"/>
      <c r="H191" s="1006"/>
      <c r="I191" s="1007"/>
      <c r="J191" s="101" t="s">
        <v>198</v>
      </c>
      <c r="K191" s="40">
        <v>4</v>
      </c>
      <c r="L191" s="27"/>
      <c r="M191" s="390"/>
      <c r="N191" s="998">
        <f t="shared" si="4"/>
        <v>0</v>
      </c>
      <c r="O191" s="998"/>
      <c r="P191" s="998"/>
      <c r="Q191" s="998"/>
      <c r="R191" s="619"/>
      <c r="S191" s="617"/>
      <c r="T191" s="620"/>
      <c r="U191" s="621"/>
      <c r="V191" s="622"/>
      <c r="W191" s="622"/>
      <c r="X191" s="622"/>
      <c r="Y191" s="622"/>
      <c r="Z191" s="622"/>
      <c r="AA191" s="623"/>
      <c r="AC191" s="105"/>
      <c r="AU191" s="624"/>
      <c r="AY191" s="624"/>
      <c r="BE191" s="625"/>
      <c r="BF191" s="625"/>
      <c r="BG191" s="625"/>
      <c r="BH191" s="625"/>
      <c r="BI191" s="625"/>
      <c r="BJ191" s="624"/>
      <c r="BK191" s="625"/>
      <c r="BL191" s="624"/>
      <c r="BM191" s="624"/>
    </row>
    <row r="192" spans="1:65" s="162" customFormat="1" ht="30" customHeight="1">
      <c r="A192" s="58"/>
      <c r="B192" s="455"/>
      <c r="C192" s="511" t="s">
        <v>812</v>
      </c>
      <c r="D192" s="511"/>
      <c r="E192" s="511" t="s">
        <v>1381</v>
      </c>
      <c r="F192" s="1015" t="s">
        <v>579</v>
      </c>
      <c r="G192" s="1016"/>
      <c r="H192" s="1016"/>
      <c r="I192" s="1017"/>
      <c r="J192" s="133" t="s">
        <v>198</v>
      </c>
      <c r="K192" s="42">
        <v>4</v>
      </c>
      <c r="L192" s="21"/>
      <c r="M192" s="390"/>
      <c r="N192" s="948">
        <f t="shared" si="4"/>
        <v>0</v>
      </c>
      <c r="O192" s="948"/>
      <c r="P192" s="948"/>
      <c r="Q192" s="948"/>
      <c r="R192" s="456"/>
      <c r="S192" s="58"/>
      <c r="T192" s="483"/>
      <c r="U192" s="221"/>
      <c r="V192" s="408"/>
      <c r="W192" s="408"/>
      <c r="X192" s="408"/>
      <c r="Y192" s="408"/>
      <c r="Z192" s="408"/>
      <c r="AA192" s="409"/>
      <c r="AC192" s="105"/>
      <c r="AU192" s="448"/>
      <c r="AY192" s="448"/>
      <c r="BE192" s="484"/>
      <c r="BF192" s="484"/>
      <c r="BG192" s="484"/>
      <c r="BH192" s="484"/>
      <c r="BI192" s="484"/>
      <c r="BJ192" s="448"/>
      <c r="BK192" s="484"/>
      <c r="BL192" s="448"/>
      <c r="BM192" s="448"/>
    </row>
    <row r="193" spans="1:65" s="191" customFormat="1" ht="30" customHeight="1">
      <c r="A193" s="617"/>
      <c r="B193" s="618"/>
      <c r="C193" s="511" t="s">
        <v>813</v>
      </c>
      <c r="D193" s="511"/>
      <c r="E193" s="511" t="s">
        <v>1382</v>
      </c>
      <c r="F193" s="1005" t="s">
        <v>558</v>
      </c>
      <c r="G193" s="1006"/>
      <c r="H193" s="1006"/>
      <c r="I193" s="1007"/>
      <c r="J193" s="101" t="s">
        <v>198</v>
      </c>
      <c r="K193" s="40">
        <v>4</v>
      </c>
      <c r="L193" s="27"/>
      <c r="M193" s="390"/>
      <c r="N193" s="998">
        <f t="shared" si="4"/>
        <v>0</v>
      </c>
      <c r="O193" s="998"/>
      <c r="P193" s="998"/>
      <c r="Q193" s="998"/>
      <c r="R193" s="619"/>
      <c r="S193" s="617"/>
      <c r="T193" s="620"/>
      <c r="U193" s="621"/>
      <c r="V193" s="622"/>
      <c r="W193" s="622"/>
      <c r="X193" s="622"/>
      <c r="Y193" s="622"/>
      <c r="Z193" s="622"/>
      <c r="AA193" s="623"/>
      <c r="AC193" s="105"/>
      <c r="AU193" s="624"/>
      <c r="AY193" s="624"/>
      <c r="BE193" s="625"/>
      <c r="BF193" s="625"/>
      <c r="BG193" s="625"/>
      <c r="BH193" s="625"/>
      <c r="BI193" s="625"/>
      <c r="BJ193" s="624"/>
      <c r="BK193" s="625"/>
      <c r="BL193" s="624"/>
      <c r="BM193" s="624"/>
    </row>
    <row r="194" spans="1:65" s="162" customFormat="1" ht="30" customHeight="1">
      <c r="A194" s="58"/>
      <c r="B194" s="455"/>
      <c r="C194" s="511" t="s">
        <v>814</v>
      </c>
      <c r="D194" s="511"/>
      <c r="E194" s="511" t="s">
        <v>1383</v>
      </c>
      <c r="F194" s="1015" t="s">
        <v>565</v>
      </c>
      <c r="G194" s="1016"/>
      <c r="H194" s="1016"/>
      <c r="I194" s="1017"/>
      <c r="J194" s="133" t="s">
        <v>198</v>
      </c>
      <c r="K194" s="42">
        <v>4</v>
      </c>
      <c r="L194" s="21"/>
      <c r="M194" s="390"/>
      <c r="N194" s="948">
        <f t="shared" si="4"/>
        <v>0</v>
      </c>
      <c r="O194" s="948"/>
      <c r="P194" s="948"/>
      <c r="Q194" s="948"/>
      <c r="R194" s="456"/>
      <c r="S194" s="58"/>
      <c r="T194" s="483"/>
      <c r="U194" s="221"/>
      <c r="V194" s="408"/>
      <c r="W194" s="408"/>
      <c r="X194" s="408"/>
      <c r="Y194" s="408"/>
      <c r="Z194" s="408"/>
      <c r="AA194" s="409"/>
      <c r="AC194" s="105"/>
      <c r="AU194" s="448"/>
      <c r="AY194" s="448"/>
      <c r="BE194" s="484"/>
      <c r="BF194" s="484"/>
      <c r="BG194" s="484"/>
      <c r="BH194" s="484"/>
      <c r="BI194" s="484"/>
      <c r="BJ194" s="448"/>
      <c r="BK194" s="484"/>
      <c r="BL194" s="448"/>
      <c r="BM194" s="448"/>
    </row>
    <row r="195" spans="1:65" s="191" customFormat="1" ht="30" customHeight="1">
      <c r="A195" s="617"/>
      <c r="B195" s="618"/>
      <c r="C195" s="511" t="s">
        <v>815</v>
      </c>
      <c r="D195" s="511"/>
      <c r="E195" s="511" t="s">
        <v>1384</v>
      </c>
      <c r="F195" s="1005" t="s">
        <v>566</v>
      </c>
      <c r="G195" s="1006"/>
      <c r="H195" s="1006"/>
      <c r="I195" s="1007"/>
      <c r="J195" s="101" t="s">
        <v>198</v>
      </c>
      <c r="K195" s="40">
        <v>4</v>
      </c>
      <c r="L195" s="27"/>
      <c r="M195" s="390"/>
      <c r="N195" s="998">
        <f t="shared" si="4"/>
        <v>0</v>
      </c>
      <c r="O195" s="998"/>
      <c r="P195" s="998"/>
      <c r="Q195" s="998"/>
      <c r="R195" s="619"/>
      <c r="S195" s="617"/>
      <c r="T195" s="620"/>
      <c r="U195" s="621"/>
      <c r="V195" s="622"/>
      <c r="W195" s="622"/>
      <c r="X195" s="622"/>
      <c r="Y195" s="622"/>
      <c r="Z195" s="622"/>
      <c r="AA195" s="623"/>
      <c r="AC195" s="105"/>
      <c r="AU195" s="624"/>
      <c r="AY195" s="624"/>
      <c r="BE195" s="625"/>
      <c r="BF195" s="625"/>
      <c r="BG195" s="625"/>
      <c r="BH195" s="625"/>
      <c r="BI195" s="625"/>
      <c r="BJ195" s="624"/>
      <c r="BK195" s="625"/>
      <c r="BL195" s="624"/>
      <c r="BM195" s="624"/>
    </row>
    <row r="196" spans="1:65" s="162" customFormat="1" ht="30" customHeight="1">
      <c r="A196" s="58"/>
      <c r="B196" s="455"/>
      <c r="C196" s="511" t="s">
        <v>237</v>
      </c>
      <c r="D196" s="511"/>
      <c r="E196" s="511" t="s">
        <v>1385</v>
      </c>
      <c r="F196" s="1015" t="s">
        <v>580</v>
      </c>
      <c r="G196" s="1016"/>
      <c r="H196" s="1016"/>
      <c r="I196" s="1017"/>
      <c r="J196" s="102" t="s">
        <v>198</v>
      </c>
      <c r="K196" s="42">
        <v>4</v>
      </c>
      <c r="L196" s="21"/>
      <c r="M196" s="390"/>
      <c r="N196" s="948">
        <f t="shared" si="4"/>
        <v>0</v>
      </c>
      <c r="O196" s="948"/>
      <c r="P196" s="948"/>
      <c r="Q196" s="948"/>
      <c r="R196" s="456"/>
      <c r="S196" s="58"/>
      <c r="T196" s="483"/>
      <c r="U196" s="221"/>
      <c r="V196" s="408"/>
      <c r="W196" s="408"/>
      <c r="X196" s="408"/>
      <c r="Y196" s="408"/>
      <c r="Z196" s="408"/>
      <c r="AA196" s="409"/>
      <c r="AC196" s="105"/>
      <c r="AU196" s="448"/>
      <c r="AY196" s="448"/>
      <c r="BE196" s="484"/>
      <c r="BF196" s="484"/>
      <c r="BG196" s="484"/>
      <c r="BH196" s="484"/>
      <c r="BI196" s="484"/>
      <c r="BJ196" s="448"/>
      <c r="BK196" s="484"/>
      <c r="BL196" s="448"/>
      <c r="BM196" s="448"/>
    </row>
    <row r="197" spans="1:65" s="191" customFormat="1" ht="30" customHeight="1">
      <c r="A197" s="617"/>
      <c r="B197" s="618"/>
      <c r="C197" s="511" t="s">
        <v>238</v>
      </c>
      <c r="D197" s="511"/>
      <c r="E197" s="511" t="s">
        <v>1386</v>
      </c>
      <c r="F197" s="1005" t="s">
        <v>581</v>
      </c>
      <c r="G197" s="1006"/>
      <c r="H197" s="1006"/>
      <c r="I197" s="1007"/>
      <c r="J197" s="101" t="s">
        <v>198</v>
      </c>
      <c r="K197" s="40">
        <v>4</v>
      </c>
      <c r="L197" s="27"/>
      <c r="M197" s="390"/>
      <c r="N197" s="998">
        <f t="shared" si="4"/>
        <v>0</v>
      </c>
      <c r="O197" s="998"/>
      <c r="P197" s="998"/>
      <c r="Q197" s="998"/>
      <c r="R197" s="619"/>
      <c r="S197" s="617"/>
      <c r="T197" s="620"/>
      <c r="U197" s="621"/>
      <c r="V197" s="622"/>
      <c r="W197" s="622"/>
      <c r="X197" s="622"/>
      <c r="Y197" s="622"/>
      <c r="Z197" s="622"/>
      <c r="AA197" s="623"/>
      <c r="AC197" s="105"/>
      <c r="AU197" s="624"/>
      <c r="AY197" s="624"/>
      <c r="BE197" s="625"/>
      <c r="BF197" s="625"/>
      <c r="BG197" s="625"/>
      <c r="BH197" s="625"/>
      <c r="BI197" s="625"/>
      <c r="BJ197" s="624"/>
      <c r="BK197" s="625"/>
      <c r="BL197" s="624"/>
      <c r="BM197" s="624"/>
    </row>
    <row r="198" spans="1:65" s="162" customFormat="1" ht="30" customHeight="1">
      <c r="A198" s="58"/>
      <c r="B198" s="455"/>
      <c r="C198" s="511" t="s">
        <v>239</v>
      </c>
      <c r="D198" s="511"/>
      <c r="E198" s="511" t="s">
        <v>1387</v>
      </c>
      <c r="F198" s="1015" t="s">
        <v>561</v>
      </c>
      <c r="G198" s="1016"/>
      <c r="H198" s="1016"/>
      <c r="I198" s="1017"/>
      <c r="J198" s="102" t="s">
        <v>198</v>
      </c>
      <c r="K198" s="42">
        <v>4</v>
      </c>
      <c r="L198" s="21"/>
      <c r="M198" s="390"/>
      <c r="N198" s="948">
        <f t="shared" si="4"/>
        <v>0</v>
      </c>
      <c r="O198" s="948"/>
      <c r="P198" s="948"/>
      <c r="Q198" s="948"/>
      <c r="R198" s="456"/>
      <c r="S198" s="58"/>
      <c r="T198" s="483"/>
      <c r="U198" s="221"/>
      <c r="V198" s="408"/>
      <c r="W198" s="408"/>
      <c r="X198" s="408"/>
      <c r="Y198" s="408"/>
      <c r="Z198" s="408"/>
      <c r="AA198" s="409"/>
      <c r="AC198" s="105"/>
      <c r="AU198" s="448"/>
      <c r="AY198" s="448"/>
      <c r="BE198" s="484"/>
      <c r="BF198" s="484"/>
      <c r="BG198" s="484"/>
      <c r="BH198" s="484"/>
      <c r="BI198" s="484"/>
      <c r="BJ198" s="448"/>
      <c r="BK198" s="484"/>
      <c r="BL198" s="448"/>
      <c r="BM198" s="448"/>
    </row>
    <row r="199" spans="1:65" s="191" customFormat="1" ht="30" customHeight="1">
      <c r="A199" s="617"/>
      <c r="B199" s="618"/>
      <c r="C199" s="511" t="s">
        <v>816</v>
      </c>
      <c r="D199" s="511"/>
      <c r="E199" s="511" t="s">
        <v>1388</v>
      </c>
      <c r="F199" s="1005" t="s">
        <v>562</v>
      </c>
      <c r="G199" s="1006"/>
      <c r="H199" s="1006"/>
      <c r="I199" s="1007"/>
      <c r="J199" s="101" t="s">
        <v>198</v>
      </c>
      <c r="K199" s="40">
        <v>4</v>
      </c>
      <c r="L199" s="27"/>
      <c r="M199" s="390"/>
      <c r="N199" s="998">
        <f t="shared" si="4"/>
        <v>0</v>
      </c>
      <c r="O199" s="998"/>
      <c r="P199" s="998"/>
      <c r="Q199" s="998"/>
      <c r="R199" s="619"/>
      <c r="S199" s="617"/>
      <c r="T199" s="620"/>
      <c r="U199" s="621"/>
      <c r="V199" s="622"/>
      <c r="W199" s="622"/>
      <c r="X199" s="622"/>
      <c r="Y199" s="622"/>
      <c r="Z199" s="622"/>
      <c r="AA199" s="623"/>
      <c r="AC199" s="105"/>
      <c r="AU199" s="624"/>
      <c r="AY199" s="624"/>
      <c r="BE199" s="625"/>
      <c r="BF199" s="625"/>
      <c r="BG199" s="625"/>
      <c r="BH199" s="625"/>
      <c r="BI199" s="625"/>
      <c r="BJ199" s="624"/>
      <c r="BK199" s="625"/>
      <c r="BL199" s="624"/>
      <c r="BM199" s="624"/>
    </row>
    <row r="200" spans="1:65" s="162" customFormat="1" ht="30" customHeight="1">
      <c r="A200" s="58"/>
      <c r="B200" s="455"/>
      <c r="C200" s="511" t="s">
        <v>817</v>
      </c>
      <c r="D200" s="511"/>
      <c r="E200" s="511" t="s">
        <v>1389</v>
      </c>
      <c r="F200" s="1025" t="s">
        <v>582</v>
      </c>
      <c r="G200" s="1026"/>
      <c r="H200" s="1026"/>
      <c r="I200" s="1027"/>
      <c r="J200" s="133" t="s">
        <v>198</v>
      </c>
      <c r="K200" s="42">
        <v>4</v>
      </c>
      <c r="L200" s="21"/>
      <c r="M200" s="390"/>
      <c r="N200" s="948">
        <f t="shared" si="4"/>
        <v>0</v>
      </c>
      <c r="O200" s="948"/>
      <c r="P200" s="948"/>
      <c r="Q200" s="948"/>
      <c r="R200" s="456"/>
      <c r="S200" s="58"/>
      <c r="T200" s="483"/>
      <c r="U200" s="221"/>
      <c r="V200" s="408"/>
      <c r="W200" s="408"/>
      <c r="X200" s="408"/>
      <c r="Y200" s="408"/>
      <c r="Z200" s="408"/>
      <c r="AA200" s="409"/>
      <c r="AC200" s="105"/>
      <c r="AU200" s="448"/>
      <c r="AY200" s="448"/>
      <c r="BE200" s="484"/>
      <c r="BF200" s="484"/>
      <c r="BG200" s="484"/>
      <c r="BH200" s="484"/>
      <c r="BI200" s="484"/>
      <c r="BJ200" s="448"/>
      <c r="BK200" s="484"/>
      <c r="BL200" s="448"/>
      <c r="BM200" s="448"/>
    </row>
    <row r="201" spans="1:65" s="191" customFormat="1" ht="30" customHeight="1">
      <c r="A201" s="617"/>
      <c r="B201" s="618"/>
      <c r="C201" s="511" t="s">
        <v>818</v>
      </c>
      <c r="D201" s="511"/>
      <c r="E201" s="511" t="s">
        <v>1390</v>
      </c>
      <c r="F201" s="1005" t="s">
        <v>583</v>
      </c>
      <c r="G201" s="1006"/>
      <c r="H201" s="1006"/>
      <c r="I201" s="1007"/>
      <c r="J201" s="101" t="s">
        <v>198</v>
      </c>
      <c r="K201" s="40">
        <v>4</v>
      </c>
      <c r="L201" s="27"/>
      <c r="M201" s="390"/>
      <c r="N201" s="998">
        <f t="shared" si="4"/>
        <v>0</v>
      </c>
      <c r="O201" s="998"/>
      <c r="P201" s="998"/>
      <c r="Q201" s="998"/>
      <c r="R201" s="619"/>
      <c r="S201" s="617"/>
      <c r="T201" s="620"/>
      <c r="U201" s="621"/>
      <c r="V201" s="622"/>
      <c r="W201" s="622"/>
      <c r="X201" s="622"/>
      <c r="Y201" s="622"/>
      <c r="Z201" s="622"/>
      <c r="AA201" s="623"/>
      <c r="AC201" s="105"/>
      <c r="AU201" s="624"/>
      <c r="AY201" s="624"/>
      <c r="BE201" s="625"/>
      <c r="BF201" s="625"/>
      <c r="BG201" s="625"/>
      <c r="BH201" s="625"/>
      <c r="BI201" s="625"/>
      <c r="BJ201" s="624"/>
      <c r="BK201" s="625"/>
      <c r="BL201" s="624"/>
      <c r="BM201" s="624"/>
    </row>
    <row r="202" spans="1:65" s="191" customFormat="1" ht="30" customHeight="1">
      <c r="A202" s="617"/>
      <c r="B202" s="618"/>
      <c r="C202" s="511" t="s">
        <v>819</v>
      </c>
      <c r="D202" s="511"/>
      <c r="E202" s="511" t="s">
        <v>1391</v>
      </c>
      <c r="F202" s="1005" t="s">
        <v>567</v>
      </c>
      <c r="G202" s="1006"/>
      <c r="H202" s="1006"/>
      <c r="I202" s="1007"/>
      <c r="J202" s="101" t="s">
        <v>198</v>
      </c>
      <c r="K202" s="40">
        <v>1</v>
      </c>
      <c r="L202" s="27"/>
      <c r="M202" s="390"/>
      <c r="N202" s="998">
        <f t="shared" si="4"/>
        <v>0</v>
      </c>
      <c r="O202" s="998"/>
      <c r="P202" s="998"/>
      <c r="Q202" s="998"/>
      <c r="R202" s="619"/>
      <c r="S202" s="617"/>
      <c r="T202" s="620"/>
      <c r="U202" s="621"/>
      <c r="V202" s="622"/>
      <c r="W202" s="622"/>
      <c r="X202" s="622"/>
      <c r="Y202" s="622"/>
      <c r="Z202" s="622"/>
      <c r="AA202" s="623"/>
      <c r="AC202" s="105"/>
      <c r="AU202" s="624"/>
      <c r="AY202" s="624"/>
      <c r="BE202" s="625"/>
      <c r="BF202" s="625"/>
      <c r="BG202" s="625"/>
      <c r="BH202" s="625"/>
      <c r="BI202" s="625"/>
      <c r="BJ202" s="624"/>
      <c r="BK202" s="625"/>
      <c r="BL202" s="624"/>
      <c r="BM202" s="624"/>
    </row>
    <row r="203" spans="1:65" s="191" customFormat="1" ht="30" customHeight="1">
      <c r="A203" s="617"/>
      <c r="B203" s="618"/>
      <c r="C203" s="511" t="s">
        <v>820</v>
      </c>
      <c r="D203" s="511"/>
      <c r="E203" s="511" t="s">
        <v>1405</v>
      </c>
      <c r="F203" s="1005" t="s">
        <v>568</v>
      </c>
      <c r="G203" s="1006"/>
      <c r="H203" s="1006"/>
      <c r="I203" s="1007"/>
      <c r="J203" s="101" t="s">
        <v>198</v>
      </c>
      <c r="K203" s="40">
        <v>1</v>
      </c>
      <c r="L203" s="27"/>
      <c r="M203" s="390"/>
      <c r="N203" s="998">
        <f t="shared" si="4"/>
        <v>0</v>
      </c>
      <c r="O203" s="998"/>
      <c r="P203" s="998"/>
      <c r="Q203" s="998"/>
      <c r="R203" s="619"/>
      <c r="S203" s="617"/>
      <c r="T203" s="620"/>
      <c r="U203" s="621"/>
      <c r="V203" s="622"/>
      <c r="W203" s="622"/>
      <c r="X203" s="622"/>
      <c r="Y203" s="622"/>
      <c r="Z203" s="622"/>
      <c r="AA203" s="623"/>
      <c r="AC203" s="105"/>
      <c r="AU203" s="624"/>
      <c r="AY203" s="624"/>
      <c r="BE203" s="625"/>
      <c r="BF203" s="625"/>
      <c r="BG203" s="625"/>
      <c r="BH203" s="625"/>
      <c r="BI203" s="625"/>
      <c r="BJ203" s="624"/>
      <c r="BK203" s="625"/>
      <c r="BL203" s="624"/>
      <c r="BM203" s="624"/>
    </row>
    <row r="204" spans="1:65" s="162" customFormat="1" ht="30" customHeight="1">
      <c r="A204" s="58"/>
      <c r="B204" s="455"/>
      <c r="C204" s="511" t="s">
        <v>821</v>
      </c>
      <c r="D204" s="511"/>
      <c r="E204" s="511" t="s">
        <v>1392</v>
      </c>
      <c r="F204" s="1015" t="s">
        <v>569</v>
      </c>
      <c r="G204" s="1016"/>
      <c r="H204" s="1016"/>
      <c r="I204" s="1017"/>
      <c r="J204" s="102" t="s">
        <v>198</v>
      </c>
      <c r="K204" s="42">
        <v>1</v>
      </c>
      <c r="L204" s="21"/>
      <c r="M204" s="390"/>
      <c r="N204" s="948">
        <f t="shared" si="4"/>
        <v>0</v>
      </c>
      <c r="O204" s="948"/>
      <c r="P204" s="948"/>
      <c r="Q204" s="948"/>
      <c r="R204" s="456"/>
      <c r="S204" s="58"/>
      <c r="T204" s="483"/>
      <c r="U204" s="221"/>
      <c r="V204" s="408"/>
      <c r="W204" s="408"/>
      <c r="X204" s="408"/>
      <c r="Y204" s="408"/>
      <c r="Z204" s="408"/>
      <c r="AA204" s="409"/>
      <c r="AC204" s="105"/>
      <c r="AU204" s="448"/>
      <c r="AY204" s="448"/>
      <c r="BE204" s="484"/>
      <c r="BF204" s="484"/>
      <c r="BG204" s="484"/>
      <c r="BH204" s="484"/>
      <c r="BI204" s="484"/>
      <c r="BJ204" s="448"/>
      <c r="BK204" s="484"/>
      <c r="BL204" s="448"/>
      <c r="BM204" s="448"/>
    </row>
    <row r="205" spans="1:65" s="191" customFormat="1" ht="30" customHeight="1">
      <c r="A205" s="617"/>
      <c r="B205" s="618"/>
      <c r="C205" s="511" t="s">
        <v>822</v>
      </c>
      <c r="D205" s="511"/>
      <c r="E205" s="511" t="s">
        <v>1393</v>
      </c>
      <c r="F205" s="1005" t="s">
        <v>570</v>
      </c>
      <c r="G205" s="1006"/>
      <c r="H205" s="1006"/>
      <c r="I205" s="1007"/>
      <c r="J205" s="101" t="s">
        <v>198</v>
      </c>
      <c r="K205" s="40">
        <v>1</v>
      </c>
      <c r="L205" s="27"/>
      <c r="M205" s="390"/>
      <c r="N205" s="998">
        <f t="shared" si="4"/>
        <v>0</v>
      </c>
      <c r="O205" s="998"/>
      <c r="P205" s="998"/>
      <c r="Q205" s="998"/>
      <c r="R205" s="619"/>
      <c r="S205" s="617"/>
      <c r="T205" s="620"/>
      <c r="U205" s="621"/>
      <c r="V205" s="622"/>
      <c r="W205" s="622"/>
      <c r="X205" s="622"/>
      <c r="Y205" s="622"/>
      <c r="Z205" s="622"/>
      <c r="AA205" s="623"/>
      <c r="AC205" s="105"/>
      <c r="AU205" s="624"/>
      <c r="AY205" s="624"/>
      <c r="BE205" s="625"/>
      <c r="BF205" s="625"/>
      <c r="BG205" s="625"/>
      <c r="BH205" s="625"/>
      <c r="BI205" s="625"/>
      <c r="BJ205" s="624"/>
      <c r="BK205" s="625"/>
      <c r="BL205" s="624"/>
      <c r="BM205" s="624"/>
    </row>
    <row r="206" spans="1:63" s="635" customFormat="1" ht="37.35" customHeight="1">
      <c r="A206" s="629"/>
      <c r="B206" s="630"/>
      <c r="C206" s="511" t="s">
        <v>823</v>
      </c>
      <c r="D206" s="510"/>
      <c r="E206" s="511" t="s">
        <v>1368</v>
      </c>
      <c r="F206" s="999" t="s">
        <v>247</v>
      </c>
      <c r="G206" s="999"/>
      <c r="H206" s="999"/>
      <c r="I206" s="999"/>
      <c r="J206" s="102" t="s">
        <v>131</v>
      </c>
      <c r="K206" s="44">
        <v>1</v>
      </c>
      <c r="L206" s="21"/>
      <c r="M206" s="390"/>
      <c r="N206" s="948">
        <f>ROUND(L206*K206,2)</f>
        <v>0</v>
      </c>
      <c r="O206" s="948"/>
      <c r="P206" s="948"/>
      <c r="Q206" s="948"/>
      <c r="R206" s="631"/>
      <c r="S206" s="632"/>
      <c r="T206" s="632"/>
      <c r="U206" s="632"/>
      <c r="V206" s="632"/>
      <c r="W206" s="633"/>
      <c r="X206" s="632"/>
      <c r="Y206" s="633"/>
      <c r="Z206" s="632"/>
      <c r="AA206" s="634"/>
      <c r="AC206" s="105"/>
      <c r="AU206" s="636"/>
      <c r="AY206" s="637"/>
      <c r="BK206" s="638"/>
    </row>
    <row r="207" spans="2:47" s="249" customFormat="1" ht="30" customHeight="1">
      <c r="B207" s="247"/>
      <c r="C207" s="511" t="s">
        <v>824</v>
      </c>
      <c r="D207" s="511"/>
      <c r="E207" s="511" t="s">
        <v>1366</v>
      </c>
      <c r="F207" s="954" t="s">
        <v>206</v>
      </c>
      <c r="G207" s="954"/>
      <c r="H207" s="954"/>
      <c r="I207" s="954"/>
      <c r="J207" s="103" t="s">
        <v>2227</v>
      </c>
      <c r="K207" s="45">
        <v>1</v>
      </c>
      <c r="L207" s="29"/>
      <c r="M207" s="390"/>
      <c r="N207" s="948">
        <f>ROUND(L207*K207,2)</f>
        <v>0</v>
      </c>
      <c r="O207" s="948"/>
      <c r="P207" s="948"/>
      <c r="Q207" s="948"/>
      <c r="R207" s="248"/>
      <c r="T207" s="639"/>
      <c r="U207" s="87"/>
      <c r="V207" s="87"/>
      <c r="W207" s="87"/>
      <c r="X207" s="87"/>
      <c r="Y207" s="87"/>
      <c r="Z207" s="87"/>
      <c r="AA207" s="275"/>
      <c r="AC207" s="105"/>
      <c r="AU207" s="240" t="s">
        <v>76</v>
      </c>
    </row>
    <row r="208" spans="2:65" s="249" customFormat="1" ht="30" customHeight="1">
      <c r="B208" s="247"/>
      <c r="C208" s="511" t="s">
        <v>825</v>
      </c>
      <c r="D208" s="511"/>
      <c r="E208" s="511" t="s">
        <v>1367</v>
      </c>
      <c r="F208" s="954" t="s">
        <v>2226</v>
      </c>
      <c r="G208" s="954"/>
      <c r="H208" s="954"/>
      <c r="I208" s="954"/>
      <c r="J208" s="103" t="s">
        <v>2227</v>
      </c>
      <c r="K208" s="45">
        <v>1</v>
      </c>
      <c r="L208" s="29"/>
      <c r="M208" s="390"/>
      <c r="N208" s="948">
        <f>ROUND(L208*K208,2)</f>
        <v>0</v>
      </c>
      <c r="O208" s="948"/>
      <c r="P208" s="948"/>
      <c r="Q208" s="948"/>
      <c r="R208" s="248"/>
      <c r="T208" s="640" t="s">
        <v>5</v>
      </c>
      <c r="U208" s="641" t="s">
        <v>36</v>
      </c>
      <c r="V208" s="642">
        <v>0</v>
      </c>
      <c r="W208" s="642" t="e">
        <f>V208*#REF!</f>
        <v>#REF!</v>
      </c>
      <c r="X208" s="642">
        <v>0</v>
      </c>
      <c r="Y208" s="642" t="e">
        <f>X208*#REF!</f>
        <v>#REF!</v>
      </c>
      <c r="Z208" s="642">
        <v>0</v>
      </c>
      <c r="AA208" s="643" t="e">
        <f>Z208*#REF!</f>
        <v>#REF!</v>
      </c>
      <c r="AC208" s="105"/>
      <c r="AU208" s="240" t="s">
        <v>76</v>
      </c>
      <c r="AY208" s="240" t="s">
        <v>125</v>
      </c>
      <c r="BE208" s="250">
        <f>IF(U208="základní",#REF!,0)</f>
        <v>0</v>
      </c>
      <c r="BF208" s="250" t="e">
        <f>IF(U208="snížená",#REF!,0)</f>
        <v>#REF!</v>
      </c>
      <c r="BG208" s="250">
        <f>IF(U208="zákl. přenesená",#REF!,0)</f>
        <v>0</v>
      </c>
      <c r="BH208" s="250">
        <f>IF(U208="sníž. přenesená",#REF!,0)</f>
        <v>0</v>
      </c>
      <c r="BI208" s="250">
        <f>IF(U208="nulová",#REF!,0)</f>
        <v>0</v>
      </c>
      <c r="BJ208" s="240" t="s">
        <v>80</v>
      </c>
      <c r="BK208" s="250" t="e">
        <f>ROUND(#REF!*#REF!,2)</f>
        <v>#REF!</v>
      </c>
      <c r="BL208" s="240" t="s">
        <v>128</v>
      </c>
      <c r="BM208" s="240" t="s">
        <v>139</v>
      </c>
    </row>
    <row r="209" spans="1:63" s="394" customFormat="1" ht="37.35" customHeight="1">
      <c r="A209" s="546"/>
      <c r="B209" s="389"/>
      <c r="C209" s="644"/>
      <c r="D209" s="597" t="s">
        <v>584</v>
      </c>
      <c r="E209" s="645"/>
      <c r="F209" s="390"/>
      <c r="G209" s="390"/>
      <c r="H209" s="390"/>
      <c r="I209" s="390"/>
      <c r="J209" s="390"/>
      <c r="K209" s="46"/>
      <c r="L209" s="738"/>
      <c r="M209" s="390"/>
      <c r="N209" s="646"/>
      <c r="O209" s="647"/>
      <c r="P209" s="647"/>
      <c r="Q209" s="647"/>
      <c r="R209" s="391"/>
      <c r="S209" s="388"/>
      <c r="T209" s="388"/>
      <c r="U209" s="388"/>
      <c r="V209" s="388"/>
      <c r="W209" s="392"/>
      <c r="X209" s="388"/>
      <c r="Y209" s="392"/>
      <c r="Z209" s="388"/>
      <c r="AA209" s="393"/>
      <c r="AC209" s="105"/>
      <c r="AU209" s="395"/>
      <c r="AY209" s="396"/>
      <c r="BK209" s="397"/>
    </row>
    <row r="210" spans="1:65" s="162" customFormat="1" ht="42.75" customHeight="1">
      <c r="A210" s="58"/>
      <c r="B210" s="455"/>
      <c r="C210" s="511" t="s">
        <v>826</v>
      </c>
      <c r="D210" s="511"/>
      <c r="E210" s="511" t="s">
        <v>1351</v>
      </c>
      <c r="F210" s="999" t="s">
        <v>252</v>
      </c>
      <c r="G210" s="999"/>
      <c r="H210" s="999"/>
      <c r="I210" s="999"/>
      <c r="J210" s="94" t="s">
        <v>131</v>
      </c>
      <c r="K210" s="42">
        <v>1</v>
      </c>
      <c r="L210" s="21"/>
      <c r="M210" s="390"/>
      <c r="N210" s="948">
        <f>ROUND(L210*K210,2)</f>
        <v>0</v>
      </c>
      <c r="O210" s="948"/>
      <c r="P210" s="948"/>
      <c r="Q210" s="948"/>
      <c r="R210" s="456"/>
      <c r="S210" s="58"/>
      <c r="T210" s="483"/>
      <c r="U210" s="221"/>
      <c r="V210" s="408"/>
      <c r="W210" s="408"/>
      <c r="X210" s="408"/>
      <c r="Y210" s="408"/>
      <c r="Z210" s="408"/>
      <c r="AA210" s="409"/>
      <c r="AC210" s="105"/>
      <c r="AU210" s="448"/>
      <c r="AY210" s="448"/>
      <c r="BE210" s="484"/>
      <c r="BF210" s="484"/>
      <c r="BG210" s="484"/>
      <c r="BH210" s="484"/>
      <c r="BI210" s="484"/>
      <c r="BJ210" s="448"/>
      <c r="BK210" s="484"/>
      <c r="BL210" s="448"/>
      <c r="BM210" s="448"/>
    </row>
    <row r="211" spans="1:65" s="609" customFormat="1" ht="30" customHeight="1">
      <c r="A211" s="606"/>
      <c r="B211" s="607"/>
      <c r="C211" s="626"/>
      <c r="D211" s="626"/>
      <c r="E211" s="627"/>
      <c r="F211" s="1076" t="s">
        <v>546</v>
      </c>
      <c r="G211" s="1077"/>
      <c r="H211" s="1077"/>
      <c r="I211" s="1078"/>
      <c r="J211" s="487"/>
      <c r="K211" s="41"/>
      <c r="L211" s="32"/>
      <c r="M211" s="390"/>
      <c r="N211" s="1037"/>
      <c r="O211" s="1037"/>
      <c r="P211" s="1037"/>
      <c r="Q211" s="1037"/>
      <c r="R211" s="610"/>
      <c r="S211" s="606"/>
      <c r="T211" s="611"/>
      <c r="U211" s="612"/>
      <c r="V211" s="613"/>
      <c r="W211" s="613"/>
      <c r="X211" s="613"/>
      <c r="Y211" s="613"/>
      <c r="Z211" s="613"/>
      <c r="AA211" s="614"/>
      <c r="AC211" s="105"/>
      <c r="AU211" s="615"/>
      <c r="AY211" s="615"/>
      <c r="BE211" s="616"/>
      <c r="BF211" s="616"/>
      <c r="BG211" s="616"/>
      <c r="BH211" s="616"/>
      <c r="BI211" s="616"/>
      <c r="BJ211" s="615"/>
      <c r="BK211" s="616"/>
      <c r="BL211" s="615"/>
      <c r="BM211" s="615"/>
    </row>
    <row r="212" spans="1:65" s="162" customFormat="1" ht="30" customHeight="1">
      <c r="A212" s="58"/>
      <c r="B212" s="455"/>
      <c r="C212" s="511" t="s">
        <v>827</v>
      </c>
      <c r="D212" s="511"/>
      <c r="E212" s="511" t="s">
        <v>1327</v>
      </c>
      <c r="F212" s="1015" t="s">
        <v>536</v>
      </c>
      <c r="G212" s="1016"/>
      <c r="H212" s="1016"/>
      <c r="I212" s="1017"/>
      <c r="J212" s="94" t="s">
        <v>133</v>
      </c>
      <c r="K212" s="42">
        <f>(0.19+0.81+0.65+0.61+0.99+0.19+0.81+0.45+0.41+0.2+0.18+1.79+0.87+0.64)*1.05</f>
        <v>9.229500000000002</v>
      </c>
      <c r="L212" s="21"/>
      <c r="M212" s="390"/>
      <c r="N212" s="948">
        <f aca="true" t="shared" si="5" ref="N212:N216">ROUND(L212*K212,2)</f>
        <v>0</v>
      </c>
      <c r="O212" s="948"/>
      <c r="P212" s="948"/>
      <c r="Q212" s="948"/>
      <c r="R212" s="456"/>
      <c r="S212" s="58"/>
      <c r="T212" s="483"/>
      <c r="U212" s="221"/>
      <c r="V212" s="408"/>
      <c r="W212" s="408"/>
      <c r="X212" s="408"/>
      <c r="Y212" s="408"/>
      <c r="Z212" s="408"/>
      <c r="AA212" s="409"/>
      <c r="AC212" s="105"/>
      <c r="AU212" s="448"/>
      <c r="AY212" s="448"/>
      <c r="BE212" s="484"/>
      <c r="BF212" s="484"/>
      <c r="BG212" s="484"/>
      <c r="BH212" s="484"/>
      <c r="BI212" s="484"/>
      <c r="BJ212" s="448"/>
      <c r="BK212" s="484"/>
      <c r="BL212" s="448"/>
      <c r="BM212" s="448"/>
    </row>
    <row r="213" spans="1:65" s="191" customFormat="1" ht="30" customHeight="1">
      <c r="A213" s="617"/>
      <c r="B213" s="618"/>
      <c r="C213" s="511" t="s">
        <v>828</v>
      </c>
      <c r="D213" s="511"/>
      <c r="E213" s="511" t="s">
        <v>1328</v>
      </c>
      <c r="F213" s="1005" t="s">
        <v>535</v>
      </c>
      <c r="G213" s="1006"/>
      <c r="H213" s="1006"/>
      <c r="I213" s="1007"/>
      <c r="J213" s="101" t="s">
        <v>133</v>
      </c>
      <c r="K213" s="40">
        <f>K212*1.1</f>
        <v>10.152450000000002</v>
      </c>
      <c r="L213" s="27"/>
      <c r="M213" s="390"/>
      <c r="N213" s="998">
        <f t="shared" si="5"/>
        <v>0</v>
      </c>
      <c r="O213" s="998"/>
      <c r="P213" s="998"/>
      <c r="Q213" s="998"/>
      <c r="R213" s="619"/>
      <c r="S213" s="617"/>
      <c r="T213" s="620"/>
      <c r="U213" s="621"/>
      <c r="V213" s="622"/>
      <c r="W213" s="622"/>
      <c r="X213" s="622"/>
      <c r="Y213" s="622"/>
      <c r="Z213" s="622"/>
      <c r="AA213" s="623"/>
      <c r="AC213" s="105"/>
      <c r="AU213" s="624"/>
      <c r="AY213" s="624"/>
      <c r="BE213" s="625"/>
      <c r="BF213" s="625"/>
      <c r="BG213" s="625"/>
      <c r="BH213" s="625"/>
      <c r="BI213" s="625"/>
      <c r="BJ213" s="624"/>
      <c r="BK213" s="625"/>
      <c r="BL213" s="624"/>
      <c r="BM213" s="624"/>
    </row>
    <row r="214" spans="1:65" s="191" customFormat="1" ht="30" customHeight="1">
      <c r="A214" s="617"/>
      <c r="B214" s="618"/>
      <c r="C214" s="511" t="s">
        <v>829</v>
      </c>
      <c r="D214" s="511"/>
      <c r="E214" s="511" t="s">
        <v>1329</v>
      </c>
      <c r="F214" s="1005" t="s">
        <v>529</v>
      </c>
      <c r="G214" s="1006"/>
      <c r="H214" s="1006"/>
      <c r="I214" s="1007"/>
      <c r="J214" s="101" t="s">
        <v>198</v>
      </c>
      <c r="K214" s="40">
        <f>8</f>
        <v>8</v>
      </c>
      <c r="L214" s="27"/>
      <c r="M214" s="390"/>
      <c r="N214" s="998">
        <f t="shared" si="5"/>
        <v>0</v>
      </c>
      <c r="O214" s="998"/>
      <c r="P214" s="998"/>
      <c r="Q214" s="998"/>
      <c r="R214" s="619"/>
      <c r="S214" s="617"/>
      <c r="T214" s="620"/>
      <c r="U214" s="621"/>
      <c r="V214" s="622"/>
      <c r="W214" s="622"/>
      <c r="X214" s="622"/>
      <c r="Y214" s="622"/>
      <c r="Z214" s="622"/>
      <c r="AA214" s="623"/>
      <c r="AC214" s="105"/>
      <c r="AU214" s="624"/>
      <c r="AY214" s="624"/>
      <c r="BE214" s="625"/>
      <c r="BF214" s="625"/>
      <c r="BG214" s="625"/>
      <c r="BH214" s="625"/>
      <c r="BI214" s="625"/>
      <c r="BJ214" s="624"/>
      <c r="BK214" s="625"/>
      <c r="BL214" s="624"/>
      <c r="BM214" s="624"/>
    </row>
    <row r="215" spans="1:65" s="191" customFormat="1" ht="30" customHeight="1">
      <c r="A215" s="617"/>
      <c r="B215" s="618"/>
      <c r="C215" s="511" t="s">
        <v>830</v>
      </c>
      <c r="D215" s="511"/>
      <c r="E215" s="511" t="s">
        <v>1330</v>
      </c>
      <c r="F215" s="1005" t="s">
        <v>575</v>
      </c>
      <c r="G215" s="1006"/>
      <c r="H215" s="1006"/>
      <c r="I215" s="1007"/>
      <c r="J215" s="101" t="s">
        <v>198</v>
      </c>
      <c r="K215" s="40">
        <v>1</v>
      </c>
      <c r="L215" s="27"/>
      <c r="M215" s="390"/>
      <c r="N215" s="998">
        <f t="shared" si="5"/>
        <v>0</v>
      </c>
      <c r="O215" s="998"/>
      <c r="P215" s="998"/>
      <c r="Q215" s="998"/>
      <c r="R215" s="619"/>
      <c r="S215" s="617"/>
      <c r="T215" s="620"/>
      <c r="U215" s="621"/>
      <c r="V215" s="622"/>
      <c r="W215" s="622"/>
      <c r="X215" s="622"/>
      <c r="Y215" s="622"/>
      <c r="Z215" s="622"/>
      <c r="AA215" s="623"/>
      <c r="AC215" s="105"/>
      <c r="AU215" s="624"/>
      <c r="AY215" s="624"/>
      <c r="BE215" s="625"/>
      <c r="BF215" s="625"/>
      <c r="BG215" s="625"/>
      <c r="BH215" s="625"/>
      <c r="BI215" s="625"/>
      <c r="BJ215" s="624"/>
      <c r="BK215" s="625"/>
      <c r="BL215" s="624"/>
      <c r="BM215" s="624"/>
    </row>
    <row r="216" spans="1:65" s="162" customFormat="1" ht="30" customHeight="1">
      <c r="A216" s="58"/>
      <c r="B216" s="455"/>
      <c r="C216" s="511" t="s">
        <v>831</v>
      </c>
      <c r="D216" s="511"/>
      <c r="E216" s="511" t="s">
        <v>1346</v>
      </c>
      <c r="F216" s="1015" t="s">
        <v>572</v>
      </c>
      <c r="G216" s="1016"/>
      <c r="H216" s="1016"/>
      <c r="I216" s="1017"/>
      <c r="J216" s="94" t="s">
        <v>133</v>
      </c>
      <c r="K216" s="42">
        <f>(0.49+0.58)*2.05</f>
        <v>2.1934999999999993</v>
      </c>
      <c r="L216" s="21"/>
      <c r="M216" s="390"/>
      <c r="N216" s="948">
        <f t="shared" si="5"/>
        <v>0</v>
      </c>
      <c r="O216" s="948"/>
      <c r="P216" s="948"/>
      <c r="Q216" s="948"/>
      <c r="R216" s="456"/>
      <c r="S216" s="58"/>
      <c r="T216" s="483"/>
      <c r="U216" s="221"/>
      <c r="V216" s="408"/>
      <c r="W216" s="408"/>
      <c r="X216" s="408"/>
      <c r="Y216" s="408"/>
      <c r="Z216" s="408"/>
      <c r="AA216" s="409"/>
      <c r="AC216" s="105"/>
      <c r="AU216" s="448"/>
      <c r="AY216" s="448"/>
      <c r="BE216" s="484"/>
      <c r="BF216" s="484"/>
      <c r="BG216" s="484"/>
      <c r="BH216" s="484"/>
      <c r="BI216" s="484"/>
      <c r="BJ216" s="448"/>
      <c r="BK216" s="484"/>
      <c r="BL216" s="448"/>
      <c r="BM216" s="448"/>
    </row>
    <row r="217" spans="1:65" s="191" customFormat="1" ht="30" customHeight="1">
      <c r="A217" s="617"/>
      <c r="B217" s="618"/>
      <c r="C217" s="511" t="s">
        <v>832</v>
      </c>
      <c r="D217" s="511"/>
      <c r="E217" s="511" t="s">
        <v>1347</v>
      </c>
      <c r="F217" s="1005" t="s">
        <v>573</v>
      </c>
      <c r="G217" s="1006"/>
      <c r="H217" s="1006"/>
      <c r="I217" s="1007"/>
      <c r="J217" s="101" t="s">
        <v>133</v>
      </c>
      <c r="K217" s="40">
        <f>K216*1.1</f>
        <v>2.4128499999999993</v>
      </c>
      <c r="L217" s="27"/>
      <c r="M217" s="390"/>
      <c r="N217" s="998">
        <f aca="true" t="shared" si="6" ref="N217:N252">ROUND(L217*K217,2)</f>
        <v>0</v>
      </c>
      <c r="O217" s="998"/>
      <c r="P217" s="998"/>
      <c r="Q217" s="998"/>
      <c r="R217" s="619"/>
      <c r="S217" s="617"/>
      <c r="T217" s="620"/>
      <c r="U217" s="621"/>
      <c r="V217" s="622"/>
      <c r="W217" s="622"/>
      <c r="X217" s="622"/>
      <c r="Y217" s="622"/>
      <c r="Z217" s="622"/>
      <c r="AA217" s="623"/>
      <c r="AC217" s="105"/>
      <c r="AU217" s="624"/>
      <c r="AY217" s="624"/>
      <c r="BE217" s="625"/>
      <c r="BF217" s="625"/>
      <c r="BG217" s="625"/>
      <c r="BH217" s="625"/>
      <c r="BI217" s="625"/>
      <c r="BJ217" s="624"/>
      <c r="BK217" s="625"/>
      <c r="BL217" s="624"/>
      <c r="BM217" s="624"/>
    </row>
    <row r="218" spans="1:65" s="191" customFormat="1" ht="30" customHeight="1">
      <c r="A218" s="617"/>
      <c r="B218" s="618"/>
      <c r="C218" s="511" t="s">
        <v>833</v>
      </c>
      <c r="D218" s="511"/>
      <c r="E218" s="511" t="s">
        <v>1348</v>
      </c>
      <c r="F218" s="1005" t="s">
        <v>574</v>
      </c>
      <c r="G218" s="1006"/>
      <c r="H218" s="1006"/>
      <c r="I218" s="1007"/>
      <c r="J218" s="101" t="s">
        <v>198</v>
      </c>
      <c r="K218" s="40">
        <v>2</v>
      </c>
      <c r="L218" s="27"/>
      <c r="M218" s="390"/>
      <c r="N218" s="998">
        <f t="shared" si="6"/>
        <v>0</v>
      </c>
      <c r="O218" s="998"/>
      <c r="P218" s="998"/>
      <c r="Q218" s="998"/>
      <c r="R218" s="619"/>
      <c r="S218" s="617"/>
      <c r="T218" s="620"/>
      <c r="U218" s="621"/>
      <c r="V218" s="622"/>
      <c r="W218" s="622"/>
      <c r="X218" s="622"/>
      <c r="Y218" s="622"/>
      <c r="Z218" s="622"/>
      <c r="AA218" s="623"/>
      <c r="AC218" s="105"/>
      <c r="AU218" s="624"/>
      <c r="AY218" s="624"/>
      <c r="BE218" s="625"/>
      <c r="BF218" s="625"/>
      <c r="BG218" s="625"/>
      <c r="BH218" s="625"/>
      <c r="BI218" s="625"/>
      <c r="BJ218" s="624"/>
      <c r="BK218" s="625"/>
      <c r="BL218" s="624"/>
      <c r="BM218" s="624"/>
    </row>
    <row r="219" spans="1:65" s="191" customFormat="1" ht="30" customHeight="1">
      <c r="A219" s="617"/>
      <c r="B219" s="618"/>
      <c r="C219" s="511" t="s">
        <v>834</v>
      </c>
      <c r="D219" s="511"/>
      <c r="E219" s="511" t="s">
        <v>1349</v>
      </c>
      <c r="F219" s="1005" t="s">
        <v>576</v>
      </c>
      <c r="G219" s="1006"/>
      <c r="H219" s="1006"/>
      <c r="I219" s="1007"/>
      <c r="J219" s="101" t="s">
        <v>198</v>
      </c>
      <c r="K219" s="40">
        <v>1</v>
      </c>
      <c r="L219" s="27"/>
      <c r="M219" s="390"/>
      <c r="N219" s="998">
        <f t="shared" si="6"/>
        <v>0</v>
      </c>
      <c r="O219" s="998"/>
      <c r="P219" s="998"/>
      <c r="Q219" s="998"/>
      <c r="R219" s="619"/>
      <c r="S219" s="617"/>
      <c r="T219" s="620"/>
      <c r="U219" s="621"/>
      <c r="V219" s="622"/>
      <c r="W219" s="622"/>
      <c r="X219" s="622"/>
      <c r="Y219" s="622"/>
      <c r="Z219" s="622"/>
      <c r="AA219" s="623"/>
      <c r="AC219" s="105"/>
      <c r="AU219" s="624"/>
      <c r="AY219" s="624"/>
      <c r="BE219" s="625"/>
      <c r="BF219" s="625"/>
      <c r="BG219" s="625"/>
      <c r="BH219" s="625"/>
      <c r="BI219" s="625"/>
      <c r="BJ219" s="624"/>
      <c r="BK219" s="625"/>
      <c r="BL219" s="624"/>
      <c r="BM219" s="624"/>
    </row>
    <row r="220" spans="1:65" s="162" customFormat="1" ht="30" customHeight="1">
      <c r="A220" s="58"/>
      <c r="B220" s="455"/>
      <c r="C220" s="511" t="s">
        <v>835</v>
      </c>
      <c r="D220" s="511"/>
      <c r="E220" s="511" t="s">
        <v>1331</v>
      </c>
      <c r="F220" s="1015" t="s">
        <v>537</v>
      </c>
      <c r="G220" s="1016"/>
      <c r="H220" s="1016"/>
      <c r="I220" s="1017"/>
      <c r="J220" s="94" t="s">
        <v>133</v>
      </c>
      <c r="K220" s="42">
        <f>(0.33+1.28+0.36+0.29+1.25+2*0.38)*1.05</f>
        <v>4.4835</v>
      </c>
      <c r="L220" s="21"/>
      <c r="M220" s="390"/>
      <c r="N220" s="948">
        <f t="shared" si="6"/>
        <v>0</v>
      </c>
      <c r="O220" s="948"/>
      <c r="P220" s="948"/>
      <c r="Q220" s="948"/>
      <c r="R220" s="456"/>
      <c r="S220" s="58"/>
      <c r="T220" s="483"/>
      <c r="U220" s="221"/>
      <c r="V220" s="408"/>
      <c r="W220" s="408"/>
      <c r="X220" s="408"/>
      <c r="Y220" s="408"/>
      <c r="Z220" s="408"/>
      <c r="AA220" s="409"/>
      <c r="AC220" s="105"/>
      <c r="AU220" s="448"/>
      <c r="AY220" s="448"/>
      <c r="BE220" s="484"/>
      <c r="BF220" s="484"/>
      <c r="BG220" s="484"/>
      <c r="BH220" s="484"/>
      <c r="BI220" s="484"/>
      <c r="BJ220" s="448"/>
      <c r="BK220" s="484"/>
      <c r="BL220" s="448"/>
      <c r="BM220" s="448"/>
    </row>
    <row r="221" spans="1:65" s="191" customFormat="1" ht="30" customHeight="1">
      <c r="A221" s="617"/>
      <c r="B221" s="618"/>
      <c r="C221" s="511" t="s">
        <v>836</v>
      </c>
      <c r="D221" s="511"/>
      <c r="E221" s="511" t="s">
        <v>1332</v>
      </c>
      <c r="F221" s="1005" t="s">
        <v>534</v>
      </c>
      <c r="G221" s="1006"/>
      <c r="H221" s="1006"/>
      <c r="I221" s="1007"/>
      <c r="J221" s="101" t="s">
        <v>133</v>
      </c>
      <c r="K221" s="40">
        <f>K220*1.1</f>
        <v>4.931850000000001</v>
      </c>
      <c r="L221" s="27"/>
      <c r="M221" s="390"/>
      <c r="N221" s="998">
        <f t="shared" si="6"/>
        <v>0</v>
      </c>
      <c r="O221" s="998"/>
      <c r="P221" s="998"/>
      <c r="Q221" s="998"/>
      <c r="R221" s="619"/>
      <c r="S221" s="617"/>
      <c r="T221" s="620"/>
      <c r="U221" s="621"/>
      <c r="V221" s="622"/>
      <c r="W221" s="622"/>
      <c r="X221" s="622"/>
      <c r="Y221" s="622"/>
      <c r="Z221" s="622"/>
      <c r="AA221" s="623"/>
      <c r="AC221" s="105"/>
      <c r="AU221" s="624"/>
      <c r="AY221" s="624"/>
      <c r="BE221" s="625"/>
      <c r="BF221" s="625"/>
      <c r="BG221" s="625"/>
      <c r="BH221" s="625"/>
      <c r="BI221" s="625"/>
      <c r="BJ221" s="624"/>
      <c r="BK221" s="625"/>
      <c r="BL221" s="624"/>
      <c r="BM221" s="624"/>
    </row>
    <row r="222" spans="1:65" s="191" customFormat="1" ht="30" customHeight="1">
      <c r="A222" s="617"/>
      <c r="B222" s="618"/>
      <c r="C222" s="511" t="s">
        <v>837</v>
      </c>
      <c r="D222" s="511"/>
      <c r="E222" s="511" t="s">
        <v>1333</v>
      </c>
      <c r="F222" s="1005" t="s">
        <v>531</v>
      </c>
      <c r="G222" s="1006"/>
      <c r="H222" s="1006"/>
      <c r="I222" s="1007"/>
      <c r="J222" s="101" t="s">
        <v>198</v>
      </c>
      <c r="K222" s="40">
        <v>4</v>
      </c>
      <c r="L222" s="27"/>
      <c r="M222" s="390"/>
      <c r="N222" s="998">
        <f t="shared" si="6"/>
        <v>0</v>
      </c>
      <c r="O222" s="998"/>
      <c r="P222" s="998"/>
      <c r="Q222" s="998"/>
      <c r="R222" s="619"/>
      <c r="S222" s="617"/>
      <c r="T222" s="620"/>
      <c r="U222" s="621"/>
      <c r="V222" s="622"/>
      <c r="W222" s="622"/>
      <c r="X222" s="622"/>
      <c r="Y222" s="622"/>
      <c r="Z222" s="622"/>
      <c r="AA222" s="623"/>
      <c r="AC222" s="105"/>
      <c r="AU222" s="624"/>
      <c r="AY222" s="624"/>
      <c r="BE222" s="625"/>
      <c r="BF222" s="625"/>
      <c r="BG222" s="625"/>
      <c r="BH222" s="625"/>
      <c r="BI222" s="625"/>
      <c r="BJ222" s="624"/>
      <c r="BK222" s="625"/>
      <c r="BL222" s="624"/>
      <c r="BM222" s="624"/>
    </row>
    <row r="223" spans="1:65" s="191" customFormat="1" ht="30" customHeight="1">
      <c r="A223" s="617"/>
      <c r="B223" s="618"/>
      <c r="C223" s="511" t="s">
        <v>838</v>
      </c>
      <c r="D223" s="511"/>
      <c r="E223" s="511" t="s">
        <v>1334</v>
      </c>
      <c r="F223" s="1005" t="s">
        <v>532</v>
      </c>
      <c r="G223" s="1006"/>
      <c r="H223" s="1006"/>
      <c r="I223" s="1007"/>
      <c r="J223" s="101" t="s">
        <v>198</v>
      </c>
      <c r="K223" s="40">
        <v>6</v>
      </c>
      <c r="L223" s="27"/>
      <c r="M223" s="390"/>
      <c r="N223" s="998">
        <f t="shared" si="6"/>
        <v>0</v>
      </c>
      <c r="O223" s="998"/>
      <c r="P223" s="998"/>
      <c r="Q223" s="998"/>
      <c r="R223" s="619"/>
      <c r="S223" s="617"/>
      <c r="T223" s="620"/>
      <c r="U223" s="621"/>
      <c r="V223" s="622"/>
      <c r="W223" s="622"/>
      <c r="X223" s="622"/>
      <c r="Y223" s="622"/>
      <c r="Z223" s="622"/>
      <c r="AA223" s="623"/>
      <c r="AC223" s="105"/>
      <c r="AU223" s="624"/>
      <c r="AY223" s="624"/>
      <c r="BE223" s="625"/>
      <c r="BF223" s="625"/>
      <c r="BG223" s="625"/>
      <c r="BH223" s="625"/>
      <c r="BI223" s="625"/>
      <c r="BJ223" s="624"/>
      <c r="BK223" s="625"/>
      <c r="BL223" s="624"/>
      <c r="BM223" s="624"/>
    </row>
    <row r="224" spans="1:65" s="162" customFormat="1" ht="30" customHeight="1">
      <c r="A224" s="58"/>
      <c r="B224" s="455"/>
      <c r="C224" s="511" t="s">
        <v>839</v>
      </c>
      <c r="D224" s="511"/>
      <c r="E224" s="511" t="s">
        <v>1336</v>
      </c>
      <c r="F224" s="1015" t="s">
        <v>538</v>
      </c>
      <c r="G224" s="1016"/>
      <c r="H224" s="1016"/>
      <c r="I224" s="1017"/>
      <c r="J224" s="94" t="s">
        <v>133</v>
      </c>
      <c r="K224" s="42">
        <f>4*3.87</f>
        <v>15.48</v>
      </c>
      <c r="L224" s="21"/>
      <c r="M224" s="390"/>
      <c r="N224" s="948">
        <f t="shared" si="6"/>
        <v>0</v>
      </c>
      <c r="O224" s="948"/>
      <c r="P224" s="948"/>
      <c r="Q224" s="948"/>
      <c r="R224" s="456"/>
      <c r="S224" s="58"/>
      <c r="T224" s="483"/>
      <c r="U224" s="221"/>
      <c r="V224" s="408"/>
      <c r="W224" s="408"/>
      <c r="X224" s="408"/>
      <c r="Y224" s="408"/>
      <c r="Z224" s="408"/>
      <c r="AA224" s="409"/>
      <c r="AC224" s="105"/>
      <c r="AU224" s="448"/>
      <c r="AY224" s="448"/>
      <c r="BE224" s="484"/>
      <c r="BF224" s="484"/>
      <c r="BG224" s="484"/>
      <c r="BH224" s="484"/>
      <c r="BI224" s="484"/>
      <c r="BJ224" s="448"/>
      <c r="BK224" s="484"/>
      <c r="BL224" s="448"/>
      <c r="BM224" s="448"/>
    </row>
    <row r="225" spans="1:65" s="191" customFormat="1" ht="30" customHeight="1">
      <c r="A225" s="617"/>
      <c r="B225" s="618"/>
      <c r="C225" s="511" t="s">
        <v>840</v>
      </c>
      <c r="D225" s="511"/>
      <c r="E225" s="511" t="s">
        <v>1337</v>
      </c>
      <c r="F225" s="1005" t="s">
        <v>539</v>
      </c>
      <c r="G225" s="1006"/>
      <c r="H225" s="1006"/>
      <c r="I225" s="1007"/>
      <c r="J225" s="101" t="s">
        <v>133</v>
      </c>
      <c r="K225" s="40">
        <f>K224*1.1</f>
        <v>17.028000000000002</v>
      </c>
      <c r="L225" s="27"/>
      <c r="M225" s="390"/>
      <c r="N225" s="998">
        <f t="shared" si="6"/>
        <v>0</v>
      </c>
      <c r="O225" s="998"/>
      <c r="P225" s="998"/>
      <c r="Q225" s="998"/>
      <c r="R225" s="619"/>
      <c r="S225" s="617"/>
      <c r="T225" s="620"/>
      <c r="U225" s="621"/>
      <c r="V225" s="622"/>
      <c r="W225" s="622"/>
      <c r="X225" s="622"/>
      <c r="Y225" s="622"/>
      <c r="Z225" s="622"/>
      <c r="AA225" s="623"/>
      <c r="AC225" s="105"/>
      <c r="AU225" s="624"/>
      <c r="AY225" s="624"/>
      <c r="BE225" s="625"/>
      <c r="BF225" s="625"/>
      <c r="BG225" s="625"/>
      <c r="BH225" s="625"/>
      <c r="BI225" s="625"/>
      <c r="BJ225" s="624"/>
      <c r="BK225" s="625"/>
      <c r="BL225" s="624"/>
      <c r="BM225" s="624"/>
    </row>
    <row r="226" spans="1:65" s="191" customFormat="1" ht="30" customHeight="1">
      <c r="A226" s="617"/>
      <c r="B226" s="618"/>
      <c r="C226" s="511" t="s">
        <v>841</v>
      </c>
      <c r="D226" s="511"/>
      <c r="E226" s="511" t="s">
        <v>1340</v>
      </c>
      <c r="F226" s="1005" t="s">
        <v>540</v>
      </c>
      <c r="G226" s="1006"/>
      <c r="H226" s="1006"/>
      <c r="I226" s="1007"/>
      <c r="J226" s="101" t="s">
        <v>198</v>
      </c>
      <c r="K226" s="40">
        <v>3</v>
      </c>
      <c r="L226" s="27"/>
      <c r="M226" s="390"/>
      <c r="N226" s="998">
        <f t="shared" si="6"/>
        <v>0</v>
      </c>
      <c r="O226" s="998"/>
      <c r="P226" s="998"/>
      <c r="Q226" s="998"/>
      <c r="R226" s="619"/>
      <c r="S226" s="617"/>
      <c r="T226" s="620"/>
      <c r="U226" s="621"/>
      <c r="V226" s="622"/>
      <c r="W226" s="622"/>
      <c r="X226" s="622"/>
      <c r="Y226" s="622"/>
      <c r="Z226" s="622"/>
      <c r="AA226" s="623"/>
      <c r="AC226" s="105"/>
      <c r="AU226" s="624"/>
      <c r="AY226" s="624"/>
      <c r="BE226" s="625"/>
      <c r="BF226" s="625"/>
      <c r="BG226" s="625"/>
      <c r="BH226" s="625"/>
      <c r="BI226" s="625"/>
      <c r="BJ226" s="624"/>
      <c r="BK226" s="625"/>
      <c r="BL226" s="624"/>
      <c r="BM226" s="624"/>
    </row>
    <row r="227" spans="1:65" s="191" customFormat="1" ht="30" customHeight="1">
      <c r="A227" s="617"/>
      <c r="B227" s="618"/>
      <c r="C227" s="511" t="s">
        <v>842</v>
      </c>
      <c r="D227" s="511"/>
      <c r="E227" s="511" t="s">
        <v>1341</v>
      </c>
      <c r="F227" s="1005" t="s">
        <v>577</v>
      </c>
      <c r="G227" s="1006"/>
      <c r="H227" s="1006"/>
      <c r="I227" s="1007"/>
      <c r="J227" s="101" t="s">
        <v>198</v>
      </c>
      <c r="K227" s="40">
        <v>1</v>
      </c>
      <c r="L227" s="27"/>
      <c r="M227" s="390"/>
      <c r="N227" s="998">
        <f t="shared" si="6"/>
        <v>0</v>
      </c>
      <c r="O227" s="998"/>
      <c r="P227" s="998"/>
      <c r="Q227" s="998"/>
      <c r="R227" s="619"/>
      <c r="S227" s="617"/>
      <c r="T227" s="620"/>
      <c r="U227" s="621"/>
      <c r="V227" s="622"/>
      <c r="W227" s="622"/>
      <c r="X227" s="622"/>
      <c r="Y227" s="622"/>
      <c r="Z227" s="622"/>
      <c r="AA227" s="623"/>
      <c r="AC227" s="105"/>
      <c r="AU227" s="624"/>
      <c r="AY227" s="624"/>
      <c r="BE227" s="625"/>
      <c r="BF227" s="625"/>
      <c r="BG227" s="625"/>
      <c r="BH227" s="625"/>
      <c r="BI227" s="625"/>
      <c r="BJ227" s="624"/>
      <c r="BK227" s="625"/>
      <c r="BL227" s="624"/>
      <c r="BM227" s="624"/>
    </row>
    <row r="228" spans="1:65" s="609" customFormat="1" ht="30" customHeight="1">
      <c r="A228" s="606"/>
      <c r="B228" s="607"/>
      <c r="C228" s="626"/>
      <c r="D228" s="626"/>
      <c r="E228" s="626"/>
      <c r="F228" s="957" t="s">
        <v>547</v>
      </c>
      <c r="G228" s="958"/>
      <c r="H228" s="958"/>
      <c r="I228" s="959"/>
      <c r="J228" s="648"/>
      <c r="K228" s="41"/>
      <c r="L228" s="32"/>
      <c r="M228" s="390"/>
      <c r="N228" s="1037"/>
      <c r="O228" s="1037"/>
      <c r="P228" s="1037"/>
      <c r="Q228" s="1037"/>
      <c r="R228" s="610"/>
      <c r="S228" s="606"/>
      <c r="T228" s="611"/>
      <c r="U228" s="612"/>
      <c r="V228" s="613"/>
      <c r="W228" s="613"/>
      <c r="X228" s="613"/>
      <c r="Y228" s="613"/>
      <c r="Z228" s="613"/>
      <c r="AA228" s="614"/>
      <c r="AC228" s="105"/>
      <c r="AU228" s="615"/>
      <c r="AY228" s="615"/>
      <c r="BE228" s="616"/>
      <c r="BF228" s="616"/>
      <c r="BG228" s="616"/>
      <c r="BH228" s="616"/>
      <c r="BI228" s="616"/>
      <c r="BJ228" s="615"/>
      <c r="BK228" s="616"/>
      <c r="BL228" s="615"/>
      <c r="BM228" s="615"/>
    </row>
    <row r="229" spans="1:65" s="162" customFormat="1" ht="30" customHeight="1">
      <c r="A229" s="58"/>
      <c r="B229" s="455"/>
      <c r="C229" s="511" t="s">
        <v>843</v>
      </c>
      <c r="D229" s="511"/>
      <c r="E229" s="511" t="s">
        <v>1371</v>
      </c>
      <c r="F229" s="1015" t="s">
        <v>548</v>
      </c>
      <c r="G229" s="1016"/>
      <c r="H229" s="1016"/>
      <c r="I229" s="1017"/>
      <c r="J229" s="133" t="s">
        <v>198</v>
      </c>
      <c r="K229" s="42">
        <v>4</v>
      </c>
      <c r="L229" s="21"/>
      <c r="M229" s="390"/>
      <c r="N229" s="948">
        <f t="shared" si="6"/>
        <v>0</v>
      </c>
      <c r="O229" s="948"/>
      <c r="P229" s="948"/>
      <c r="Q229" s="948"/>
      <c r="R229" s="456"/>
      <c r="S229" s="58"/>
      <c r="T229" s="483"/>
      <c r="U229" s="221"/>
      <c r="V229" s="408"/>
      <c r="W229" s="408"/>
      <c r="X229" s="408"/>
      <c r="Y229" s="408"/>
      <c r="Z229" s="408"/>
      <c r="AA229" s="409"/>
      <c r="AC229" s="105"/>
      <c r="AU229" s="448"/>
      <c r="AY229" s="448"/>
      <c r="BE229" s="484"/>
      <c r="BF229" s="484"/>
      <c r="BG229" s="484"/>
      <c r="BH229" s="484"/>
      <c r="BI229" s="484"/>
      <c r="BJ229" s="448"/>
      <c r="BK229" s="484"/>
      <c r="BL229" s="448"/>
      <c r="BM229" s="448"/>
    </row>
    <row r="230" spans="1:65" s="191" customFormat="1" ht="30" customHeight="1">
      <c r="A230" s="617"/>
      <c r="B230" s="618"/>
      <c r="C230" s="511" t="s">
        <v>844</v>
      </c>
      <c r="D230" s="511"/>
      <c r="E230" s="511" t="s">
        <v>1372</v>
      </c>
      <c r="F230" s="1005" t="s">
        <v>556</v>
      </c>
      <c r="G230" s="1006"/>
      <c r="H230" s="1006"/>
      <c r="I230" s="1007"/>
      <c r="J230" s="101" t="s">
        <v>198</v>
      </c>
      <c r="K230" s="40">
        <v>4</v>
      </c>
      <c r="L230" s="27"/>
      <c r="M230" s="390"/>
      <c r="N230" s="998">
        <f t="shared" si="6"/>
        <v>0</v>
      </c>
      <c r="O230" s="998"/>
      <c r="P230" s="998"/>
      <c r="Q230" s="998"/>
      <c r="R230" s="619"/>
      <c r="S230" s="617"/>
      <c r="T230" s="620"/>
      <c r="U230" s="621"/>
      <c r="V230" s="622"/>
      <c r="W230" s="622"/>
      <c r="X230" s="622"/>
      <c r="Y230" s="622"/>
      <c r="Z230" s="622"/>
      <c r="AA230" s="623"/>
      <c r="AC230" s="105"/>
      <c r="AU230" s="624"/>
      <c r="AY230" s="624"/>
      <c r="BE230" s="625"/>
      <c r="BF230" s="625"/>
      <c r="BG230" s="625"/>
      <c r="BH230" s="625"/>
      <c r="BI230" s="625"/>
      <c r="BJ230" s="624"/>
      <c r="BK230" s="625"/>
      <c r="BL230" s="624"/>
      <c r="BM230" s="624"/>
    </row>
    <row r="231" spans="1:65" s="162" customFormat="1" ht="30" customHeight="1">
      <c r="A231" s="58"/>
      <c r="B231" s="455"/>
      <c r="C231" s="511" t="s">
        <v>845</v>
      </c>
      <c r="D231" s="511"/>
      <c r="E231" s="511" t="s">
        <v>1373</v>
      </c>
      <c r="F231" s="1015" t="s">
        <v>549</v>
      </c>
      <c r="G231" s="1016"/>
      <c r="H231" s="1016"/>
      <c r="I231" s="1017"/>
      <c r="J231" s="133" t="s">
        <v>198</v>
      </c>
      <c r="K231" s="42">
        <v>4</v>
      </c>
      <c r="L231" s="21"/>
      <c r="M231" s="390"/>
      <c r="N231" s="948">
        <f t="shared" si="6"/>
        <v>0</v>
      </c>
      <c r="O231" s="948"/>
      <c r="P231" s="948"/>
      <c r="Q231" s="948"/>
      <c r="R231" s="456"/>
      <c r="S231" s="58"/>
      <c r="T231" s="483"/>
      <c r="U231" s="221"/>
      <c r="V231" s="408"/>
      <c r="W231" s="408"/>
      <c r="X231" s="408"/>
      <c r="Y231" s="408"/>
      <c r="Z231" s="408"/>
      <c r="AA231" s="409"/>
      <c r="AC231" s="105"/>
      <c r="AU231" s="448"/>
      <c r="AY231" s="448"/>
      <c r="BE231" s="484"/>
      <c r="BF231" s="484"/>
      <c r="BG231" s="484"/>
      <c r="BH231" s="484"/>
      <c r="BI231" s="484"/>
      <c r="BJ231" s="448"/>
      <c r="BK231" s="484"/>
      <c r="BL231" s="448"/>
      <c r="BM231" s="448"/>
    </row>
    <row r="232" spans="1:65" s="191" customFormat="1" ht="30" customHeight="1">
      <c r="A232" s="617"/>
      <c r="B232" s="618"/>
      <c r="C232" s="511" t="s">
        <v>846</v>
      </c>
      <c r="D232" s="511"/>
      <c r="E232" s="511" t="s">
        <v>1374</v>
      </c>
      <c r="F232" s="1005" t="s">
        <v>555</v>
      </c>
      <c r="G232" s="1006"/>
      <c r="H232" s="1006"/>
      <c r="I232" s="1007"/>
      <c r="J232" s="101" t="s">
        <v>198</v>
      </c>
      <c r="K232" s="40">
        <v>4</v>
      </c>
      <c r="L232" s="27"/>
      <c r="M232" s="390"/>
      <c r="N232" s="998">
        <f t="shared" si="6"/>
        <v>0</v>
      </c>
      <c r="O232" s="998"/>
      <c r="P232" s="998"/>
      <c r="Q232" s="998"/>
      <c r="R232" s="619"/>
      <c r="S232" s="617"/>
      <c r="T232" s="620"/>
      <c r="U232" s="621"/>
      <c r="V232" s="622"/>
      <c r="W232" s="622"/>
      <c r="X232" s="622"/>
      <c r="Y232" s="622"/>
      <c r="Z232" s="622"/>
      <c r="AA232" s="623"/>
      <c r="AC232" s="105"/>
      <c r="AU232" s="624"/>
      <c r="AY232" s="624"/>
      <c r="BE232" s="625"/>
      <c r="BF232" s="625"/>
      <c r="BG232" s="625"/>
      <c r="BH232" s="625"/>
      <c r="BI232" s="625"/>
      <c r="BJ232" s="624"/>
      <c r="BK232" s="625"/>
      <c r="BL232" s="624"/>
      <c r="BM232" s="624"/>
    </row>
    <row r="233" spans="1:65" s="162" customFormat="1" ht="30" customHeight="1">
      <c r="A233" s="58"/>
      <c r="B233" s="455"/>
      <c r="C233" s="511" t="s">
        <v>847</v>
      </c>
      <c r="D233" s="511"/>
      <c r="E233" s="511" t="s">
        <v>1375</v>
      </c>
      <c r="F233" s="1025" t="s">
        <v>550</v>
      </c>
      <c r="G233" s="1026"/>
      <c r="H233" s="1026"/>
      <c r="I233" s="1027"/>
      <c r="J233" s="133" t="s">
        <v>198</v>
      </c>
      <c r="K233" s="42">
        <v>4</v>
      </c>
      <c r="L233" s="21"/>
      <c r="M233" s="390"/>
      <c r="N233" s="948">
        <f t="shared" si="6"/>
        <v>0</v>
      </c>
      <c r="O233" s="948"/>
      <c r="P233" s="948"/>
      <c r="Q233" s="948"/>
      <c r="R233" s="456"/>
      <c r="S233" s="58"/>
      <c r="T233" s="483"/>
      <c r="U233" s="221"/>
      <c r="V233" s="408"/>
      <c r="W233" s="408"/>
      <c r="X233" s="408"/>
      <c r="Y233" s="408"/>
      <c r="Z233" s="408"/>
      <c r="AA233" s="409"/>
      <c r="AC233" s="105"/>
      <c r="AU233" s="448"/>
      <c r="AY233" s="448"/>
      <c r="BE233" s="484"/>
      <c r="BF233" s="484"/>
      <c r="BG233" s="484"/>
      <c r="BH233" s="484"/>
      <c r="BI233" s="484"/>
      <c r="BJ233" s="448"/>
      <c r="BK233" s="484"/>
      <c r="BL233" s="448"/>
      <c r="BM233" s="448"/>
    </row>
    <row r="234" spans="1:65" s="191" customFormat="1" ht="30" customHeight="1">
      <c r="A234" s="617"/>
      <c r="B234" s="618"/>
      <c r="C234" s="511" t="s">
        <v>848</v>
      </c>
      <c r="D234" s="511"/>
      <c r="E234" s="511" t="s">
        <v>1376</v>
      </c>
      <c r="F234" s="1005" t="s">
        <v>551</v>
      </c>
      <c r="G234" s="1006"/>
      <c r="H234" s="1006"/>
      <c r="I234" s="1007"/>
      <c r="J234" s="101" t="s">
        <v>198</v>
      </c>
      <c r="K234" s="40">
        <v>4</v>
      </c>
      <c r="L234" s="27"/>
      <c r="M234" s="390"/>
      <c r="N234" s="998">
        <f t="shared" si="6"/>
        <v>0</v>
      </c>
      <c r="O234" s="998"/>
      <c r="P234" s="998"/>
      <c r="Q234" s="998"/>
      <c r="R234" s="619"/>
      <c r="S234" s="617"/>
      <c r="T234" s="620"/>
      <c r="U234" s="621"/>
      <c r="V234" s="622"/>
      <c r="W234" s="622"/>
      <c r="X234" s="622"/>
      <c r="Y234" s="622"/>
      <c r="Z234" s="622"/>
      <c r="AA234" s="623"/>
      <c r="AC234" s="105"/>
      <c r="AU234" s="624"/>
      <c r="AY234" s="624"/>
      <c r="BE234" s="625"/>
      <c r="BF234" s="625"/>
      <c r="BG234" s="625"/>
      <c r="BH234" s="625"/>
      <c r="BI234" s="625"/>
      <c r="BJ234" s="624"/>
      <c r="BK234" s="625"/>
      <c r="BL234" s="624"/>
      <c r="BM234" s="624"/>
    </row>
    <row r="235" spans="1:65" s="162" customFormat="1" ht="30" customHeight="1">
      <c r="A235" s="58"/>
      <c r="B235" s="455"/>
      <c r="C235" s="511" t="s">
        <v>849</v>
      </c>
      <c r="D235" s="511"/>
      <c r="E235" s="511" t="s">
        <v>1377</v>
      </c>
      <c r="F235" s="1025" t="s">
        <v>578</v>
      </c>
      <c r="G235" s="1026"/>
      <c r="H235" s="1026"/>
      <c r="I235" s="1027"/>
      <c r="J235" s="133" t="s">
        <v>198</v>
      </c>
      <c r="K235" s="42">
        <v>4</v>
      </c>
      <c r="L235" s="21"/>
      <c r="M235" s="390"/>
      <c r="N235" s="948">
        <f t="shared" si="6"/>
        <v>0</v>
      </c>
      <c r="O235" s="948"/>
      <c r="P235" s="948"/>
      <c r="Q235" s="948"/>
      <c r="R235" s="456"/>
      <c r="S235" s="58"/>
      <c r="T235" s="483"/>
      <c r="U235" s="221"/>
      <c r="V235" s="408"/>
      <c r="W235" s="408"/>
      <c r="X235" s="408"/>
      <c r="Y235" s="408"/>
      <c r="Z235" s="408"/>
      <c r="AA235" s="409"/>
      <c r="AC235" s="105"/>
      <c r="AU235" s="448"/>
      <c r="AY235" s="448"/>
      <c r="BE235" s="484"/>
      <c r="BF235" s="484"/>
      <c r="BG235" s="484"/>
      <c r="BH235" s="484"/>
      <c r="BI235" s="484"/>
      <c r="BJ235" s="448"/>
      <c r="BK235" s="484"/>
      <c r="BL235" s="448"/>
      <c r="BM235" s="448"/>
    </row>
    <row r="236" spans="1:65" s="191" customFormat="1" ht="30" customHeight="1">
      <c r="A236" s="617"/>
      <c r="B236" s="618"/>
      <c r="C236" s="511" t="s">
        <v>850</v>
      </c>
      <c r="D236" s="511"/>
      <c r="E236" s="511" t="s">
        <v>1378</v>
      </c>
      <c r="F236" s="1005" t="s">
        <v>251</v>
      </c>
      <c r="G236" s="1006"/>
      <c r="H236" s="1006"/>
      <c r="I236" s="1007"/>
      <c r="J236" s="101" t="s">
        <v>198</v>
      </c>
      <c r="K236" s="40">
        <v>4</v>
      </c>
      <c r="L236" s="27"/>
      <c r="M236" s="390"/>
      <c r="N236" s="998">
        <f t="shared" si="6"/>
        <v>0</v>
      </c>
      <c r="O236" s="998"/>
      <c r="P236" s="998"/>
      <c r="Q236" s="998"/>
      <c r="R236" s="619"/>
      <c r="S236" s="617"/>
      <c r="T236" s="620"/>
      <c r="U236" s="621"/>
      <c r="V236" s="622"/>
      <c r="W236" s="622"/>
      <c r="X236" s="622"/>
      <c r="Y236" s="622"/>
      <c r="Z236" s="622"/>
      <c r="AA236" s="623"/>
      <c r="AC236" s="105"/>
      <c r="AU236" s="624"/>
      <c r="AY236" s="624"/>
      <c r="BE236" s="625"/>
      <c r="BF236" s="625"/>
      <c r="BG236" s="625"/>
      <c r="BH236" s="625"/>
      <c r="BI236" s="625"/>
      <c r="BJ236" s="624"/>
      <c r="BK236" s="625"/>
      <c r="BL236" s="624"/>
      <c r="BM236" s="624"/>
    </row>
    <row r="237" spans="1:65" s="162" customFormat="1" ht="30" customHeight="1">
      <c r="A237" s="58"/>
      <c r="B237" s="455"/>
      <c r="C237" s="511" t="s">
        <v>851</v>
      </c>
      <c r="D237" s="511"/>
      <c r="E237" s="511" t="s">
        <v>1379</v>
      </c>
      <c r="F237" s="1015" t="s">
        <v>1394</v>
      </c>
      <c r="G237" s="1016"/>
      <c r="H237" s="1016"/>
      <c r="I237" s="1017"/>
      <c r="J237" s="102" t="s">
        <v>198</v>
      </c>
      <c r="K237" s="42">
        <v>4</v>
      </c>
      <c r="L237" s="21"/>
      <c r="M237" s="390"/>
      <c r="N237" s="948">
        <f t="shared" si="6"/>
        <v>0</v>
      </c>
      <c r="O237" s="948"/>
      <c r="P237" s="948"/>
      <c r="Q237" s="948"/>
      <c r="R237" s="456"/>
      <c r="S237" s="58"/>
      <c r="T237" s="483"/>
      <c r="U237" s="221"/>
      <c r="V237" s="408"/>
      <c r="W237" s="408"/>
      <c r="X237" s="408"/>
      <c r="Y237" s="408"/>
      <c r="Z237" s="408"/>
      <c r="AA237" s="409"/>
      <c r="AC237" s="105"/>
      <c r="AU237" s="448"/>
      <c r="AY237" s="448"/>
      <c r="BE237" s="484"/>
      <c r="BF237" s="484"/>
      <c r="BG237" s="484"/>
      <c r="BH237" s="484"/>
      <c r="BI237" s="484"/>
      <c r="BJ237" s="448"/>
      <c r="BK237" s="484"/>
      <c r="BL237" s="448"/>
      <c r="BM237" s="448"/>
    </row>
    <row r="238" spans="1:65" s="191" customFormat="1" ht="30" customHeight="1">
      <c r="A238" s="617"/>
      <c r="B238" s="618"/>
      <c r="C238" s="511" t="s">
        <v>852</v>
      </c>
      <c r="D238" s="511"/>
      <c r="E238" s="511" t="s">
        <v>1380</v>
      </c>
      <c r="F238" s="1005" t="s">
        <v>554</v>
      </c>
      <c r="G238" s="1006"/>
      <c r="H238" s="1006"/>
      <c r="I238" s="1007"/>
      <c r="J238" s="101" t="s">
        <v>198</v>
      </c>
      <c r="K238" s="40">
        <v>4</v>
      </c>
      <c r="L238" s="27"/>
      <c r="M238" s="390"/>
      <c r="N238" s="998">
        <f t="shared" si="6"/>
        <v>0</v>
      </c>
      <c r="O238" s="998"/>
      <c r="P238" s="998"/>
      <c r="Q238" s="998"/>
      <c r="R238" s="619"/>
      <c r="S238" s="617"/>
      <c r="T238" s="620"/>
      <c r="U238" s="621"/>
      <c r="V238" s="622"/>
      <c r="W238" s="622"/>
      <c r="X238" s="622"/>
      <c r="Y238" s="622"/>
      <c r="Z238" s="622"/>
      <c r="AA238" s="623"/>
      <c r="AC238" s="105"/>
      <c r="AU238" s="624"/>
      <c r="AY238" s="624"/>
      <c r="BE238" s="625"/>
      <c r="BF238" s="625"/>
      <c r="BG238" s="625"/>
      <c r="BH238" s="625"/>
      <c r="BI238" s="625"/>
      <c r="BJ238" s="624"/>
      <c r="BK238" s="625"/>
      <c r="BL238" s="624"/>
      <c r="BM238" s="624"/>
    </row>
    <row r="239" spans="1:65" s="162" customFormat="1" ht="30" customHeight="1">
      <c r="A239" s="58"/>
      <c r="B239" s="455"/>
      <c r="C239" s="511" t="s">
        <v>853</v>
      </c>
      <c r="D239" s="511"/>
      <c r="E239" s="511" t="s">
        <v>1381</v>
      </c>
      <c r="F239" s="1015" t="s">
        <v>579</v>
      </c>
      <c r="G239" s="1016"/>
      <c r="H239" s="1016"/>
      <c r="I239" s="1017"/>
      <c r="J239" s="133" t="s">
        <v>198</v>
      </c>
      <c r="K239" s="42">
        <v>4</v>
      </c>
      <c r="L239" s="21"/>
      <c r="M239" s="390"/>
      <c r="N239" s="948">
        <f t="shared" si="6"/>
        <v>0</v>
      </c>
      <c r="O239" s="948"/>
      <c r="P239" s="948"/>
      <c r="Q239" s="948"/>
      <c r="R239" s="456"/>
      <c r="S239" s="58"/>
      <c r="T239" s="483"/>
      <c r="U239" s="221"/>
      <c r="V239" s="408"/>
      <c r="W239" s="408"/>
      <c r="X239" s="408"/>
      <c r="Y239" s="408"/>
      <c r="Z239" s="408"/>
      <c r="AA239" s="409"/>
      <c r="AC239" s="105"/>
      <c r="AU239" s="448"/>
      <c r="AY239" s="448"/>
      <c r="BE239" s="484"/>
      <c r="BF239" s="484"/>
      <c r="BG239" s="484"/>
      <c r="BH239" s="484"/>
      <c r="BI239" s="484"/>
      <c r="BJ239" s="448"/>
      <c r="BK239" s="484"/>
      <c r="BL239" s="448"/>
      <c r="BM239" s="448"/>
    </row>
    <row r="240" spans="1:65" s="191" customFormat="1" ht="30" customHeight="1">
      <c r="A240" s="617"/>
      <c r="B240" s="618"/>
      <c r="C240" s="511" t="s">
        <v>854</v>
      </c>
      <c r="D240" s="511"/>
      <c r="E240" s="511" t="s">
        <v>1382</v>
      </c>
      <c r="F240" s="1005" t="s">
        <v>558</v>
      </c>
      <c r="G240" s="1006"/>
      <c r="H240" s="1006"/>
      <c r="I240" s="1007"/>
      <c r="J240" s="101" t="s">
        <v>198</v>
      </c>
      <c r="K240" s="40">
        <v>4</v>
      </c>
      <c r="L240" s="27"/>
      <c r="M240" s="390"/>
      <c r="N240" s="998">
        <f t="shared" si="6"/>
        <v>0</v>
      </c>
      <c r="O240" s="998"/>
      <c r="P240" s="998"/>
      <c r="Q240" s="998"/>
      <c r="R240" s="619"/>
      <c r="S240" s="617"/>
      <c r="T240" s="620"/>
      <c r="U240" s="621"/>
      <c r="V240" s="622"/>
      <c r="W240" s="622"/>
      <c r="X240" s="622"/>
      <c r="Y240" s="622"/>
      <c r="Z240" s="622"/>
      <c r="AA240" s="623"/>
      <c r="AC240" s="105"/>
      <c r="AU240" s="624"/>
      <c r="AY240" s="624"/>
      <c r="BE240" s="625"/>
      <c r="BF240" s="625"/>
      <c r="BG240" s="625"/>
      <c r="BH240" s="625"/>
      <c r="BI240" s="625"/>
      <c r="BJ240" s="624"/>
      <c r="BK240" s="625"/>
      <c r="BL240" s="624"/>
      <c r="BM240" s="624"/>
    </row>
    <row r="241" spans="1:65" s="162" customFormat="1" ht="30" customHeight="1">
      <c r="A241" s="58"/>
      <c r="B241" s="455"/>
      <c r="C241" s="511" t="s">
        <v>855</v>
      </c>
      <c r="D241" s="511"/>
      <c r="E241" s="511" t="s">
        <v>1383</v>
      </c>
      <c r="F241" s="1015" t="s">
        <v>565</v>
      </c>
      <c r="G241" s="1016"/>
      <c r="H241" s="1016"/>
      <c r="I241" s="1017"/>
      <c r="J241" s="133" t="s">
        <v>198</v>
      </c>
      <c r="K241" s="42">
        <v>4</v>
      </c>
      <c r="L241" s="21"/>
      <c r="M241" s="390"/>
      <c r="N241" s="948">
        <f t="shared" si="6"/>
        <v>0</v>
      </c>
      <c r="O241" s="948"/>
      <c r="P241" s="948"/>
      <c r="Q241" s="948"/>
      <c r="R241" s="456"/>
      <c r="S241" s="58"/>
      <c r="T241" s="483"/>
      <c r="U241" s="221"/>
      <c r="V241" s="408"/>
      <c r="W241" s="408"/>
      <c r="X241" s="408"/>
      <c r="Y241" s="408"/>
      <c r="Z241" s="408"/>
      <c r="AA241" s="409"/>
      <c r="AC241" s="105"/>
      <c r="AU241" s="448"/>
      <c r="AY241" s="448"/>
      <c r="BE241" s="484"/>
      <c r="BF241" s="484"/>
      <c r="BG241" s="484"/>
      <c r="BH241" s="484"/>
      <c r="BI241" s="484"/>
      <c r="BJ241" s="448"/>
      <c r="BK241" s="484"/>
      <c r="BL241" s="448"/>
      <c r="BM241" s="448"/>
    </row>
    <row r="242" spans="1:65" s="191" customFormat="1" ht="30" customHeight="1">
      <c r="A242" s="617"/>
      <c r="B242" s="618"/>
      <c r="C242" s="511" t="s">
        <v>856</v>
      </c>
      <c r="D242" s="511"/>
      <c r="E242" s="511" t="s">
        <v>1384</v>
      </c>
      <c r="F242" s="1005" t="s">
        <v>566</v>
      </c>
      <c r="G242" s="1006"/>
      <c r="H242" s="1006"/>
      <c r="I242" s="1007"/>
      <c r="J242" s="101" t="s">
        <v>198</v>
      </c>
      <c r="K242" s="40">
        <v>4</v>
      </c>
      <c r="L242" s="27"/>
      <c r="M242" s="390"/>
      <c r="N242" s="998">
        <f t="shared" si="6"/>
        <v>0</v>
      </c>
      <c r="O242" s="998"/>
      <c r="P242" s="998"/>
      <c r="Q242" s="998"/>
      <c r="R242" s="619"/>
      <c r="S242" s="617"/>
      <c r="T242" s="620"/>
      <c r="U242" s="621"/>
      <c r="V242" s="622"/>
      <c r="W242" s="622"/>
      <c r="X242" s="622"/>
      <c r="Y242" s="622"/>
      <c r="Z242" s="622"/>
      <c r="AA242" s="623"/>
      <c r="AC242" s="105"/>
      <c r="AU242" s="624"/>
      <c r="AY242" s="624"/>
      <c r="BE242" s="625"/>
      <c r="BF242" s="625"/>
      <c r="BG242" s="625"/>
      <c r="BH242" s="625"/>
      <c r="BI242" s="625"/>
      <c r="BJ242" s="624"/>
      <c r="BK242" s="625"/>
      <c r="BL242" s="624"/>
      <c r="BM242" s="624"/>
    </row>
    <row r="243" spans="1:65" s="162" customFormat="1" ht="30" customHeight="1">
      <c r="A243" s="58"/>
      <c r="B243" s="455"/>
      <c r="C243" s="511" t="s">
        <v>857</v>
      </c>
      <c r="D243" s="511"/>
      <c r="E243" s="511" t="s">
        <v>1385</v>
      </c>
      <c r="F243" s="1015" t="s">
        <v>580</v>
      </c>
      <c r="G243" s="1016"/>
      <c r="H243" s="1016"/>
      <c r="I243" s="1017"/>
      <c r="J243" s="102" t="s">
        <v>198</v>
      </c>
      <c r="K243" s="42">
        <v>4</v>
      </c>
      <c r="L243" s="21"/>
      <c r="M243" s="390"/>
      <c r="N243" s="948">
        <f t="shared" si="6"/>
        <v>0</v>
      </c>
      <c r="O243" s="948"/>
      <c r="P243" s="948"/>
      <c r="Q243" s="948"/>
      <c r="R243" s="456"/>
      <c r="S243" s="58"/>
      <c r="T243" s="483"/>
      <c r="U243" s="221"/>
      <c r="V243" s="408"/>
      <c r="W243" s="408"/>
      <c r="X243" s="408"/>
      <c r="Y243" s="408"/>
      <c r="Z243" s="408"/>
      <c r="AA243" s="409"/>
      <c r="AC243" s="105"/>
      <c r="AU243" s="448"/>
      <c r="AY243" s="448"/>
      <c r="BE243" s="484"/>
      <c r="BF243" s="484"/>
      <c r="BG243" s="484"/>
      <c r="BH243" s="484"/>
      <c r="BI243" s="484"/>
      <c r="BJ243" s="448"/>
      <c r="BK243" s="484"/>
      <c r="BL243" s="448"/>
      <c r="BM243" s="448"/>
    </row>
    <row r="244" spans="1:65" s="191" customFormat="1" ht="30" customHeight="1">
      <c r="A244" s="617"/>
      <c r="B244" s="618"/>
      <c r="C244" s="511" t="s">
        <v>858</v>
      </c>
      <c r="D244" s="511"/>
      <c r="E244" s="511" t="s">
        <v>1386</v>
      </c>
      <c r="F244" s="1005" t="s">
        <v>581</v>
      </c>
      <c r="G244" s="1006"/>
      <c r="H244" s="1006"/>
      <c r="I244" s="1007"/>
      <c r="J244" s="101" t="s">
        <v>198</v>
      </c>
      <c r="K244" s="40">
        <v>4</v>
      </c>
      <c r="L244" s="27"/>
      <c r="M244" s="390"/>
      <c r="N244" s="998">
        <f t="shared" si="6"/>
        <v>0</v>
      </c>
      <c r="O244" s="998"/>
      <c r="P244" s="998"/>
      <c r="Q244" s="998"/>
      <c r="R244" s="619"/>
      <c r="S244" s="617"/>
      <c r="T244" s="620"/>
      <c r="U244" s="621"/>
      <c r="V244" s="622"/>
      <c r="W244" s="622"/>
      <c r="X244" s="622"/>
      <c r="Y244" s="622"/>
      <c r="Z244" s="622"/>
      <c r="AA244" s="623"/>
      <c r="AC244" s="105"/>
      <c r="AU244" s="624"/>
      <c r="AY244" s="624"/>
      <c r="BE244" s="625"/>
      <c r="BF244" s="625"/>
      <c r="BG244" s="625"/>
      <c r="BH244" s="625"/>
      <c r="BI244" s="625"/>
      <c r="BJ244" s="624"/>
      <c r="BK244" s="625"/>
      <c r="BL244" s="624"/>
      <c r="BM244" s="624"/>
    </row>
    <row r="245" spans="1:65" s="162" customFormat="1" ht="30" customHeight="1">
      <c r="A245" s="58"/>
      <c r="B245" s="455"/>
      <c r="C245" s="511" t="s">
        <v>859</v>
      </c>
      <c r="D245" s="511"/>
      <c r="E245" s="511" t="s">
        <v>1387</v>
      </c>
      <c r="F245" s="1015" t="s">
        <v>561</v>
      </c>
      <c r="G245" s="1016"/>
      <c r="H245" s="1016"/>
      <c r="I245" s="1017"/>
      <c r="J245" s="102" t="s">
        <v>198</v>
      </c>
      <c r="K245" s="42">
        <v>4</v>
      </c>
      <c r="L245" s="21"/>
      <c r="M245" s="390"/>
      <c r="N245" s="948">
        <f t="shared" si="6"/>
        <v>0</v>
      </c>
      <c r="O245" s="948"/>
      <c r="P245" s="948"/>
      <c r="Q245" s="948"/>
      <c r="R245" s="456"/>
      <c r="S245" s="58"/>
      <c r="T245" s="483"/>
      <c r="U245" s="221"/>
      <c r="V245" s="408"/>
      <c r="W245" s="408"/>
      <c r="X245" s="408"/>
      <c r="Y245" s="408"/>
      <c r="Z245" s="408"/>
      <c r="AA245" s="409"/>
      <c r="AC245" s="105"/>
      <c r="AU245" s="448"/>
      <c r="AY245" s="448"/>
      <c r="BE245" s="484"/>
      <c r="BF245" s="484"/>
      <c r="BG245" s="484"/>
      <c r="BH245" s="484"/>
      <c r="BI245" s="484"/>
      <c r="BJ245" s="448"/>
      <c r="BK245" s="484"/>
      <c r="BL245" s="448"/>
      <c r="BM245" s="448"/>
    </row>
    <row r="246" spans="1:65" s="191" customFormat="1" ht="30" customHeight="1">
      <c r="A246" s="617"/>
      <c r="B246" s="618"/>
      <c r="C246" s="511" t="s">
        <v>860</v>
      </c>
      <c r="D246" s="511"/>
      <c r="E246" s="511" t="s">
        <v>1388</v>
      </c>
      <c r="F246" s="1005" t="s">
        <v>562</v>
      </c>
      <c r="G246" s="1006"/>
      <c r="H246" s="1006"/>
      <c r="I246" s="1007"/>
      <c r="J246" s="101" t="s">
        <v>198</v>
      </c>
      <c r="K246" s="40">
        <v>4</v>
      </c>
      <c r="L246" s="27"/>
      <c r="M246" s="390"/>
      <c r="N246" s="998">
        <f t="shared" si="6"/>
        <v>0</v>
      </c>
      <c r="O246" s="998"/>
      <c r="P246" s="998"/>
      <c r="Q246" s="998"/>
      <c r="R246" s="619"/>
      <c r="S246" s="617"/>
      <c r="T246" s="620"/>
      <c r="U246" s="621"/>
      <c r="V246" s="622"/>
      <c r="W246" s="622"/>
      <c r="X246" s="622"/>
      <c r="Y246" s="622"/>
      <c r="Z246" s="622"/>
      <c r="AA246" s="623"/>
      <c r="AC246" s="105"/>
      <c r="AU246" s="624"/>
      <c r="AY246" s="624"/>
      <c r="BE246" s="625"/>
      <c r="BF246" s="625"/>
      <c r="BG246" s="625"/>
      <c r="BH246" s="625"/>
      <c r="BI246" s="625"/>
      <c r="BJ246" s="624"/>
      <c r="BK246" s="625"/>
      <c r="BL246" s="624"/>
      <c r="BM246" s="624"/>
    </row>
    <row r="247" spans="1:65" s="162" customFormat="1" ht="30" customHeight="1">
      <c r="A247" s="58"/>
      <c r="B247" s="455"/>
      <c r="C247" s="511" t="s">
        <v>861</v>
      </c>
      <c r="D247" s="511"/>
      <c r="E247" s="511" t="s">
        <v>1389</v>
      </c>
      <c r="F247" s="1025" t="s">
        <v>582</v>
      </c>
      <c r="G247" s="1026"/>
      <c r="H247" s="1026"/>
      <c r="I247" s="1027"/>
      <c r="J247" s="133" t="s">
        <v>198</v>
      </c>
      <c r="K247" s="42">
        <v>4</v>
      </c>
      <c r="L247" s="21"/>
      <c r="M247" s="390"/>
      <c r="N247" s="948">
        <f t="shared" si="6"/>
        <v>0</v>
      </c>
      <c r="O247" s="948"/>
      <c r="P247" s="948"/>
      <c r="Q247" s="948"/>
      <c r="R247" s="456"/>
      <c r="S247" s="58"/>
      <c r="T247" s="483"/>
      <c r="U247" s="221"/>
      <c r="V247" s="408"/>
      <c r="W247" s="408"/>
      <c r="X247" s="408"/>
      <c r="Y247" s="408"/>
      <c r="Z247" s="408"/>
      <c r="AA247" s="409"/>
      <c r="AC247" s="105"/>
      <c r="AU247" s="448"/>
      <c r="AY247" s="448"/>
      <c r="BE247" s="484"/>
      <c r="BF247" s="484"/>
      <c r="BG247" s="484"/>
      <c r="BH247" s="484"/>
      <c r="BI247" s="484"/>
      <c r="BJ247" s="448"/>
      <c r="BK247" s="484"/>
      <c r="BL247" s="448"/>
      <c r="BM247" s="448"/>
    </row>
    <row r="248" spans="1:65" s="191" customFormat="1" ht="30" customHeight="1">
      <c r="A248" s="617"/>
      <c r="B248" s="618"/>
      <c r="C248" s="511" t="s">
        <v>862</v>
      </c>
      <c r="D248" s="511"/>
      <c r="E248" s="511" t="s">
        <v>1390</v>
      </c>
      <c r="F248" s="1005" t="s">
        <v>583</v>
      </c>
      <c r="G248" s="1006"/>
      <c r="H248" s="1006"/>
      <c r="I248" s="1007"/>
      <c r="J248" s="101" t="s">
        <v>198</v>
      </c>
      <c r="K248" s="40">
        <v>4</v>
      </c>
      <c r="L248" s="27"/>
      <c r="M248" s="390"/>
      <c r="N248" s="998">
        <f t="shared" si="6"/>
        <v>0</v>
      </c>
      <c r="O248" s="998"/>
      <c r="P248" s="998"/>
      <c r="Q248" s="998"/>
      <c r="R248" s="619"/>
      <c r="S248" s="617"/>
      <c r="T248" s="620"/>
      <c r="U248" s="621"/>
      <c r="V248" s="622"/>
      <c r="W248" s="622"/>
      <c r="X248" s="622"/>
      <c r="Y248" s="622"/>
      <c r="Z248" s="622"/>
      <c r="AA248" s="623"/>
      <c r="AC248" s="105"/>
      <c r="AU248" s="624"/>
      <c r="AY248" s="624"/>
      <c r="BE248" s="625"/>
      <c r="BF248" s="625"/>
      <c r="BG248" s="625"/>
      <c r="BH248" s="625"/>
      <c r="BI248" s="625"/>
      <c r="BJ248" s="624"/>
      <c r="BK248" s="625"/>
      <c r="BL248" s="624"/>
      <c r="BM248" s="624"/>
    </row>
    <row r="249" spans="1:65" s="162" customFormat="1" ht="30" customHeight="1">
      <c r="A249" s="58"/>
      <c r="B249" s="455"/>
      <c r="C249" s="511" t="s">
        <v>863</v>
      </c>
      <c r="D249" s="511"/>
      <c r="E249" s="511" t="s">
        <v>1391</v>
      </c>
      <c r="F249" s="1015" t="s">
        <v>567</v>
      </c>
      <c r="G249" s="1016"/>
      <c r="H249" s="1016"/>
      <c r="I249" s="1017"/>
      <c r="J249" s="102" t="s">
        <v>198</v>
      </c>
      <c r="K249" s="42">
        <v>1</v>
      </c>
      <c r="L249" s="21"/>
      <c r="M249" s="390"/>
      <c r="N249" s="948">
        <f t="shared" si="6"/>
        <v>0</v>
      </c>
      <c r="O249" s="948"/>
      <c r="P249" s="948"/>
      <c r="Q249" s="948"/>
      <c r="R249" s="456"/>
      <c r="S249" s="58"/>
      <c r="T249" s="483"/>
      <c r="U249" s="221"/>
      <c r="V249" s="408"/>
      <c r="W249" s="408"/>
      <c r="X249" s="408"/>
      <c r="Y249" s="408"/>
      <c r="Z249" s="408"/>
      <c r="AA249" s="409"/>
      <c r="AC249" s="105"/>
      <c r="AU249" s="448"/>
      <c r="AY249" s="448"/>
      <c r="BE249" s="484"/>
      <c r="BF249" s="484"/>
      <c r="BG249" s="484"/>
      <c r="BH249" s="484"/>
      <c r="BI249" s="484"/>
      <c r="BJ249" s="448"/>
      <c r="BK249" s="484"/>
      <c r="BL249" s="448"/>
      <c r="BM249" s="448"/>
    </row>
    <row r="250" spans="1:65" s="191" customFormat="1" ht="30" customHeight="1">
      <c r="A250" s="617"/>
      <c r="B250" s="618"/>
      <c r="C250" s="511" t="s">
        <v>864</v>
      </c>
      <c r="D250" s="511"/>
      <c r="E250" s="511" t="s">
        <v>1405</v>
      </c>
      <c r="F250" s="1005" t="s">
        <v>568</v>
      </c>
      <c r="G250" s="1006"/>
      <c r="H250" s="1006"/>
      <c r="I250" s="1007"/>
      <c r="J250" s="101" t="s">
        <v>198</v>
      </c>
      <c r="K250" s="40">
        <v>1</v>
      </c>
      <c r="L250" s="27"/>
      <c r="M250" s="390"/>
      <c r="N250" s="998">
        <f t="shared" si="6"/>
        <v>0</v>
      </c>
      <c r="O250" s="998"/>
      <c r="P250" s="998"/>
      <c r="Q250" s="998"/>
      <c r="R250" s="619"/>
      <c r="S250" s="617"/>
      <c r="T250" s="620"/>
      <c r="U250" s="621"/>
      <c r="V250" s="622"/>
      <c r="W250" s="622"/>
      <c r="X250" s="622"/>
      <c r="Y250" s="622"/>
      <c r="Z250" s="622"/>
      <c r="AA250" s="623"/>
      <c r="AC250" s="105"/>
      <c r="AU250" s="624"/>
      <c r="AY250" s="624"/>
      <c r="BE250" s="625"/>
      <c r="BF250" s="625"/>
      <c r="BG250" s="625"/>
      <c r="BH250" s="625"/>
      <c r="BI250" s="625"/>
      <c r="BJ250" s="624"/>
      <c r="BK250" s="625"/>
      <c r="BL250" s="624"/>
      <c r="BM250" s="624"/>
    </row>
    <row r="251" spans="1:65" s="162" customFormat="1" ht="30" customHeight="1">
      <c r="A251" s="58"/>
      <c r="B251" s="455"/>
      <c r="C251" s="511" t="s">
        <v>865</v>
      </c>
      <c r="D251" s="511"/>
      <c r="E251" s="511" t="s">
        <v>1392</v>
      </c>
      <c r="F251" s="1015" t="s">
        <v>569</v>
      </c>
      <c r="G251" s="1016"/>
      <c r="H251" s="1016"/>
      <c r="I251" s="1017"/>
      <c r="J251" s="102" t="s">
        <v>198</v>
      </c>
      <c r="K251" s="42">
        <v>1</v>
      </c>
      <c r="L251" s="21"/>
      <c r="M251" s="390"/>
      <c r="N251" s="948">
        <f t="shared" si="6"/>
        <v>0</v>
      </c>
      <c r="O251" s="948"/>
      <c r="P251" s="948"/>
      <c r="Q251" s="948"/>
      <c r="R251" s="456"/>
      <c r="S251" s="58"/>
      <c r="T251" s="483"/>
      <c r="U251" s="221"/>
      <c r="V251" s="408"/>
      <c r="W251" s="408"/>
      <c r="X251" s="408"/>
      <c r="Y251" s="408"/>
      <c r="Z251" s="408"/>
      <c r="AA251" s="409"/>
      <c r="AC251" s="105"/>
      <c r="AU251" s="448"/>
      <c r="AY251" s="448"/>
      <c r="BE251" s="484"/>
      <c r="BF251" s="484"/>
      <c r="BG251" s="484"/>
      <c r="BH251" s="484"/>
      <c r="BI251" s="484"/>
      <c r="BJ251" s="448"/>
      <c r="BK251" s="484"/>
      <c r="BL251" s="448"/>
      <c r="BM251" s="448"/>
    </row>
    <row r="252" spans="1:65" s="191" customFormat="1" ht="30" customHeight="1">
      <c r="A252" s="617"/>
      <c r="B252" s="618"/>
      <c r="C252" s="511" t="s">
        <v>866</v>
      </c>
      <c r="D252" s="511"/>
      <c r="E252" s="511" t="s">
        <v>1393</v>
      </c>
      <c r="F252" s="1005" t="s">
        <v>570</v>
      </c>
      <c r="G252" s="1006"/>
      <c r="H252" s="1006"/>
      <c r="I252" s="1007"/>
      <c r="J252" s="101" t="s">
        <v>198</v>
      </c>
      <c r="K252" s="40">
        <v>1</v>
      </c>
      <c r="L252" s="27"/>
      <c r="M252" s="390"/>
      <c r="N252" s="998">
        <f t="shared" si="6"/>
        <v>0</v>
      </c>
      <c r="O252" s="998"/>
      <c r="P252" s="998"/>
      <c r="Q252" s="998"/>
      <c r="R252" s="619"/>
      <c r="S252" s="617"/>
      <c r="T252" s="620"/>
      <c r="U252" s="621"/>
      <c r="V252" s="622"/>
      <c r="W252" s="622"/>
      <c r="X252" s="622"/>
      <c r="Y252" s="622"/>
      <c r="Z252" s="622"/>
      <c r="AA252" s="623"/>
      <c r="AC252" s="105"/>
      <c r="AU252" s="624"/>
      <c r="AY252" s="624"/>
      <c r="BE252" s="625"/>
      <c r="BF252" s="625"/>
      <c r="BG252" s="625"/>
      <c r="BH252" s="625"/>
      <c r="BI252" s="625"/>
      <c r="BJ252" s="624"/>
      <c r="BK252" s="625"/>
      <c r="BL252" s="624"/>
      <c r="BM252" s="624"/>
    </row>
    <row r="253" spans="1:63" s="635" customFormat="1" ht="37.35" customHeight="1">
      <c r="A253" s="629"/>
      <c r="B253" s="630"/>
      <c r="C253" s="511" t="s">
        <v>867</v>
      </c>
      <c r="D253" s="510"/>
      <c r="E253" s="511" t="s">
        <v>1369</v>
      </c>
      <c r="F253" s="999" t="s">
        <v>247</v>
      </c>
      <c r="G253" s="999"/>
      <c r="H253" s="999"/>
      <c r="I253" s="999"/>
      <c r="J253" s="102" t="s">
        <v>131</v>
      </c>
      <c r="K253" s="44">
        <v>1</v>
      </c>
      <c r="L253" s="21"/>
      <c r="M253" s="390"/>
      <c r="N253" s="948">
        <f>ROUND(L253*K253,2)</f>
        <v>0</v>
      </c>
      <c r="O253" s="948"/>
      <c r="P253" s="948"/>
      <c r="Q253" s="948"/>
      <c r="R253" s="631"/>
      <c r="S253" s="632"/>
      <c r="T253" s="632"/>
      <c r="U253" s="632"/>
      <c r="V253" s="632"/>
      <c r="W253" s="633"/>
      <c r="X253" s="632"/>
      <c r="Y253" s="633"/>
      <c r="Z253" s="632"/>
      <c r="AA253" s="634"/>
      <c r="AC253" s="105"/>
      <c r="AU253" s="636"/>
      <c r="AY253" s="637"/>
      <c r="BK253" s="638"/>
    </row>
    <row r="254" spans="2:47" s="249" customFormat="1" ht="30" customHeight="1">
      <c r="B254" s="247"/>
      <c r="C254" s="511" t="s">
        <v>868</v>
      </c>
      <c r="D254" s="511"/>
      <c r="E254" s="511" t="s">
        <v>1366</v>
      </c>
      <c r="F254" s="954" t="s">
        <v>206</v>
      </c>
      <c r="G254" s="954"/>
      <c r="H254" s="954"/>
      <c r="I254" s="954"/>
      <c r="J254" s="103" t="s">
        <v>2227</v>
      </c>
      <c r="K254" s="45">
        <v>1</v>
      </c>
      <c r="L254" s="29"/>
      <c r="M254" s="390"/>
      <c r="N254" s="948">
        <f>ROUND(L254*K254,2)</f>
        <v>0</v>
      </c>
      <c r="O254" s="948"/>
      <c r="P254" s="948"/>
      <c r="Q254" s="948"/>
      <c r="R254" s="248"/>
      <c r="T254" s="639"/>
      <c r="U254" s="87"/>
      <c r="V254" s="87"/>
      <c r="W254" s="87"/>
      <c r="X254" s="87"/>
      <c r="Y254" s="87"/>
      <c r="Z254" s="87"/>
      <c r="AA254" s="275"/>
      <c r="AC254" s="105"/>
      <c r="AU254" s="240" t="s">
        <v>76</v>
      </c>
    </row>
    <row r="255" spans="2:65" s="249" customFormat="1" ht="30" customHeight="1">
      <c r="B255" s="247"/>
      <c r="C255" s="511" t="s">
        <v>869</v>
      </c>
      <c r="D255" s="511"/>
      <c r="E255" s="511" t="s">
        <v>1367</v>
      </c>
      <c r="F255" s="954" t="s">
        <v>2226</v>
      </c>
      <c r="G255" s="954"/>
      <c r="H255" s="954"/>
      <c r="I255" s="954"/>
      <c r="J255" s="103" t="s">
        <v>2227</v>
      </c>
      <c r="K255" s="45">
        <v>1</v>
      </c>
      <c r="L255" s="29"/>
      <c r="M255" s="390"/>
      <c r="N255" s="948">
        <f>ROUND(L255*K255,2)</f>
        <v>0</v>
      </c>
      <c r="O255" s="948"/>
      <c r="P255" s="948"/>
      <c r="Q255" s="948"/>
      <c r="R255" s="248"/>
      <c r="T255" s="640" t="s">
        <v>5</v>
      </c>
      <c r="U255" s="641" t="s">
        <v>36</v>
      </c>
      <c r="V255" s="642">
        <v>0</v>
      </c>
      <c r="W255" s="642" t="e">
        <f>V255*#REF!</f>
        <v>#REF!</v>
      </c>
      <c r="X255" s="642">
        <v>0</v>
      </c>
      <c r="Y255" s="642" t="e">
        <f>X255*#REF!</f>
        <v>#REF!</v>
      </c>
      <c r="Z255" s="642">
        <v>0</v>
      </c>
      <c r="AA255" s="643" t="e">
        <f>Z255*#REF!</f>
        <v>#REF!</v>
      </c>
      <c r="AC255" s="105"/>
      <c r="AU255" s="240" t="s">
        <v>76</v>
      </c>
      <c r="AY255" s="240" t="s">
        <v>125</v>
      </c>
      <c r="BE255" s="250">
        <f>IF(U255="základní",#REF!,0)</f>
        <v>0</v>
      </c>
      <c r="BF255" s="250" t="e">
        <f>IF(U255="snížená",#REF!,0)</f>
        <v>#REF!</v>
      </c>
      <c r="BG255" s="250">
        <f>IF(U255="zákl. přenesená",#REF!,0)</f>
        <v>0</v>
      </c>
      <c r="BH255" s="250">
        <f>IF(U255="sníž. přenesená",#REF!,0)</f>
        <v>0</v>
      </c>
      <c r="BI255" s="250">
        <f>IF(U255="nulová",#REF!,0)</f>
        <v>0</v>
      </c>
      <c r="BJ255" s="240" t="s">
        <v>80</v>
      </c>
      <c r="BK255" s="250" t="e">
        <f>ROUND(#REF!*#REF!,2)</f>
        <v>#REF!</v>
      </c>
      <c r="BL255" s="240" t="s">
        <v>128</v>
      </c>
      <c r="BM255" s="240" t="s">
        <v>139</v>
      </c>
    </row>
    <row r="256" spans="1:63" s="394" customFormat="1" ht="37.35" customHeight="1">
      <c r="A256" s="546"/>
      <c r="B256" s="389"/>
      <c r="C256" s="644"/>
      <c r="D256" s="597" t="s">
        <v>585</v>
      </c>
      <c r="E256" s="645"/>
      <c r="F256" s="390"/>
      <c r="G256" s="390"/>
      <c r="H256" s="390"/>
      <c r="I256" s="390"/>
      <c r="J256" s="390"/>
      <c r="K256" s="46"/>
      <c r="L256" s="738"/>
      <c r="M256" s="390"/>
      <c r="N256" s="646"/>
      <c r="O256" s="647"/>
      <c r="P256" s="647"/>
      <c r="Q256" s="647"/>
      <c r="R256" s="391"/>
      <c r="S256" s="388"/>
      <c r="T256" s="388"/>
      <c r="U256" s="388"/>
      <c r="V256" s="388"/>
      <c r="W256" s="392"/>
      <c r="X256" s="388"/>
      <c r="Y256" s="392"/>
      <c r="Z256" s="388"/>
      <c r="AA256" s="393"/>
      <c r="AC256" s="105"/>
      <c r="AU256" s="395"/>
      <c r="AY256" s="396"/>
      <c r="BK256" s="397"/>
    </row>
    <row r="257" spans="1:63" s="654" customFormat="1" ht="45.75" customHeight="1">
      <c r="A257" s="649"/>
      <c r="B257" s="650"/>
      <c r="C257" s="511" t="s">
        <v>870</v>
      </c>
      <c r="D257" s="511"/>
      <c r="E257" s="511" t="s">
        <v>1352</v>
      </c>
      <c r="F257" s="999" t="s">
        <v>252</v>
      </c>
      <c r="G257" s="999"/>
      <c r="H257" s="999"/>
      <c r="I257" s="999"/>
      <c r="J257" s="94" t="s">
        <v>131</v>
      </c>
      <c r="K257" s="43">
        <v>1</v>
      </c>
      <c r="L257" s="21"/>
      <c r="M257" s="390"/>
      <c r="N257" s="948">
        <f aca="true" t="shared" si="7" ref="N257:N278">ROUND(L257*K257,2)</f>
        <v>0</v>
      </c>
      <c r="O257" s="948"/>
      <c r="P257" s="948"/>
      <c r="Q257" s="948"/>
      <c r="R257" s="651"/>
      <c r="S257" s="649"/>
      <c r="T257" s="649"/>
      <c r="U257" s="649"/>
      <c r="V257" s="649"/>
      <c r="W257" s="652" t="e">
        <f>SUM(W261:W263)</f>
        <v>#REF!</v>
      </c>
      <c r="X257" s="649"/>
      <c r="Y257" s="652" t="e">
        <f>SUM(Y261:Y263)</f>
        <v>#REF!</v>
      </c>
      <c r="Z257" s="649"/>
      <c r="AA257" s="653" t="e">
        <f>SUM(AA261:AA263)</f>
        <v>#REF!</v>
      </c>
      <c r="AC257" s="105"/>
      <c r="AU257" s="655" t="s">
        <v>69</v>
      </c>
      <c r="AY257" s="656" t="s">
        <v>125</v>
      </c>
      <c r="BK257" s="657" t="e">
        <f>SUM(BK261:BK263)</f>
        <v>#REF!</v>
      </c>
    </row>
    <row r="258" spans="1:63" s="663" customFormat="1" ht="30" customHeight="1">
      <c r="A258" s="658"/>
      <c r="B258" s="659"/>
      <c r="C258" s="626"/>
      <c r="D258" s="626"/>
      <c r="E258" s="626"/>
      <c r="F258" s="1076" t="s">
        <v>546</v>
      </c>
      <c r="G258" s="1077"/>
      <c r="H258" s="1077"/>
      <c r="I258" s="1078"/>
      <c r="J258" s="487"/>
      <c r="K258" s="47"/>
      <c r="L258" s="32"/>
      <c r="M258" s="390"/>
      <c r="N258" s="1037"/>
      <c r="O258" s="1037"/>
      <c r="P258" s="1037"/>
      <c r="Q258" s="1037"/>
      <c r="R258" s="660"/>
      <c r="S258" s="658"/>
      <c r="T258" s="658"/>
      <c r="U258" s="658"/>
      <c r="V258" s="658"/>
      <c r="W258" s="661"/>
      <c r="X258" s="658"/>
      <c r="Y258" s="661"/>
      <c r="Z258" s="658"/>
      <c r="AA258" s="662"/>
      <c r="AC258" s="105"/>
      <c r="AU258" s="664" t="s">
        <v>69</v>
      </c>
      <c r="AY258" s="665" t="s">
        <v>125</v>
      </c>
      <c r="BK258" s="666">
        <f>SUM(BK263:BK263)</f>
        <v>0</v>
      </c>
    </row>
    <row r="259" spans="1:63" s="671" customFormat="1" ht="30" customHeight="1">
      <c r="A259" s="644"/>
      <c r="B259" s="667"/>
      <c r="C259" s="511" t="s">
        <v>871</v>
      </c>
      <c r="D259" s="511"/>
      <c r="E259" s="511" t="s">
        <v>1327</v>
      </c>
      <c r="F259" s="1015" t="s">
        <v>536</v>
      </c>
      <c r="G259" s="1016"/>
      <c r="H259" s="1016"/>
      <c r="I259" s="1017"/>
      <c r="J259" s="94" t="s">
        <v>133</v>
      </c>
      <c r="K259" s="43">
        <f>0.9+2+0.8+4.48+0.7+1.65+0.25+1.05+1.25+1.13+0.43+1.15+0.4+0.32+0.5+0.7+1.5</f>
        <v>19.21</v>
      </c>
      <c r="L259" s="21"/>
      <c r="M259" s="390"/>
      <c r="N259" s="948">
        <f t="shared" si="7"/>
        <v>0</v>
      </c>
      <c r="O259" s="948"/>
      <c r="P259" s="948"/>
      <c r="Q259" s="948"/>
      <c r="R259" s="668"/>
      <c r="S259" s="644"/>
      <c r="T259" s="644"/>
      <c r="U259" s="644"/>
      <c r="V259" s="644"/>
      <c r="W259" s="669">
        <f>SUM(W263:W263)</f>
        <v>0</v>
      </c>
      <c r="X259" s="644"/>
      <c r="Y259" s="669">
        <f>SUM(Y263:Y263)</f>
        <v>0</v>
      </c>
      <c r="Z259" s="644"/>
      <c r="AA259" s="670">
        <f>SUM(AA263:AA263)</f>
        <v>0</v>
      </c>
      <c r="AC259" s="105"/>
      <c r="AU259" s="672" t="s">
        <v>69</v>
      </c>
      <c r="AY259" s="673" t="s">
        <v>125</v>
      </c>
      <c r="BK259" s="519">
        <f>SUM(BK263:BK263)</f>
        <v>0</v>
      </c>
    </row>
    <row r="260" spans="1:63" s="77" customFormat="1" ht="30" customHeight="1">
      <c r="A260" s="674"/>
      <c r="B260" s="618"/>
      <c r="C260" s="511" t="s">
        <v>872</v>
      </c>
      <c r="D260" s="511"/>
      <c r="E260" s="511" t="s">
        <v>1328</v>
      </c>
      <c r="F260" s="1005" t="s">
        <v>535</v>
      </c>
      <c r="G260" s="1006"/>
      <c r="H260" s="1006"/>
      <c r="I260" s="1007"/>
      <c r="J260" s="101" t="s">
        <v>133</v>
      </c>
      <c r="K260" s="40">
        <f>K259*1.1</f>
        <v>21.131000000000004</v>
      </c>
      <c r="L260" s="27"/>
      <c r="M260" s="390"/>
      <c r="N260" s="998">
        <f t="shared" si="7"/>
        <v>0</v>
      </c>
      <c r="O260" s="998"/>
      <c r="P260" s="998"/>
      <c r="Q260" s="998"/>
      <c r="R260" s="619"/>
      <c r="S260" s="674"/>
      <c r="T260" s="674"/>
      <c r="U260" s="674"/>
      <c r="V260" s="674"/>
      <c r="W260" s="675"/>
      <c r="X260" s="674"/>
      <c r="Y260" s="675"/>
      <c r="Z260" s="674"/>
      <c r="AA260" s="676"/>
      <c r="AC260" s="105"/>
      <c r="AU260" s="677" t="s">
        <v>69</v>
      </c>
      <c r="AY260" s="678" t="s">
        <v>125</v>
      </c>
      <c r="BK260" s="625" t="e">
        <f>SUM(#REF!)</f>
        <v>#REF!</v>
      </c>
    </row>
    <row r="261" spans="1:65" s="191" customFormat="1" ht="30" customHeight="1">
      <c r="A261" s="617"/>
      <c r="B261" s="618"/>
      <c r="C261" s="511" t="s">
        <v>873</v>
      </c>
      <c r="D261" s="511"/>
      <c r="E261" s="511" t="s">
        <v>1329</v>
      </c>
      <c r="F261" s="1005" t="s">
        <v>529</v>
      </c>
      <c r="G261" s="1006"/>
      <c r="H261" s="1006"/>
      <c r="I261" s="1007"/>
      <c r="J261" s="101" t="s">
        <v>198</v>
      </c>
      <c r="K261" s="40">
        <v>12</v>
      </c>
      <c r="L261" s="27"/>
      <c r="M261" s="390"/>
      <c r="N261" s="998">
        <f t="shared" si="7"/>
        <v>0</v>
      </c>
      <c r="O261" s="998"/>
      <c r="P261" s="998"/>
      <c r="Q261" s="998"/>
      <c r="R261" s="619"/>
      <c r="S261" s="617"/>
      <c r="T261" s="620" t="s">
        <v>5</v>
      </c>
      <c r="U261" s="621" t="s">
        <v>36</v>
      </c>
      <c r="V261" s="622">
        <v>0</v>
      </c>
      <c r="W261" s="622" t="e">
        <f>V261*#REF!</f>
        <v>#REF!</v>
      </c>
      <c r="X261" s="622">
        <v>0</v>
      </c>
      <c r="Y261" s="622" t="e">
        <f>X261*#REF!</f>
        <v>#REF!</v>
      </c>
      <c r="Z261" s="622">
        <v>0</v>
      </c>
      <c r="AA261" s="623" t="e">
        <f>Z261*#REF!</f>
        <v>#REF!</v>
      </c>
      <c r="AC261" s="105"/>
      <c r="AU261" s="624" t="s">
        <v>76</v>
      </c>
      <c r="AY261" s="624" t="s">
        <v>125</v>
      </c>
      <c r="BE261" s="625">
        <f>IF(U261="základní",#REF!,0)</f>
        <v>0</v>
      </c>
      <c r="BF261" s="625" t="e">
        <f>IF(U261="snížená",#REF!,0)</f>
        <v>#REF!</v>
      </c>
      <c r="BG261" s="625">
        <f>IF(U261="zákl. přenesená",#REF!,0)</f>
        <v>0</v>
      </c>
      <c r="BH261" s="625">
        <f>IF(U261="sníž. přenesená",#REF!,0)</f>
        <v>0</v>
      </c>
      <c r="BI261" s="625">
        <f>IF(U261="nulová",#REF!,0)</f>
        <v>0</v>
      </c>
      <c r="BJ261" s="624" t="s">
        <v>80</v>
      </c>
      <c r="BK261" s="625" t="e">
        <f>ROUND(#REF!*#REF!,2)</f>
        <v>#REF!</v>
      </c>
      <c r="BL261" s="624" t="s">
        <v>128</v>
      </c>
      <c r="BM261" s="624" t="s">
        <v>137</v>
      </c>
    </row>
    <row r="262" spans="1:65" s="191" customFormat="1" ht="30" customHeight="1">
      <c r="A262" s="617"/>
      <c r="B262" s="618"/>
      <c r="C262" s="511" t="s">
        <v>874</v>
      </c>
      <c r="D262" s="511"/>
      <c r="E262" s="511" t="s">
        <v>1330</v>
      </c>
      <c r="F262" s="1005" t="s">
        <v>530</v>
      </c>
      <c r="G262" s="1006"/>
      <c r="H262" s="1006"/>
      <c r="I262" s="1007"/>
      <c r="J262" s="101" t="s">
        <v>198</v>
      </c>
      <c r="K262" s="40">
        <v>4</v>
      </c>
      <c r="L262" s="27"/>
      <c r="M262" s="390"/>
      <c r="N262" s="998">
        <f t="shared" si="7"/>
        <v>0</v>
      </c>
      <c r="O262" s="998"/>
      <c r="P262" s="998"/>
      <c r="Q262" s="998"/>
      <c r="R262" s="619"/>
      <c r="S262" s="617"/>
      <c r="T262" s="679"/>
      <c r="U262" s="621"/>
      <c r="V262" s="622"/>
      <c r="W262" s="622"/>
      <c r="X262" s="622"/>
      <c r="Y262" s="622"/>
      <c r="Z262" s="622"/>
      <c r="AA262" s="623"/>
      <c r="AC262" s="105"/>
      <c r="AU262" s="624"/>
      <c r="AY262" s="624"/>
      <c r="BE262" s="625"/>
      <c r="BF262" s="625"/>
      <c r="BG262" s="625"/>
      <c r="BH262" s="625"/>
      <c r="BI262" s="625"/>
      <c r="BJ262" s="624"/>
      <c r="BK262" s="625"/>
      <c r="BL262" s="624"/>
      <c r="BM262" s="624"/>
    </row>
    <row r="263" spans="1:47" s="191" customFormat="1" ht="30" customHeight="1">
      <c r="A263" s="617"/>
      <c r="B263" s="618"/>
      <c r="C263" s="511" t="s">
        <v>875</v>
      </c>
      <c r="D263" s="511"/>
      <c r="E263" s="511" t="s">
        <v>1357</v>
      </c>
      <c r="F263" s="1005" t="s">
        <v>575</v>
      </c>
      <c r="G263" s="1006"/>
      <c r="H263" s="1006"/>
      <c r="I263" s="1007"/>
      <c r="J263" s="101" t="s">
        <v>198</v>
      </c>
      <c r="K263" s="40">
        <v>1</v>
      </c>
      <c r="L263" s="27"/>
      <c r="M263" s="390"/>
      <c r="N263" s="998">
        <f t="shared" si="7"/>
        <v>0</v>
      </c>
      <c r="O263" s="998"/>
      <c r="P263" s="998"/>
      <c r="Q263" s="998"/>
      <c r="R263" s="619"/>
      <c r="S263" s="617"/>
      <c r="T263" s="617"/>
      <c r="U263" s="617"/>
      <c r="V263" s="617"/>
      <c r="W263" s="617"/>
      <c r="X263" s="617"/>
      <c r="Y263" s="617"/>
      <c r="Z263" s="617"/>
      <c r="AA263" s="680"/>
      <c r="AC263" s="105"/>
      <c r="AU263" s="624" t="s">
        <v>76</v>
      </c>
    </row>
    <row r="264" spans="1:63" s="671" customFormat="1" ht="30" customHeight="1">
      <c r="A264" s="644"/>
      <c r="B264" s="667"/>
      <c r="C264" s="511" t="s">
        <v>876</v>
      </c>
      <c r="D264" s="511"/>
      <c r="E264" s="511" t="s">
        <v>1346</v>
      </c>
      <c r="F264" s="1015" t="s">
        <v>572</v>
      </c>
      <c r="G264" s="1016"/>
      <c r="H264" s="1016"/>
      <c r="I264" s="1017"/>
      <c r="J264" s="94" t="s">
        <v>133</v>
      </c>
      <c r="K264" s="43">
        <f>0.5+0.65</f>
        <v>1.15</v>
      </c>
      <c r="L264" s="21"/>
      <c r="M264" s="390"/>
      <c r="N264" s="948">
        <f t="shared" si="7"/>
        <v>0</v>
      </c>
      <c r="O264" s="948"/>
      <c r="P264" s="948"/>
      <c r="Q264" s="948"/>
      <c r="R264" s="668"/>
      <c r="S264" s="644"/>
      <c r="T264" s="644"/>
      <c r="U264" s="644"/>
      <c r="V264" s="644"/>
      <c r="W264" s="669">
        <f>SUM(W268:W268)</f>
        <v>0</v>
      </c>
      <c r="X264" s="644"/>
      <c r="Y264" s="669">
        <f>SUM(Y268:Y268)</f>
        <v>0</v>
      </c>
      <c r="Z264" s="644"/>
      <c r="AA264" s="670">
        <f>SUM(AA268:AA268)</f>
        <v>0</v>
      </c>
      <c r="AC264" s="105"/>
      <c r="AU264" s="672" t="s">
        <v>69</v>
      </c>
      <c r="AY264" s="673" t="s">
        <v>125</v>
      </c>
      <c r="BK264" s="519" t="e">
        <f>SUM(BK268:BK268)</f>
        <v>#REF!</v>
      </c>
    </row>
    <row r="265" spans="1:63" s="77" customFormat="1" ht="30" customHeight="1">
      <c r="A265" s="674"/>
      <c r="B265" s="618"/>
      <c r="C265" s="511" t="s">
        <v>877</v>
      </c>
      <c r="D265" s="511"/>
      <c r="E265" s="511" t="s">
        <v>1347</v>
      </c>
      <c r="F265" s="1005" t="s">
        <v>573</v>
      </c>
      <c r="G265" s="1006"/>
      <c r="H265" s="1006"/>
      <c r="I265" s="1007"/>
      <c r="J265" s="101" t="s">
        <v>133</v>
      </c>
      <c r="K265" s="40">
        <f>K264*1.1</f>
        <v>1.265</v>
      </c>
      <c r="L265" s="27"/>
      <c r="M265" s="390"/>
      <c r="N265" s="998">
        <f t="shared" si="7"/>
        <v>0</v>
      </c>
      <c r="O265" s="998"/>
      <c r="P265" s="998"/>
      <c r="Q265" s="998"/>
      <c r="R265" s="619"/>
      <c r="S265" s="674"/>
      <c r="T265" s="674"/>
      <c r="U265" s="674"/>
      <c r="V265" s="674"/>
      <c r="W265" s="675"/>
      <c r="X265" s="674"/>
      <c r="Y265" s="675"/>
      <c r="Z265" s="674"/>
      <c r="AA265" s="676"/>
      <c r="AC265" s="105"/>
      <c r="AU265" s="677" t="s">
        <v>69</v>
      </c>
      <c r="AY265" s="678" t="s">
        <v>125</v>
      </c>
      <c r="BK265" s="625" t="e">
        <f>SUM(#REF!)</f>
        <v>#REF!</v>
      </c>
    </row>
    <row r="266" spans="1:47" s="191" customFormat="1" ht="30" customHeight="1">
      <c r="A266" s="617"/>
      <c r="B266" s="618"/>
      <c r="C266" s="511" t="s">
        <v>878</v>
      </c>
      <c r="D266" s="511"/>
      <c r="E266" s="511" t="s">
        <v>1349</v>
      </c>
      <c r="F266" s="1005" t="s">
        <v>586</v>
      </c>
      <c r="G266" s="1006"/>
      <c r="H266" s="1006"/>
      <c r="I266" s="1007"/>
      <c r="J266" s="101" t="s">
        <v>198</v>
      </c>
      <c r="K266" s="40">
        <v>1</v>
      </c>
      <c r="L266" s="27"/>
      <c r="M266" s="390"/>
      <c r="N266" s="998">
        <f t="shared" si="7"/>
        <v>0</v>
      </c>
      <c r="O266" s="998"/>
      <c r="P266" s="998"/>
      <c r="Q266" s="998"/>
      <c r="R266" s="619"/>
      <c r="S266" s="617"/>
      <c r="T266" s="617"/>
      <c r="U266" s="617"/>
      <c r="V266" s="617"/>
      <c r="W266" s="617"/>
      <c r="X266" s="617"/>
      <c r="Y266" s="617"/>
      <c r="Z266" s="617"/>
      <c r="AA266" s="680"/>
      <c r="AC266" s="105"/>
      <c r="AU266" s="624" t="s">
        <v>76</v>
      </c>
    </row>
    <row r="267" spans="1:63" s="671" customFormat="1" ht="30" customHeight="1">
      <c r="A267" s="644"/>
      <c r="B267" s="667"/>
      <c r="C267" s="511" t="s">
        <v>879</v>
      </c>
      <c r="D267" s="511"/>
      <c r="E267" s="511" t="s">
        <v>1354</v>
      </c>
      <c r="F267" s="1015" t="s">
        <v>587</v>
      </c>
      <c r="G267" s="1016"/>
      <c r="H267" s="1016"/>
      <c r="I267" s="1017"/>
      <c r="J267" s="94" t="s">
        <v>133</v>
      </c>
      <c r="K267" s="43">
        <f>0.6+1.7</f>
        <v>2.3</v>
      </c>
      <c r="L267" s="21"/>
      <c r="M267" s="390"/>
      <c r="N267" s="948">
        <f t="shared" si="7"/>
        <v>0</v>
      </c>
      <c r="O267" s="948"/>
      <c r="P267" s="948"/>
      <c r="Q267" s="948"/>
      <c r="R267" s="668"/>
      <c r="S267" s="644"/>
      <c r="T267" s="644"/>
      <c r="U267" s="644"/>
      <c r="V267" s="644"/>
      <c r="W267" s="669">
        <f>SUM(W271:W271)</f>
        <v>0</v>
      </c>
      <c r="X267" s="644"/>
      <c r="Y267" s="669">
        <f>SUM(Y271:Y271)</f>
        <v>0</v>
      </c>
      <c r="Z267" s="644"/>
      <c r="AA267" s="670">
        <f>SUM(AA271:AA271)</f>
        <v>0</v>
      </c>
      <c r="AC267" s="105"/>
      <c r="AU267" s="672" t="s">
        <v>69</v>
      </c>
      <c r="AY267" s="673" t="s">
        <v>125</v>
      </c>
      <c r="BK267" s="519" t="e">
        <f>SUM(BK271:BK271)</f>
        <v>#REF!</v>
      </c>
    </row>
    <row r="268" spans="1:63" s="77" customFormat="1" ht="30" customHeight="1">
      <c r="A268" s="674"/>
      <c r="B268" s="618"/>
      <c r="C268" s="511" t="s">
        <v>880</v>
      </c>
      <c r="D268" s="511"/>
      <c r="E268" s="511" t="s">
        <v>1355</v>
      </c>
      <c r="F268" s="1005" t="s">
        <v>588</v>
      </c>
      <c r="G268" s="1006"/>
      <c r="H268" s="1006"/>
      <c r="I268" s="1007"/>
      <c r="J268" s="101" t="s">
        <v>133</v>
      </c>
      <c r="K268" s="40">
        <f>K267*1.1</f>
        <v>2.53</v>
      </c>
      <c r="L268" s="27"/>
      <c r="M268" s="390"/>
      <c r="N268" s="998">
        <f t="shared" si="7"/>
        <v>0</v>
      </c>
      <c r="O268" s="998"/>
      <c r="P268" s="998"/>
      <c r="Q268" s="998"/>
      <c r="R268" s="619"/>
      <c r="S268" s="674"/>
      <c r="T268" s="674"/>
      <c r="U268" s="674"/>
      <c r="V268" s="674"/>
      <c r="W268" s="675"/>
      <c r="X268" s="674"/>
      <c r="Y268" s="675"/>
      <c r="Z268" s="674"/>
      <c r="AA268" s="676"/>
      <c r="AC268" s="105"/>
      <c r="AU268" s="677" t="s">
        <v>69</v>
      </c>
      <c r="AY268" s="678" t="s">
        <v>125</v>
      </c>
      <c r="BK268" s="625" t="e">
        <f>SUM(#REF!)</f>
        <v>#REF!</v>
      </c>
    </row>
    <row r="269" spans="1:47" s="191" customFormat="1" ht="30" customHeight="1">
      <c r="A269" s="617"/>
      <c r="B269" s="618"/>
      <c r="C269" s="511" t="s">
        <v>881</v>
      </c>
      <c r="D269" s="511"/>
      <c r="E269" s="511" t="s">
        <v>1356</v>
      </c>
      <c r="F269" s="1005" t="s">
        <v>589</v>
      </c>
      <c r="G269" s="1006"/>
      <c r="H269" s="1006"/>
      <c r="I269" s="1007"/>
      <c r="J269" s="101" t="s">
        <v>198</v>
      </c>
      <c r="K269" s="40">
        <v>1</v>
      </c>
      <c r="L269" s="27"/>
      <c r="M269" s="390"/>
      <c r="N269" s="998">
        <f t="shared" si="7"/>
        <v>0</v>
      </c>
      <c r="O269" s="998"/>
      <c r="P269" s="998"/>
      <c r="Q269" s="998"/>
      <c r="R269" s="619"/>
      <c r="S269" s="617"/>
      <c r="T269" s="617"/>
      <c r="U269" s="617"/>
      <c r="V269" s="617"/>
      <c r="W269" s="617"/>
      <c r="X269" s="617"/>
      <c r="Y269" s="617"/>
      <c r="Z269" s="617"/>
      <c r="AA269" s="680"/>
      <c r="AC269" s="105"/>
      <c r="AU269" s="624" t="s">
        <v>76</v>
      </c>
    </row>
    <row r="270" spans="1:63" s="671" customFormat="1" ht="30" customHeight="1">
      <c r="A270" s="644"/>
      <c r="B270" s="667"/>
      <c r="C270" s="511" t="s">
        <v>882</v>
      </c>
      <c r="D270" s="511"/>
      <c r="E270" s="511" t="s">
        <v>1331</v>
      </c>
      <c r="F270" s="1015" t="s">
        <v>537</v>
      </c>
      <c r="G270" s="1016"/>
      <c r="H270" s="1016"/>
      <c r="I270" s="1017"/>
      <c r="J270" s="94" t="s">
        <v>133</v>
      </c>
      <c r="K270" s="43">
        <f>0.71+0.5+3.6+2.4+0.42</f>
        <v>7.630000000000001</v>
      </c>
      <c r="L270" s="21"/>
      <c r="M270" s="390"/>
      <c r="N270" s="948">
        <f t="shared" si="7"/>
        <v>0</v>
      </c>
      <c r="O270" s="948"/>
      <c r="P270" s="948"/>
      <c r="Q270" s="948"/>
      <c r="R270" s="668"/>
      <c r="S270" s="644"/>
      <c r="T270" s="644"/>
      <c r="U270" s="644"/>
      <c r="V270" s="644"/>
      <c r="W270" s="669">
        <f>SUM(W274:W274)</f>
        <v>0</v>
      </c>
      <c r="X270" s="644"/>
      <c r="Y270" s="669">
        <f>SUM(Y274:Y274)</f>
        <v>0</v>
      </c>
      <c r="Z270" s="644"/>
      <c r="AA270" s="670">
        <f>SUM(AA274:AA274)</f>
        <v>0</v>
      </c>
      <c r="AC270" s="105"/>
      <c r="AU270" s="672" t="s">
        <v>69</v>
      </c>
      <c r="AY270" s="673" t="s">
        <v>125</v>
      </c>
      <c r="BK270" s="519">
        <f>SUM(BK274:BK274)</f>
        <v>0</v>
      </c>
    </row>
    <row r="271" spans="1:63" s="77" customFormat="1" ht="30" customHeight="1">
      <c r="A271" s="674"/>
      <c r="B271" s="618"/>
      <c r="C271" s="511" t="s">
        <v>883</v>
      </c>
      <c r="D271" s="511"/>
      <c r="E271" s="511" t="s">
        <v>1332</v>
      </c>
      <c r="F271" s="1005" t="s">
        <v>534</v>
      </c>
      <c r="G271" s="1006"/>
      <c r="H271" s="1006"/>
      <c r="I271" s="1007"/>
      <c r="J271" s="101" t="s">
        <v>133</v>
      </c>
      <c r="K271" s="40">
        <f>K270*1.1</f>
        <v>8.393</v>
      </c>
      <c r="L271" s="27"/>
      <c r="M271" s="390"/>
      <c r="N271" s="998">
        <f t="shared" si="7"/>
        <v>0</v>
      </c>
      <c r="O271" s="998"/>
      <c r="P271" s="998"/>
      <c r="Q271" s="998"/>
      <c r="R271" s="619"/>
      <c r="S271" s="674"/>
      <c r="T271" s="674"/>
      <c r="U271" s="674"/>
      <c r="V271" s="674"/>
      <c r="W271" s="675"/>
      <c r="X271" s="674"/>
      <c r="Y271" s="675"/>
      <c r="Z271" s="674"/>
      <c r="AA271" s="676"/>
      <c r="AC271" s="105"/>
      <c r="AU271" s="677" t="s">
        <v>69</v>
      </c>
      <c r="AY271" s="678" t="s">
        <v>125</v>
      </c>
      <c r="BK271" s="625" t="e">
        <f>SUM(#REF!)</f>
        <v>#REF!</v>
      </c>
    </row>
    <row r="272" spans="1:65" s="191" customFormat="1" ht="30" customHeight="1">
      <c r="A272" s="617"/>
      <c r="B272" s="618"/>
      <c r="C272" s="511" t="s">
        <v>884</v>
      </c>
      <c r="D272" s="511"/>
      <c r="E272" s="511" t="s">
        <v>1333</v>
      </c>
      <c r="F272" s="1005" t="s">
        <v>531</v>
      </c>
      <c r="G272" s="1006"/>
      <c r="H272" s="1006"/>
      <c r="I272" s="1007"/>
      <c r="J272" s="101" t="s">
        <v>198</v>
      </c>
      <c r="K272" s="40">
        <v>4</v>
      </c>
      <c r="L272" s="27"/>
      <c r="M272" s="390"/>
      <c r="N272" s="998">
        <f t="shared" si="7"/>
        <v>0</v>
      </c>
      <c r="O272" s="998"/>
      <c r="P272" s="998"/>
      <c r="Q272" s="998"/>
      <c r="R272" s="619"/>
      <c r="S272" s="617"/>
      <c r="T272" s="620" t="s">
        <v>5</v>
      </c>
      <c r="U272" s="621" t="s">
        <v>36</v>
      </c>
      <c r="V272" s="622">
        <v>0</v>
      </c>
      <c r="W272" s="622" t="e">
        <f>V272*#REF!</f>
        <v>#REF!</v>
      </c>
      <c r="X272" s="622">
        <v>0</v>
      </c>
      <c r="Y272" s="622" t="e">
        <f>X272*#REF!</f>
        <v>#REF!</v>
      </c>
      <c r="Z272" s="622">
        <v>0</v>
      </c>
      <c r="AA272" s="623" t="e">
        <f>Z272*#REF!</f>
        <v>#REF!</v>
      </c>
      <c r="AC272" s="105"/>
      <c r="AU272" s="624" t="s">
        <v>76</v>
      </c>
      <c r="AY272" s="624" t="s">
        <v>125</v>
      </c>
      <c r="BE272" s="625">
        <f>IF(U272="základní",#REF!,0)</f>
        <v>0</v>
      </c>
      <c r="BF272" s="625" t="e">
        <f>IF(U272="snížená",#REF!,0)</f>
        <v>#REF!</v>
      </c>
      <c r="BG272" s="625">
        <f>IF(U272="zákl. přenesená",#REF!,0)</f>
        <v>0</v>
      </c>
      <c r="BH272" s="625">
        <f>IF(U272="sníž. přenesená",#REF!,0)</f>
        <v>0</v>
      </c>
      <c r="BI272" s="625">
        <f>IF(U272="nulová",#REF!,0)</f>
        <v>0</v>
      </c>
      <c r="BJ272" s="624" t="s">
        <v>80</v>
      </c>
      <c r="BK272" s="625" t="e">
        <f>ROUND(#REF!*#REF!,2)</f>
        <v>#REF!</v>
      </c>
      <c r="BL272" s="624" t="s">
        <v>128</v>
      </c>
      <c r="BM272" s="624" t="s">
        <v>137</v>
      </c>
    </row>
    <row r="273" spans="1:47" s="191" customFormat="1" ht="30" customHeight="1">
      <c r="A273" s="617"/>
      <c r="B273" s="618"/>
      <c r="C273" s="511" t="s">
        <v>885</v>
      </c>
      <c r="D273" s="511"/>
      <c r="E273" s="511" t="s">
        <v>1334</v>
      </c>
      <c r="F273" s="1005" t="s">
        <v>532</v>
      </c>
      <c r="G273" s="1006"/>
      <c r="H273" s="1006"/>
      <c r="I273" s="1007"/>
      <c r="J273" s="101" t="s">
        <v>198</v>
      </c>
      <c r="K273" s="40">
        <v>5</v>
      </c>
      <c r="L273" s="27"/>
      <c r="M273" s="390"/>
      <c r="N273" s="998">
        <f t="shared" si="7"/>
        <v>0</v>
      </c>
      <c r="O273" s="998"/>
      <c r="P273" s="998"/>
      <c r="Q273" s="998"/>
      <c r="R273" s="619"/>
      <c r="S273" s="617"/>
      <c r="T273" s="617"/>
      <c r="U273" s="617"/>
      <c r="V273" s="617"/>
      <c r="W273" s="617"/>
      <c r="X273" s="617"/>
      <c r="Y273" s="617"/>
      <c r="Z273" s="617"/>
      <c r="AA273" s="680"/>
      <c r="AC273" s="105"/>
      <c r="AU273" s="624" t="s">
        <v>76</v>
      </c>
    </row>
    <row r="274" spans="1:65" s="162" customFormat="1" ht="30" customHeight="1">
      <c r="A274" s="58"/>
      <c r="B274" s="455"/>
      <c r="C274" s="511" t="s">
        <v>886</v>
      </c>
      <c r="D274" s="511"/>
      <c r="E274" s="511" t="s">
        <v>1336</v>
      </c>
      <c r="F274" s="1015" t="s">
        <v>538</v>
      </c>
      <c r="G274" s="1016"/>
      <c r="H274" s="1016"/>
      <c r="I274" s="1017"/>
      <c r="J274" s="94" t="s">
        <v>133</v>
      </c>
      <c r="K274" s="42">
        <f>4.1+0.37+4.3+4.4+3.91</f>
        <v>17.08</v>
      </c>
      <c r="L274" s="21"/>
      <c r="M274" s="390"/>
      <c r="N274" s="948">
        <f t="shared" si="7"/>
        <v>0</v>
      </c>
      <c r="O274" s="948"/>
      <c r="P274" s="948"/>
      <c r="Q274" s="948"/>
      <c r="R274" s="456"/>
      <c r="S274" s="58"/>
      <c r="T274" s="483"/>
      <c r="U274" s="221"/>
      <c r="V274" s="408"/>
      <c r="W274" s="408"/>
      <c r="X274" s="408"/>
      <c r="Y274" s="408"/>
      <c r="Z274" s="408"/>
      <c r="AA274" s="409"/>
      <c r="AC274" s="105"/>
      <c r="AU274" s="448"/>
      <c r="AY274" s="448"/>
      <c r="BE274" s="484"/>
      <c r="BF274" s="484"/>
      <c r="BG274" s="484"/>
      <c r="BH274" s="484"/>
      <c r="BI274" s="484"/>
      <c r="BJ274" s="448"/>
      <c r="BK274" s="484"/>
      <c r="BL274" s="448"/>
      <c r="BM274" s="448"/>
    </row>
    <row r="275" spans="1:63" s="77" customFormat="1" ht="30" customHeight="1">
      <c r="A275" s="674"/>
      <c r="B275" s="618"/>
      <c r="C275" s="511" t="s">
        <v>887</v>
      </c>
      <c r="D275" s="511"/>
      <c r="E275" s="511" t="s">
        <v>1337</v>
      </c>
      <c r="F275" s="1005" t="s">
        <v>590</v>
      </c>
      <c r="G275" s="1006"/>
      <c r="H275" s="1006"/>
      <c r="I275" s="1007"/>
      <c r="J275" s="101" t="s">
        <v>133</v>
      </c>
      <c r="K275" s="40">
        <f>K274*1.1</f>
        <v>18.788</v>
      </c>
      <c r="L275" s="27"/>
      <c r="M275" s="390"/>
      <c r="N275" s="998">
        <f t="shared" si="7"/>
        <v>0</v>
      </c>
      <c r="O275" s="998"/>
      <c r="P275" s="998"/>
      <c r="Q275" s="998"/>
      <c r="R275" s="619"/>
      <c r="S275" s="674"/>
      <c r="T275" s="674"/>
      <c r="U275" s="674"/>
      <c r="V275" s="674"/>
      <c r="W275" s="675"/>
      <c r="X275" s="674"/>
      <c r="Y275" s="675"/>
      <c r="Z275" s="674"/>
      <c r="AA275" s="676"/>
      <c r="AC275" s="105"/>
      <c r="AU275" s="677" t="s">
        <v>69</v>
      </c>
      <c r="AY275" s="678" t="s">
        <v>125</v>
      </c>
      <c r="BK275" s="625" t="e">
        <f>SUM(#REF!)</f>
        <v>#REF!</v>
      </c>
    </row>
    <row r="276" spans="1:65" s="191" customFormat="1" ht="30" customHeight="1">
      <c r="A276" s="617"/>
      <c r="B276" s="618"/>
      <c r="C276" s="511" t="s">
        <v>888</v>
      </c>
      <c r="D276" s="511"/>
      <c r="E276" s="511" t="s">
        <v>1338</v>
      </c>
      <c r="F276" s="1005" t="s">
        <v>542</v>
      </c>
      <c r="G276" s="1006"/>
      <c r="H276" s="1006"/>
      <c r="I276" s="1007"/>
      <c r="J276" s="101" t="s">
        <v>198</v>
      </c>
      <c r="K276" s="40">
        <v>2</v>
      </c>
      <c r="L276" s="27"/>
      <c r="M276" s="390"/>
      <c r="N276" s="998">
        <f t="shared" si="7"/>
        <v>0</v>
      </c>
      <c r="O276" s="998"/>
      <c r="P276" s="998"/>
      <c r="Q276" s="998"/>
      <c r="R276" s="619"/>
      <c r="S276" s="617"/>
      <c r="T276" s="620" t="s">
        <v>5</v>
      </c>
      <c r="U276" s="621" t="s">
        <v>36</v>
      </c>
      <c r="V276" s="622">
        <v>0</v>
      </c>
      <c r="W276" s="622" t="e">
        <f>V276*#REF!</f>
        <v>#REF!</v>
      </c>
      <c r="X276" s="622">
        <v>0</v>
      </c>
      <c r="Y276" s="622" t="e">
        <f>X276*#REF!</f>
        <v>#REF!</v>
      </c>
      <c r="Z276" s="622">
        <v>0</v>
      </c>
      <c r="AA276" s="623" t="e">
        <f>Z276*#REF!</f>
        <v>#REF!</v>
      </c>
      <c r="AC276" s="105"/>
      <c r="AU276" s="624" t="s">
        <v>76</v>
      </c>
      <c r="AY276" s="624" t="s">
        <v>125</v>
      </c>
      <c r="BE276" s="625">
        <f>IF(U276="základní",#REF!,0)</f>
        <v>0</v>
      </c>
      <c r="BF276" s="625" t="e">
        <f>IF(U276="snížená",#REF!,0)</f>
        <v>#REF!</v>
      </c>
      <c r="BG276" s="625">
        <f>IF(U276="zákl. přenesená",#REF!,0)</f>
        <v>0</v>
      </c>
      <c r="BH276" s="625">
        <f>IF(U276="sníž. přenesená",#REF!,0)</f>
        <v>0</v>
      </c>
      <c r="BI276" s="625">
        <f>IF(U276="nulová",#REF!,0)</f>
        <v>0</v>
      </c>
      <c r="BJ276" s="624" t="s">
        <v>80</v>
      </c>
      <c r="BK276" s="625" t="e">
        <f>ROUND(#REF!*#REF!,2)</f>
        <v>#REF!</v>
      </c>
      <c r="BL276" s="624" t="s">
        <v>128</v>
      </c>
      <c r="BM276" s="624" t="s">
        <v>137</v>
      </c>
    </row>
    <row r="277" spans="1:65" s="191" customFormat="1" ht="30" customHeight="1">
      <c r="A277" s="617"/>
      <c r="B277" s="618"/>
      <c r="C277" s="511" t="s">
        <v>889</v>
      </c>
      <c r="D277" s="511"/>
      <c r="E277" s="511" t="s">
        <v>1339</v>
      </c>
      <c r="F277" s="1005" t="s">
        <v>577</v>
      </c>
      <c r="G277" s="1006"/>
      <c r="H277" s="1006"/>
      <c r="I277" s="1007"/>
      <c r="J277" s="101" t="s">
        <v>198</v>
      </c>
      <c r="K277" s="40">
        <v>1</v>
      </c>
      <c r="L277" s="27"/>
      <c r="M277" s="390"/>
      <c r="N277" s="998">
        <f t="shared" si="7"/>
        <v>0</v>
      </c>
      <c r="O277" s="998"/>
      <c r="P277" s="998"/>
      <c r="Q277" s="998"/>
      <c r="R277" s="619"/>
      <c r="S277" s="617"/>
      <c r="T277" s="679"/>
      <c r="U277" s="621"/>
      <c r="V277" s="622"/>
      <c r="W277" s="622"/>
      <c r="X277" s="622"/>
      <c r="Y277" s="622"/>
      <c r="Z277" s="622"/>
      <c r="AA277" s="623"/>
      <c r="AC277" s="105"/>
      <c r="AU277" s="624"/>
      <c r="AY277" s="624"/>
      <c r="BE277" s="625"/>
      <c r="BF277" s="625"/>
      <c r="BG277" s="625"/>
      <c r="BH277" s="625"/>
      <c r="BI277" s="625"/>
      <c r="BJ277" s="624"/>
      <c r="BK277" s="625"/>
      <c r="BL277" s="624"/>
      <c r="BM277" s="624"/>
    </row>
    <row r="278" spans="1:47" s="191" customFormat="1" ht="30" customHeight="1">
      <c r="A278" s="617"/>
      <c r="B278" s="618"/>
      <c r="C278" s="511" t="s">
        <v>890</v>
      </c>
      <c r="D278" s="511"/>
      <c r="E278" s="511" t="s">
        <v>1340</v>
      </c>
      <c r="F278" s="1005" t="s">
        <v>591</v>
      </c>
      <c r="G278" s="1006"/>
      <c r="H278" s="1006"/>
      <c r="I278" s="1007"/>
      <c r="J278" s="101" t="s">
        <v>198</v>
      </c>
      <c r="K278" s="40">
        <v>1</v>
      </c>
      <c r="L278" s="27"/>
      <c r="M278" s="390"/>
      <c r="N278" s="998">
        <f t="shared" si="7"/>
        <v>0</v>
      </c>
      <c r="O278" s="998"/>
      <c r="P278" s="998"/>
      <c r="Q278" s="998"/>
      <c r="R278" s="619"/>
      <c r="S278" s="617"/>
      <c r="T278" s="617"/>
      <c r="U278" s="617"/>
      <c r="V278" s="617"/>
      <c r="W278" s="617"/>
      <c r="X278" s="617"/>
      <c r="Y278" s="617"/>
      <c r="Z278" s="617"/>
      <c r="AA278" s="680"/>
      <c r="AC278" s="105"/>
      <c r="AU278" s="624" t="s">
        <v>76</v>
      </c>
    </row>
    <row r="279" spans="3:47" s="191" customFormat="1" ht="30" customHeight="1">
      <c r="C279" s="511" t="s">
        <v>891</v>
      </c>
      <c r="D279" s="681"/>
      <c r="E279" s="511" t="s">
        <v>1341</v>
      </c>
      <c r="F279" s="1005" t="s">
        <v>592</v>
      </c>
      <c r="G279" s="1006"/>
      <c r="H279" s="1006"/>
      <c r="I279" s="1007"/>
      <c r="J279" s="101" t="s">
        <v>198</v>
      </c>
      <c r="K279" s="48">
        <v>3</v>
      </c>
      <c r="L279" s="27"/>
      <c r="M279" s="390"/>
      <c r="N279" s="998">
        <f aca="true" t="shared" si="8" ref="N279:N284">ROUND(L279*K279,2)</f>
        <v>0</v>
      </c>
      <c r="O279" s="998"/>
      <c r="P279" s="998"/>
      <c r="Q279" s="998"/>
      <c r="T279" s="682"/>
      <c r="U279" s="617"/>
      <c r="V279" s="617"/>
      <c r="W279" s="617"/>
      <c r="X279" s="617"/>
      <c r="Y279" s="617"/>
      <c r="Z279" s="617"/>
      <c r="AA279" s="680"/>
      <c r="AC279" s="105"/>
      <c r="AU279" s="624" t="s">
        <v>76</v>
      </c>
    </row>
    <row r="280" spans="3:65" s="609" customFormat="1" ht="22.5" customHeight="1">
      <c r="C280" s="626"/>
      <c r="D280" s="683"/>
      <c r="E280" s="683"/>
      <c r="F280" s="957" t="s">
        <v>547</v>
      </c>
      <c r="G280" s="958"/>
      <c r="H280" s="958"/>
      <c r="I280" s="959"/>
      <c r="J280" s="648"/>
      <c r="K280" s="39"/>
      <c r="L280" s="32"/>
      <c r="M280" s="390"/>
      <c r="N280" s="1037"/>
      <c r="O280" s="1037"/>
      <c r="P280" s="1037"/>
      <c r="Q280" s="1037"/>
      <c r="T280" s="684"/>
      <c r="U280" s="612"/>
      <c r="V280" s="613"/>
      <c r="W280" s="613"/>
      <c r="X280" s="613"/>
      <c r="Y280" s="613"/>
      <c r="Z280" s="613"/>
      <c r="AA280" s="614"/>
      <c r="AC280" s="105"/>
      <c r="AU280" s="615" t="s">
        <v>76</v>
      </c>
      <c r="AY280" s="615" t="s">
        <v>125</v>
      </c>
      <c r="BE280" s="616">
        <f>IF(U280="základní",#REF!,0)</f>
        <v>0</v>
      </c>
      <c r="BF280" s="616">
        <f>IF(U280="snížená",#REF!,0)</f>
        <v>0</v>
      </c>
      <c r="BG280" s="616">
        <f>IF(U280="zákl. přenesená",#REF!,0)</f>
        <v>0</v>
      </c>
      <c r="BH280" s="616">
        <f>IF(U280="sníž. přenesená",#REF!,0)</f>
        <v>0</v>
      </c>
      <c r="BI280" s="616">
        <f>IF(U280="nulová",#REF!,0)</f>
        <v>0</v>
      </c>
      <c r="BJ280" s="615" t="s">
        <v>80</v>
      </c>
      <c r="BK280" s="616" t="e">
        <f>ROUND(#REF!*#REF!,2)</f>
        <v>#REF!</v>
      </c>
      <c r="BL280" s="615" t="s">
        <v>128</v>
      </c>
      <c r="BM280" s="615" t="s">
        <v>141</v>
      </c>
    </row>
    <row r="281" spans="3:29" ht="27" customHeight="1">
      <c r="C281" s="511" t="s">
        <v>892</v>
      </c>
      <c r="D281" s="685"/>
      <c r="E281" s="511" t="s">
        <v>1371</v>
      </c>
      <c r="F281" s="1015" t="s">
        <v>548</v>
      </c>
      <c r="G281" s="1016"/>
      <c r="H281" s="1016"/>
      <c r="I281" s="1017"/>
      <c r="J281" s="133" t="s">
        <v>198</v>
      </c>
      <c r="K281" s="49">
        <v>3</v>
      </c>
      <c r="L281" s="21"/>
      <c r="M281" s="390"/>
      <c r="N281" s="948">
        <f t="shared" si="8"/>
        <v>0</v>
      </c>
      <c r="O281" s="948"/>
      <c r="P281" s="948"/>
      <c r="Q281" s="948"/>
      <c r="AC281" s="105"/>
    </row>
    <row r="282" spans="3:65" s="191" customFormat="1" ht="31.5" customHeight="1">
      <c r="C282" s="511" t="s">
        <v>893</v>
      </c>
      <c r="D282" s="681"/>
      <c r="E282" s="511" t="s">
        <v>1372</v>
      </c>
      <c r="F282" s="1005" t="s">
        <v>556</v>
      </c>
      <c r="G282" s="1006"/>
      <c r="H282" s="1006"/>
      <c r="I282" s="1007"/>
      <c r="J282" s="101" t="s">
        <v>198</v>
      </c>
      <c r="K282" s="48">
        <v>3</v>
      </c>
      <c r="L282" s="27"/>
      <c r="M282" s="390"/>
      <c r="N282" s="998">
        <f t="shared" si="8"/>
        <v>0</v>
      </c>
      <c r="O282" s="998"/>
      <c r="P282" s="998"/>
      <c r="Q282" s="998"/>
      <c r="T282" s="686" t="s">
        <v>5</v>
      </c>
      <c r="U282" s="621" t="s">
        <v>36</v>
      </c>
      <c r="V282" s="622">
        <v>0</v>
      </c>
      <c r="W282" s="622" t="e">
        <f>V282*#REF!</f>
        <v>#REF!</v>
      </c>
      <c r="X282" s="622">
        <v>0</v>
      </c>
      <c r="Y282" s="622" t="e">
        <f>X282*#REF!</f>
        <v>#REF!</v>
      </c>
      <c r="Z282" s="622">
        <v>0</v>
      </c>
      <c r="AA282" s="623" t="e">
        <f>Z282*#REF!</f>
        <v>#REF!</v>
      </c>
      <c r="AC282" s="105"/>
      <c r="AU282" s="624" t="s">
        <v>76</v>
      </c>
      <c r="AY282" s="624" t="s">
        <v>125</v>
      </c>
      <c r="BE282" s="625">
        <f>IF(U282="základní",#REF!,0)</f>
        <v>0</v>
      </c>
      <c r="BF282" s="625" t="e">
        <f>IF(U282="snížená",#REF!,0)</f>
        <v>#REF!</v>
      </c>
      <c r="BG282" s="625">
        <f>IF(U282="zákl. přenesená",#REF!,0)</f>
        <v>0</v>
      </c>
      <c r="BH282" s="625">
        <f>IF(U282="sníž. přenesená",#REF!,0)</f>
        <v>0</v>
      </c>
      <c r="BI282" s="625">
        <f>IF(U282="nulová",#REF!,0)</f>
        <v>0</v>
      </c>
      <c r="BJ282" s="624" t="s">
        <v>80</v>
      </c>
      <c r="BK282" s="625" t="e">
        <f>ROUND(#REF!*#REF!,2)</f>
        <v>#REF!</v>
      </c>
      <c r="BL282" s="624" t="s">
        <v>128</v>
      </c>
      <c r="BM282" s="624" t="s">
        <v>142</v>
      </c>
    </row>
    <row r="283" spans="3:47" s="162" customFormat="1" ht="30" customHeight="1">
      <c r="C283" s="511" t="s">
        <v>894</v>
      </c>
      <c r="D283" s="681"/>
      <c r="E283" s="511" t="s">
        <v>1373</v>
      </c>
      <c r="F283" s="1015" t="s">
        <v>549</v>
      </c>
      <c r="G283" s="1016"/>
      <c r="H283" s="1016"/>
      <c r="I283" s="1017"/>
      <c r="J283" s="133" t="s">
        <v>198</v>
      </c>
      <c r="K283" s="50">
        <v>3</v>
      </c>
      <c r="L283" s="21"/>
      <c r="M283" s="390"/>
      <c r="N283" s="948">
        <f t="shared" si="8"/>
        <v>0</v>
      </c>
      <c r="O283" s="948"/>
      <c r="P283" s="948"/>
      <c r="Q283" s="948"/>
      <c r="T283" s="506"/>
      <c r="U283" s="58"/>
      <c r="V283" s="58"/>
      <c r="W283" s="58"/>
      <c r="X283" s="58"/>
      <c r="Y283" s="58"/>
      <c r="Z283" s="58"/>
      <c r="AA283" s="507"/>
      <c r="AC283" s="105"/>
      <c r="AU283" s="448" t="s">
        <v>76</v>
      </c>
    </row>
    <row r="284" spans="3:65" s="191" customFormat="1" ht="31.5" customHeight="1">
      <c r="C284" s="511" t="s">
        <v>895</v>
      </c>
      <c r="D284" s="681"/>
      <c r="E284" s="511" t="s">
        <v>1374</v>
      </c>
      <c r="F284" s="1005" t="s">
        <v>555</v>
      </c>
      <c r="G284" s="1006"/>
      <c r="H284" s="1006"/>
      <c r="I284" s="1007"/>
      <c r="J284" s="101" t="s">
        <v>198</v>
      </c>
      <c r="K284" s="48">
        <v>3</v>
      </c>
      <c r="L284" s="27"/>
      <c r="M284" s="390"/>
      <c r="N284" s="998">
        <f t="shared" si="8"/>
        <v>0</v>
      </c>
      <c r="O284" s="998"/>
      <c r="P284" s="998"/>
      <c r="Q284" s="998"/>
      <c r="T284" s="686" t="s">
        <v>5</v>
      </c>
      <c r="U284" s="621" t="s">
        <v>36</v>
      </c>
      <c r="V284" s="622">
        <v>0</v>
      </c>
      <c r="W284" s="622" t="e">
        <f>V284*#REF!</f>
        <v>#REF!</v>
      </c>
      <c r="X284" s="622">
        <v>0</v>
      </c>
      <c r="Y284" s="622" t="e">
        <f>X284*#REF!</f>
        <v>#REF!</v>
      </c>
      <c r="Z284" s="622">
        <v>0</v>
      </c>
      <c r="AA284" s="623" t="e">
        <f>Z284*#REF!</f>
        <v>#REF!</v>
      </c>
      <c r="AC284" s="105"/>
      <c r="AU284" s="624" t="s">
        <v>76</v>
      </c>
      <c r="AY284" s="624" t="s">
        <v>125</v>
      </c>
      <c r="BE284" s="625">
        <f>IF(U284="základní",#REF!,0)</f>
        <v>0</v>
      </c>
      <c r="BF284" s="625" t="e">
        <f>IF(U284="snížená",#REF!,0)</f>
        <v>#REF!</v>
      </c>
      <c r="BG284" s="625">
        <f>IF(U284="zákl. přenesená",#REF!,0)</f>
        <v>0</v>
      </c>
      <c r="BH284" s="625">
        <f>IF(U284="sníž. přenesená",#REF!,0)</f>
        <v>0</v>
      </c>
      <c r="BI284" s="625">
        <f>IF(U284="nulová",#REF!,0)</f>
        <v>0</v>
      </c>
      <c r="BJ284" s="624" t="s">
        <v>80</v>
      </c>
      <c r="BK284" s="625" t="e">
        <f>ROUND(#REF!*#REF!,2)</f>
        <v>#REF!</v>
      </c>
      <c r="BL284" s="624" t="s">
        <v>128</v>
      </c>
      <c r="BM284" s="624" t="s">
        <v>143</v>
      </c>
    </row>
    <row r="285" spans="3:47" s="162" customFormat="1" ht="27.6" customHeight="1">
      <c r="C285" s="511" t="s">
        <v>896</v>
      </c>
      <c r="D285" s="681"/>
      <c r="E285" s="511" t="s">
        <v>1375</v>
      </c>
      <c r="F285" s="1025" t="s">
        <v>550</v>
      </c>
      <c r="G285" s="1026"/>
      <c r="H285" s="1026"/>
      <c r="I285" s="1027"/>
      <c r="J285" s="133" t="s">
        <v>198</v>
      </c>
      <c r="K285" s="50">
        <v>3</v>
      </c>
      <c r="L285" s="21"/>
      <c r="M285" s="390"/>
      <c r="N285" s="948">
        <f aca="true" t="shared" si="9" ref="N285:N322">ROUND(L285*K285,2)</f>
        <v>0</v>
      </c>
      <c r="O285" s="948"/>
      <c r="P285" s="948"/>
      <c r="Q285" s="948"/>
      <c r="T285" s="506"/>
      <c r="U285" s="58"/>
      <c r="V285" s="58"/>
      <c r="W285" s="58"/>
      <c r="X285" s="58"/>
      <c r="Y285" s="58"/>
      <c r="Z285" s="58"/>
      <c r="AA285" s="507"/>
      <c r="AC285" s="105"/>
      <c r="AU285" s="448" t="s">
        <v>76</v>
      </c>
    </row>
    <row r="286" spans="3:47" s="191" customFormat="1" ht="26.45" customHeight="1">
      <c r="C286" s="511" t="s">
        <v>897</v>
      </c>
      <c r="D286" s="681"/>
      <c r="E286" s="511" t="s">
        <v>1376</v>
      </c>
      <c r="F286" s="1005" t="s">
        <v>551</v>
      </c>
      <c r="G286" s="1006"/>
      <c r="H286" s="1006"/>
      <c r="I286" s="1007"/>
      <c r="J286" s="101" t="s">
        <v>198</v>
      </c>
      <c r="K286" s="48">
        <v>3</v>
      </c>
      <c r="L286" s="27"/>
      <c r="M286" s="390"/>
      <c r="N286" s="998">
        <f t="shared" si="9"/>
        <v>0</v>
      </c>
      <c r="O286" s="998"/>
      <c r="P286" s="998"/>
      <c r="Q286" s="998"/>
      <c r="T286" s="682"/>
      <c r="U286" s="617"/>
      <c r="V286" s="617"/>
      <c r="W286" s="617"/>
      <c r="X286" s="617"/>
      <c r="Y286" s="617"/>
      <c r="Z286" s="617"/>
      <c r="AA286" s="680"/>
      <c r="AC286" s="105"/>
      <c r="AU286" s="624"/>
    </row>
    <row r="287" spans="3:47" s="162" customFormat="1" ht="21" customHeight="1">
      <c r="C287" s="511" t="s">
        <v>898</v>
      </c>
      <c r="D287" s="681"/>
      <c r="E287" s="511" t="s">
        <v>1377</v>
      </c>
      <c r="F287" s="1025" t="s">
        <v>578</v>
      </c>
      <c r="G287" s="1026"/>
      <c r="H287" s="1026"/>
      <c r="I287" s="1027"/>
      <c r="J287" s="133" t="s">
        <v>198</v>
      </c>
      <c r="K287" s="50">
        <v>3</v>
      </c>
      <c r="L287" s="21"/>
      <c r="M287" s="390"/>
      <c r="N287" s="948">
        <f t="shared" si="9"/>
        <v>0</v>
      </c>
      <c r="O287" s="948"/>
      <c r="P287" s="948"/>
      <c r="Q287" s="948"/>
      <c r="T287" s="506"/>
      <c r="U287" s="58"/>
      <c r="V287" s="58"/>
      <c r="W287" s="58"/>
      <c r="X287" s="58"/>
      <c r="Y287" s="58"/>
      <c r="Z287" s="58"/>
      <c r="AA287" s="507"/>
      <c r="AC287" s="105"/>
      <c r="AU287" s="448"/>
    </row>
    <row r="288" spans="3:47" s="191" customFormat="1" ht="21" customHeight="1">
      <c r="C288" s="511" t="s">
        <v>899</v>
      </c>
      <c r="D288" s="681"/>
      <c r="E288" s="511" t="s">
        <v>1378</v>
      </c>
      <c r="F288" s="1005" t="s">
        <v>251</v>
      </c>
      <c r="G288" s="1006"/>
      <c r="H288" s="1006"/>
      <c r="I288" s="1007"/>
      <c r="J288" s="101" t="s">
        <v>198</v>
      </c>
      <c r="K288" s="48">
        <v>3</v>
      </c>
      <c r="L288" s="27"/>
      <c r="M288" s="390"/>
      <c r="N288" s="998">
        <f t="shared" si="9"/>
        <v>0</v>
      </c>
      <c r="O288" s="998"/>
      <c r="P288" s="998"/>
      <c r="Q288" s="998"/>
      <c r="T288" s="682"/>
      <c r="U288" s="617"/>
      <c r="V288" s="617"/>
      <c r="W288" s="617"/>
      <c r="X288" s="617"/>
      <c r="Y288" s="617"/>
      <c r="Z288" s="617"/>
      <c r="AA288" s="680"/>
      <c r="AC288" s="105"/>
      <c r="AU288" s="624"/>
    </row>
    <row r="289" spans="3:65" s="162" customFormat="1" ht="22.5" customHeight="1">
      <c r="C289" s="511" t="s">
        <v>900</v>
      </c>
      <c r="D289" s="681"/>
      <c r="E289" s="511" t="s">
        <v>1379</v>
      </c>
      <c r="F289" s="1015" t="s">
        <v>1394</v>
      </c>
      <c r="G289" s="1016"/>
      <c r="H289" s="1016"/>
      <c r="I289" s="1017"/>
      <c r="J289" s="102" t="s">
        <v>198</v>
      </c>
      <c r="K289" s="50">
        <v>2</v>
      </c>
      <c r="L289" s="21"/>
      <c r="M289" s="390"/>
      <c r="N289" s="948">
        <f t="shared" si="9"/>
        <v>0</v>
      </c>
      <c r="O289" s="948"/>
      <c r="P289" s="948"/>
      <c r="Q289" s="948"/>
      <c r="T289" s="407" t="s">
        <v>5</v>
      </c>
      <c r="U289" s="221" t="s">
        <v>36</v>
      </c>
      <c r="V289" s="408">
        <v>0</v>
      </c>
      <c r="W289" s="408" t="e">
        <f>V289*#REF!</f>
        <v>#REF!</v>
      </c>
      <c r="X289" s="408">
        <v>0</v>
      </c>
      <c r="Y289" s="408" t="e">
        <f>X289*#REF!</f>
        <v>#REF!</v>
      </c>
      <c r="Z289" s="408">
        <v>0</v>
      </c>
      <c r="AA289" s="409" t="e">
        <f>Z289*#REF!</f>
        <v>#REF!</v>
      </c>
      <c r="AC289" s="105"/>
      <c r="AU289" s="448" t="s">
        <v>76</v>
      </c>
      <c r="AY289" s="448" t="s">
        <v>125</v>
      </c>
      <c r="BE289" s="484">
        <f>IF(U289="základní",#REF!,0)</f>
        <v>0</v>
      </c>
      <c r="BF289" s="484" t="e">
        <f>IF(U289="snížená",#REF!,0)</f>
        <v>#REF!</v>
      </c>
      <c r="BG289" s="484">
        <f>IF(U289="zákl. přenesená",#REF!,0)</f>
        <v>0</v>
      </c>
      <c r="BH289" s="484">
        <f>IF(U289="sníž. přenesená",#REF!,0)</f>
        <v>0</v>
      </c>
      <c r="BI289" s="484">
        <f>IF(U289="nulová",#REF!,0)</f>
        <v>0</v>
      </c>
      <c r="BJ289" s="448" t="s">
        <v>80</v>
      </c>
      <c r="BK289" s="484" t="e">
        <f>ROUND(#REF!*#REF!,2)</f>
        <v>#REF!</v>
      </c>
      <c r="BL289" s="448" t="s">
        <v>128</v>
      </c>
      <c r="BM289" s="448" t="s">
        <v>144</v>
      </c>
    </row>
    <row r="290" spans="3:47" s="191" customFormat="1" ht="24" customHeight="1">
      <c r="C290" s="511" t="s">
        <v>901</v>
      </c>
      <c r="D290" s="681"/>
      <c r="E290" s="511" t="s">
        <v>1380</v>
      </c>
      <c r="F290" s="1005" t="s">
        <v>554</v>
      </c>
      <c r="G290" s="1006"/>
      <c r="H290" s="1006"/>
      <c r="I290" s="1007"/>
      <c r="J290" s="101" t="s">
        <v>198</v>
      </c>
      <c r="K290" s="48">
        <v>2</v>
      </c>
      <c r="L290" s="27"/>
      <c r="M290" s="390"/>
      <c r="N290" s="998">
        <f t="shared" si="9"/>
        <v>0</v>
      </c>
      <c r="O290" s="998"/>
      <c r="P290" s="998"/>
      <c r="Q290" s="998"/>
      <c r="T290" s="682"/>
      <c r="U290" s="617"/>
      <c r="V290" s="617"/>
      <c r="W290" s="617"/>
      <c r="X290" s="617"/>
      <c r="Y290" s="617"/>
      <c r="Z290" s="617"/>
      <c r="AA290" s="680"/>
      <c r="AC290" s="105"/>
      <c r="AU290" s="624" t="s">
        <v>76</v>
      </c>
    </row>
    <row r="291" spans="3:63" s="398" customFormat="1" ht="26.25" customHeight="1">
      <c r="C291" s="511" t="s">
        <v>1426</v>
      </c>
      <c r="D291" s="485"/>
      <c r="E291" s="511" t="s">
        <v>1381</v>
      </c>
      <c r="F291" s="1015" t="s">
        <v>579</v>
      </c>
      <c r="G291" s="1016"/>
      <c r="H291" s="1016"/>
      <c r="I291" s="1017"/>
      <c r="J291" s="133" t="s">
        <v>198</v>
      </c>
      <c r="K291" s="51">
        <v>2</v>
      </c>
      <c r="L291" s="21"/>
      <c r="M291" s="390"/>
      <c r="N291" s="948">
        <f t="shared" si="9"/>
        <v>0</v>
      </c>
      <c r="O291" s="948"/>
      <c r="P291" s="948"/>
      <c r="Q291" s="948"/>
      <c r="T291" s="401"/>
      <c r="U291" s="181"/>
      <c r="V291" s="181"/>
      <c r="W291" s="402" t="e">
        <f>SUM(W292:W326)</f>
        <v>#REF!</v>
      </c>
      <c r="X291" s="181"/>
      <c r="Y291" s="402" t="e">
        <f>SUM(Y292:Y326)</f>
        <v>#REF!</v>
      </c>
      <c r="Z291" s="181"/>
      <c r="AA291" s="403" t="e">
        <f>SUM(AA292:AA326)</f>
        <v>#REF!</v>
      </c>
      <c r="AC291" s="105"/>
      <c r="AU291" s="405" t="s">
        <v>69</v>
      </c>
      <c r="AY291" s="404" t="s">
        <v>125</v>
      </c>
      <c r="BK291" s="406" t="e">
        <f>SUM(BK292:BK326)</f>
        <v>#REF!</v>
      </c>
    </row>
    <row r="292" spans="3:65" s="191" customFormat="1" ht="31.5" customHeight="1">
      <c r="C292" s="511" t="s">
        <v>1427</v>
      </c>
      <c r="D292" s="681"/>
      <c r="E292" s="511" t="s">
        <v>1382</v>
      </c>
      <c r="F292" s="1005" t="s">
        <v>558</v>
      </c>
      <c r="G292" s="1006"/>
      <c r="H292" s="1006"/>
      <c r="I292" s="1007"/>
      <c r="J292" s="101" t="s">
        <v>198</v>
      </c>
      <c r="K292" s="48">
        <v>2</v>
      </c>
      <c r="L292" s="27"/>
      <c r="M292" s="390"/>
      <c r="N292" s="998">
        <f t="shared" si="9"/>
        <v>0</v>
      </c>
      <c r="O292" s="998"/>
      <c r="P292" s="998"/>
      <c r="Q292" s="998"/>
      <c r="T292" s="686" t="s">
        <v>5</v>
      </c>
      <c r="U292" s="621" t="s">
        <v>36</v>
      </c>
      <c r="V292" s="622">
        <v>0</v>
      </c>
      <c r="W292" s="622">
        <f>V292*K309</f>
        <v>0</v>
      </c>
      <c r="X292" s="622">
        <v>0</v>
      </c>
      <c r="Y292" s="622">
        <f>X292*K309</f>
        <v>0</v>
      </c>
      <c r="Z292" s="622">
        <v>0</v>
      </c>
      <c r="AA292" s="623">
        <f>Z292*K309</f>
        <v>0</v>
      </c>
      <c r="AC292" s="105"/>
      <c r="AE292" s="687"/>
      <c r="AR292" s="624" t="s">
        <v>128</v>
      </c>
      <c r="AT292" s="624" t="s">
        <v>126</v>
      </c>
      <c r="AU292" s="624" t="s">
        <v>76</v>
      </c>
      <c r="AY292" s="624" t="s">
        <v>125</v>
      </c>
      <c r="BE292" s="625">
        <f>IF(U292="základní",N309,0)</f>
        <v>0</v>
      </c>
      <c r="BF292" s="625">
        <f>IF(U292="snížená",N309,0)</f>
        <v>0</v>
      </c>
      <c r="BG292" s="625">
        <f>IF(U292="zákl. přenesená",N309,0)</f>
        <v>0</v>
      </c>
      <c r="BH292" s="625">
        <f>IF(U292="sníž. přenesená",N309,0)</f>
        <v>0</v>
      </c>
      <c r="BI292" s="625">
        <f>IF(U292="nulová",N309,0)</f>
        <v>0</v>
      </c>
      <c r="BJ292" s="624" t="s">
        <v>80</v>
      </c>
      <c r="BK292" s="625">
        <f>ROUND(L309*K309,2)</f>
        <v>0</v>
      </c>
      <c r="BL292" s="624" t="s">
        <v>128</v>
      </c>
      <c r="BM292" s="624" t="s">
        <v>145</v>
      </c>
    </row>
    <row r="293" spans="3:47" s="162" customFormat="1" ht="30" customHeight="1">
      <c r="C293" s="511" t="s">
        <v>1428</v>
      </c>
      <c r="D293" s="681"/>
      <c r="E293" s="511" t="s">
        <v>1383</v>
      </c>
      <c r="F293" s="1015" t="s">
        <v>565</v>
      </c>
      <c r="G293" s="1016"/>
      <c r="H293" s="1016"/>
      <c r="I293" s="1017"/>
      <c r="J293" s="133" t="s">
        <v>198</v>
      </c>
      <c r="K293" s="50">
        <v>2</v>
      </c>
      <c r="L293" s="21"/>
      <c r="M293" s="390"/>
      <c r="N293" s="948">
        <f t="shared" si="9"/>
        <v>0</v>
      </c>
      <c r="O293" s="948"/>
      <c r="P293" s="948"/>
      <c r="Q293" s="948"/>
      <c r="T293" s="506"/>
      <c r="U293" s="58"/>
      <c r="V293" s="58"/>
      <c r="W293" s="58"/>
      <c r="X293" s="58"/>
      <c r="Y293" s="58"/>
      <c r="Z293" s="58"/>
      <c r="AA293" s="507"/>
      <c r="AC293" s="105"/>
      <c r="AE293" s="58"/>
      <c r="AT293" s="448" t="s">
        <v>182</v>
      </c>
      <c r="AU293" s="448" t="s">
        <v>76</v>
      </c>
    </row>
    <row r="294" spans="3:65" s="191" customFormat="1" ht="31.5" customHeight="1">
      <c r="C294" s="511" t="s">
        <v>1429</v>
      </c>
      <c r="D294" s="681"/>
      <c r="E294" s="511" t="s">
        <v>1384</v>
      </c>
      <c r="F294" s="1005" t="s">
        <v>566</v>
      </c>
      <c r="G294" s="1006"/>
      <c r="H294" s="1006"/>
      <c r="I294" s="1007"/>
      <c r="J294" s="101" t="s">
        <v>198</v>
      </c>
      <c r="K294" s="48">
        <v>2</v>
      </c>
      <c r="L294" s="27"/>
      <c r="M294" s="390"/>
      <c r="N294" s="998">
        <f t="shared" si="9"/>
        <v>0</v>
      </c>
      <c r="O294" s="998"/>
      <c r="P294" s="998"/>
      <c r="Q294" s="998"/>
      <c r="T294" s="686" t="s">
        <v>5</v>
      </c>
      <c r="U294" s="621" t="s">
        <v>36</v>
      </c>
      <c r="V294" s="622">
        <v>0</v>
      </c>
      <c r="W294" s="622">
        <f>V294*K326</f>
        <v>0</v>
      </c>
      <c r="X294" s="622">
        <v>0</v>
      </c>
      <c r="Y294" s="622">
        <f>X294*K326</f>
        <v>0</v>
      </c>
      <c r="Z294" s="622">
        <v>0</v>
      </c>
      <c r="AA294" s="623">
        <f>Z294*K326</f>
        <v>0</v>
      </c>
      <c r="AC294" s="105"/>
      <c r="AR294" s="624" t="s">
        <v>128</v>
      </c>
      <c r="AT294" s="624" t="s">
        <v>126</v>
      </c>
      <c r="AU294" s="624" t="s">
        <v>76</v>
      </c>
      <c r="AY294" s="624" t="s">
        <v>125</v>
      </c>
      <c r="BE294" s="625">
        <f>IF(U294="základní",N326,0)</f>
        <v>0</v>
      </c>
      <c r="BF294" s="625">
        <f>IF(U294="snížená",N326,0)</f>
        <v>0</v>
      </c>
      <c r="BG294" s="625">
        <f>IF(U294="zákl. přenesená",N326,0)</f>
        <v>0</v>
      </c>
      <c r="BH294" s="625">
        <f>IF(U294="sníž. přenesená",N326,0)</f>
        <v>0</v>
      </c>
      <c r="BI294" s="625">
        <f>IF(U294="nulová",N326,0)</f>
        <v>0</v>
      </c>
      <c r="BJ294" s="624" t="s">
        <v>80</v>
      </c>
      <c r="BK294" s="625">
        <f>ROUND(L326*K326,2)</f>
        <v>0</v>
      </c>
      <c r="BL294" s="624" t="s">
        <v>128</v>
      </c>
      <c r="BM294" s="624" t="s">
        <v>146</v>
      </c>
    </row>
    <row r="295" spans="3:47" s="162" customFormat="1" ht="42" customHeight="1">
      <c r="C295" s="511" t="s">
        <v>1430</v>
      </c>
      <c r="D295" s="681"/>
      <c r="E295" s="511" t="s">
        <v>1379</v>
      </c>
      <c r="F295" s="1015" t="s">
        <v>1394</v>
      </c>
      <c r="G295" s="1016"/>
      <c r="H295" s="1016"/>
      <c r="I295" s="1017"/>
      <c r="J295" s="102" t="s">
        <v>198</v>
      </c>
      <c r="K295" s="50">
        <v>1</v>
      </c>
      <c r="L295" s="21"/>
      <c r="M295" s="390"/>
      <c r="N295" s="948">
        <f t="shared" si="9"/>
        <v>0</v>
      </c>
      <c r="O295" s="948"/>
      <c r="P295" s="948"/>
      <c r="Q295" s="948"/>
      <c r="T295" s="506"/>
      <c r="U295" s="58"/>
      <c r="V295" s="58"/>
      <c r="W295" s="58"/>
      <c r="X295" s="58"/>
      <c r="Y295" s="58"/>
      <c r="Z295" s="58"/>
      <c r="AA295" s="507"/>
      <c r="AC295" s="105"/>
      <c r="AT295" s="448" t="s">
        <v>182</v>
      </c>
      <c r="AU295" s="448" t="s">
        <v>76</v>
      </c>
    </row>
    <row r="296" spans="3:65" s="191" customFormat="1" ht="31.5" customHeight="1">
      <c r="C296" s="511" t="s">
        <v>1431</v>
      </c>
      <c r="D296" s="681"/>
      <c r="E296" s="511" t="s">
        <v>1395</v>
      </c>
      <c r="F296" s="1005" t="s">
        <v>593</v>
      </c>
      <c r="G296" s="1006"/>
      <c r="H296" s="1006"/>
      <c r="I296" s="1007"/>
      <c r="J296" s="101" t="s">
        <v>198</v>
      </c>
      <c r="K296" s="48">
        <v>1</v>
      </c>
      <c r="L296" s="27"/>
      <c r="M296" s="390"/>
      <c r="N296" s="998">
        <f t="shared" si="9"/>
        <v>0</v>
      </c>
      <c r="O296" s="998"/>
      <c r="P296" s="998"/>
      <c r="Q296" s="998"/>
      <c r="T296" s="686" t="s">
        <v>5</v>
      </c>
      <c r="U296" s="621" t="s">
        <v>36</v>
      </c>
      <c r="V296" s="622">
        <v>0</v>
      </c>
      <c r="W296" s="622">
        <f>V296*K328</f>
        <v>0</v>
      </c>
      <c r="X296" s="622">
        <v>0</v>
      </c>
      <c r="Y296" s="622">
        <f>X296*K328</f>
        <v>0</v>
      </c>
      <c r="Z296" s="622">
        <v>0</v>
      </c>
      <c r="AA296" s="623">
        <f>Z296*K328</f>
        <v>0</v>
      </c>
      <c r="AC296" s="105"/>
      <c r="AR296" s="624" t="s">
        <v>128</v>
      </c>
      <c r="AT296" s="624" t="s">
        <v>126</v>
      </c>
      <c r="AU296" s="624" t="s">
        <v>76</v>
      </c>
      <c r="AY296" s="624" t="s">
        <v>125</v>
      </c>
      <c r="BE296" s="625">
        <f>IF(U296="základní",N328,0)</f>
        <v>0</v>
      </c>
      <c r="BF296" s="625">
        <f>IF(U296="snížená",N328,0)</f>
        <v>0</v>
      </c>
      <c r="BG296" s="625">
        <f>IF(U296="zákl. přenesená",N328,0)</f>
        <v>0</v>
      </c>
      <c r="BH296" s="625">
        <f>IF(U296="sníž. přenesená",N328,0)</f>
        <v>0</v>
      </c>
      <c r="BI296" s="625">
        <f>IF(U296="nulová",N328,0)</f>
        <v>0</v>
      </c>
      <c r="BJ296" s="624" t="s">
        <v>80</v>
      </c>
      <c r="BK296" s="625">
        <f>ROUND(L328*K328,2)</f>
        <v>0</v>
      </c>
      <c r="BL296" s="624" t="s">
        <v>128</v>
      </c>
      <c r="BM296" s="624" t="s">
        <v>147</v>
      </c>
    </row>
    <row r="297" spans="3:47" s="162" customFormat="1" ht="42" customHeight="1">
      <c r="C297" s="511" t="s">
        <v>1432</v>
      </c>
      <c r="D297" s="681"/>
      <c r="E297" s="511" t="s">
        <v>1381</v>
      </c>
      <c r="F297" s="1015" t="s">
        <v>579</v>
      </c>
      <c r="G297" s="1016"/>
      <c r="H297" s="1016"/>
      <c r="I297" s="1017"/>
      <c r="J297" s="133" t="s">
        <v>198</v>
      </c>
      <c r="K297" s="50">
        <v>1</v>
      </c>
      <c r="L297" s="21"/>
      <c r="M297" s="390"/>
      <c r="N297" s="948">
        <f t="shared" si="9"/>
        <v>0</v>
      </c>
      <c r="O297" s="948"/>
      <c r="P297" s="948"/>
      <c r="Q297" s="948"/>
      <c r="T297" s="506"/>
      <c r="U297" s="58"/>
      <c r="V297" s="58"/>
      <c r="W297" s="58"/>
      <c r="X297" s="58"/>
      <c r="Y297" s="58"/>
      <c r="Z297" s="58"/>
      <c r="AA297" s="507"/>
      <c r="AC297" s="105"/>
      <c r="AT297" s="448" t="s">
        <v>182</v>
      </c>
      <c r="AU297" s="448" t="s">
        <v>76</v>
      </c>
    </row>
    <row r="298" spans="3:65" s="191" customFormat="1" ht="31.5" customHeight="1">
      <c r="C298" s="511" t="s">
        <v>1433</v>
      </c>
      <c r="D298" s="681"/>
      <c r="E298" s="511" t="s">
        <v>1382</v>
      </c>
      <c r="F298" s="1005" t="s">
        <v>558</v>
      </c>
      <c r="G298" s="1006"/>
      <c r="H298" s="1006"/>
      <c r="I298" s="1007"/>
      <c r="J298" s="101" t="s">
        <v>198</v>
      </c>
      <c r="K298" s="48">
        <v>1</v>
      </c>
      <c r="L298" s="27"/>
      <c r="M298" s="390"/>
      <c r="N298" s="998">
        <f t="shared" si="9"/>
        <v>0</v>
      </c>
      <c r="O298" s="998"/>
      <c r="P298" s="998"/>
      <c r="Q298" s="998"/>
      <c r="T298" s="686" t="s">
        <v>5</v>
      </c>
      <c r="U298" s="621" t="s">
        <v>36</v>
      </c>
      <c r="V298" s="622">
        <v>0</v>
      </c>
      <c r="W298" s="622">
        <f>V298*K330</f>
        <v>0</v>
      </c>
      <c r="X298" s="622">
        <v>0</v>
      </c>
      <c r="Y298" s="622">
        <f>X298*K330</f>
        <v>0</v>
      </c>
      <c r="Z298" s="622">
        <v>0</v>
      </c>
      <c r="AA298" s="623">
        <f>Z298*K330</f>
        <v>0</v>
      </c>
      <c r="AC298" s="105"/>
      <c r="AR298" s="624" t="s">
        <v>128</v>
      </c>
      <c r="AT298" s="624" t="s">
        <v>126</v>
      </c>
      <c r="AU298" s="624" t="s">
        <v>76</v>
      </c>
      <c r="AY298" s="624" t="s">
        <v>125</v>
      </c>
      <c r="BE298" s="625">
        <f>IF(U298="základní",N330,0)</f>
        <v>0</v>
      </c>
      <c r="BF298" s="625">
        <f>IF(U298="snížená",N330,0)</f>
        <v>0</v>
      </c>
      <c r="BG298" s="625">
        <f>IF(U298="zákl. přenesená",N330,0)</f>
        <v>0</v>
      </c>
      <c r="BH298" s="625">
        <f>IF(U298="sníž. přenesená",N330,0)</f>
        <v>0</v>
      </c>
      <c r="BI298" s="625">
        <f>IF(U298="nulová",N330,0)</f>
        <v>0</v>
      </c>
      <c r="BJ298" s="624" t="s">
        <v>80</v>
      </c>
      <c r="BK298" s="625">
        <f>ROUND(L330*K330,2)</f>
        <v>0</v>
      </c>
      <c r="BL298" s="624" t="s">
        <v>128</v>
      </c>
      <c r="BM298" s="624" t="s">
        <v>148</v>
      </c>
    </row>
    <row r="299" spans="3:47" s="162" customFormat="1" ht="33" customHeight="1">
      <c r="C299" s="511" t="s">
        <v>1434</v>
      </c>
      <c r="D299" s="681"/>
      <c r="E299" s="511" t="s">
        <v>1383</v>
      </c>
      <c r="F299" s="1015" t="s">
        <v>565</v>
      </c>
      <c r="G299" s="1016"/>
      <c r="H299" s="1016"/>
      <c r="I299" s="1017"/>
      <c r="J299" s="133" t="s">
        <v>198</v>
      </c>
      <c r="K299" s="50">
        <v>1</v>
      </c>
      <c r="L299" s="21"/>
      <c r="M299" s="390"/>
      <c r="N299" s="948">
        <f t="shared" si="9"/>
        <v>0</v>
      </c>
      <c r="O299" s="948"/>
      <c r="P299" s="948"/>
      <c r="Q299" s="948"/>
      <c r="T299" s="506"/>
      <c r="U299" s="58"/>
      <c r="V299" s="58"/>
      <c r="W299" s="58"/>
      <c r="X299" s="58"/>
      <c r="Y299" s="58"/>
      <c r="Z299" s="58"/>
      <c r="AA299" s="507"/>
      <c r="AC299" s="105"/>
      <c r="AT299" s="448" t="s">
        <v>182</v>
      </c>
      <c r="AU299" s="448" t="s">
        <v>76</v>
      </c>
    </row>
    <row r="300" spans="3:65" s="191" customFormat="1" ht="31.5" customHeight="1">
      <c r="C300" s="511" t="s">
        <v>1435</v>
      </c>
      <c r="D300" s="681"/>
      <c r="E300" s="511" t="s">
        <v>1384</v>
      </c>
      <c r="F300" s="1005" t="s">
        <v>566</v>
      </c>
      <c r="G300" s="1006"/>
      <c r="H300" s="1006"/>
      <c r="I300" s="1007"/>
      <c r="J300" s="101" t="s">
        <v>198</v>
      </c>
      <c r="K300" s="48">
        <v>1</v>
      </c>
      <c r="L300" s="27"/>
      <c r="M300" s="390"/>
      <c r="N300" s="998">
        <f t="shared" si="9"/>
        <v>0</v>
      </c>
      <c r="O300" s="998"/>
      <c r="P300" s="998"/>
      <c r="Q300" s="998"/>
      <c r="T300" s="686" t="s">
        <v>5</v>
      </c>
      <c r="U300" s="621" t="s">
        <v>36</v>
      </c>
      <c r="V300" s="622">
        <v>0</v>
      </c>
      <c r="W300" s="622" t="e">
        <f>V300*#REF!</f>
        <v>#REF!</v>
      </c>
      <c r="X300" s="622">
        <v>0</v>
      </c>
      <c r="Y300" s="622" t="e">
        <f>X300*#REF!</f>
        <v>#REF!</v>
      </c>
      <c r="Z300" s="622">
        <v>0</v>
      </c>
      <c r="AA300" s="623" t="e">
        <f>Z300*#REF!</f>
        <v>#REF!</v>
      </c>
      <c r="AC300" s="105"/>
      <c r="AR300" s="624" t="s">
        <v>128</v>
      </c>
      <c r="AT300" s="624" t="s">
        <v>126</v>
      </c>
      <c r="AU300" s="624" t="s">
        <v>76</v>
      </c>
      <c r="AY300" s="624" t="s">
        <v>125</v>
      </c>
      <c r="BE300" s="625">
        <f>IF(U300="základní",#REF!,0)</f>
        <v>0</v>
      </c>
      <c r="BF300" s="625" t="e">
        <f>IF(U300="snížená",#REF!,0)</f>
        <v>#REF!</v>
      </c>
      <c r="BG300" s="625">
        <f>IF(U300="zákl. přenesená",#REF!,0)</f>
        <v>0</v>
      </c>
      <c r="BH300" s="625">
        <f>IF(U300="sníž. přenesená",#REF!,0)</f>
        <v>0</v>
      </c>
      <c r="BI300" s="625">
        <f>IF(U300="nulová",#REF!,0)</f>
        <v>0</v>
      </c>
      <c r="BJ300" s="624" t="s">
        <v>80</v>
      </c>
      <c r="BK300" s="625" t="e">
        <f>ROUND(#REF!*#REF!,2)</f>
        <v>#REF!</v>
      </c>
      <c r="BL300" s="624" t="s">
        <v>128</v>
      </c>
      <c r="BM300" s="624" t="s">
        <v>149</v>
      </c>
    </row>
    <row r="301" spans="3:47" s="162" customFormat="1" ht="30" customHeight="1">
      <c r="C301" s="511" t="s">
        <v>1436</v>
      </c>
      <c r="D301" s="681"/>
      <c r="E301" s="511" t="s">
        <v>1400</v>
      </c>
      <c r="F301" s="960" t="s">
        <v>594</v>
      </c>
      <c r="G301" s="965"/>
      <c r="H301" s="965"/>
      <c r="I301" s="965"/>
      <c r="J301" s="195" t="s">
        <v>198</v>
      </c>
      <c r="K301" s="50">
        <v>1</v>
      </c>
      <c r="L301" s="21"/>
      <c r="M301" s="390"/>
      <c r="N301" s="948">
        <f t="shared" si="9"/>
        <v>0</v>
      </c>
      <c r="O301" s="948"/>
      <c r="P301" s="948"/>
      <c r="Q301" s="948"/>
      <c r="T301" s="506"/>
      <c r="U301" s="58"/>
      <c r="V301" s="58"/>
      <c r="W301" s="58"/>
      <c r="X301" s="58"/>
      <c r="Y301" s="58"/>
      <c r="Z301" s="58"/>
      <c r="AA301" s="507"/>
      <c r="AC301" s="105"/>
      <c r="AT301" s="448" t="s">
        <v>182</v>
      </c>
      <c r="AU301" s="448" t="s">
        <v>76</v>
      </c>
    </row>
    <row r="302" spans="3:65" s="191" customFormat="1" ht="31.5" customHeight="1">
      <c r="C302" s="511" t="s">
        <v>1437</v>
      </c>
      <c r="D302" s="681"/>
      <c r="E302" s="511" t="s">
        <v>1401</v>
      </c>
      <c r="F302" s="1000" t="s">
        <v>595</v>
      </c>
      <c r="G302" s="1000"/>
      <c r="H302" s="1000"/>
      <c r="I302" s="1000"/>
      <c r="J302" s="556" t="s">
        <v>198</v>
      </c>
      <c r="K302" s="48">
        <v>1</v>
      </c>
      <c r="L302" s="27"/>
      <c r="M302" s="390"/>
      <c r="N302" s="998">
        <f t="shared" si="9"/>
        <v>0</v>
      </c>
      <c r="O302" s="998"/>
      <c r="P302" s="998"/>
      <c r="Q302" s="998"/>
      <c r="T302" s="686" t="s">
        <v>5</v>
      </c>
      <c r="U302" s="621" t="s">
        <v>36</v>
      </c>
      <c r="V302" s="622">
        <v>0</v>
      </c>
      <c r="W302" s="622">
        <f>V302*K333</f>
        <v>0</v>
      </c>
      <c r="X302" s="622">
        <v>0</v>
      </c>
      <c r="Y302" s="622">
        <f>X302*K333</f>
        <v>0</v>
      </c>
      <c r="Z302" s="622">
        <v>0</v>
      </c>
      <c r="AA302" s="623">
        <f>Z302*K333</f>
        <v>0</v>
      </c>
      <c r="AC302" s="105"/>
      <c r="AR302" s="624" t="s">
        <v>128</v>
      </c>
      <c r="AT302" s="624" t="s">
        <v>126</v>
      </c>
      <c r="AU302" s="624" t="s">
        <v>76</v>
      </c>
      <c r="AY302" s="624" t="s">
        <v>125</v>
      </c>
      <c r="BE302" s="625">
        <f>IF(U302="základní",N333,0)</f>
        <v>0</v>
      </c>
      <c r="BF302" s="625">
        <f>IF(U302="snížená",N333,0)</f>
        <v>0</v>
      </c>
      <c r="BG302" s="625">
        <f>IF(U302="zákl. přenesená",N333,0)</f>
        <v>0</v>
      </c>
      <c r="BH302" s="625">
        <f>IF(U302="sníž. přenesená",N333,0)</f>
        <v>0</v>
      </c>
      <c r="BI302" s="625">
        <f>IF(U302="nulová",N333,0)</f>
        <v>0</v>
      </c>
      <c r="BJ302" s="624" t="s">
        <v>80</v>
      </c>
      <c r="BK302" s="625">
        <f>ROUND(L333*K333,2)</f>
        <v>0</v>
      </c>
      <c r="BL302" s="624" t="s">
        <v>128</v>
      </c>
      <c r="BM302" s="624" t="s">
        <v>150</v>
      </c>
    </row>
    <row r="303" spans="3:47" s="162" customFormat="1" ht="33.6" customHeight="1">
      <c r="C303" s="511" t="s">
        <v>1438</v>
      </c>
      <c r="D303" s="681"/>
      <c r="E303" s="511" t="s">
        <v>1402</v>
      </c>
      <c r="F303" s="960" t="s">
        <v>596</v>
      </c>
      <c r="G303" s="965"/>
      <c r="H303" s="965"/>
      <c r="I303" s="965"/>
      <c r="J303" s="195" t="s">
        <v>198</v>
      </c>
      <c r="K303" s="50">
        <v>1</v>
      </c>
      <c r="L303" s="21"/>
      <c r="M303" s="390"/>
      <c r="N303" s="948">
        <f t="shared" si="9"/>
        <v>0</v>
      </c>
      <c r="O303" s="948"/>
      <c r="P303" s="948"/>
      <c r="Q303" s="948"/>
      <c r="T303" s="506"/>
      <c r="U303" s="58"/>
      <c r="V303" s="58"/>
      <c r="W303" s="58"/>
      <c r="X303" s="58"/>
      <c r="Y303" s="58"/>
      <c r="Z303" s="58"/>
      <c r="AA303" s="507"/>
      <c r="AC303" s="105"/>
      <c r="AT303" s="448" t="s">
        <v>182</v>
      </c>
      <c r="AU303" s="448" t="s">
        <v>76</v>
      </c>
    </row>
    <row r="304" spans="3:65" s="191" customFormat="1" ht="40.15" customHeight="1">
      <c r="C304" s="511" t="s">
        <v>1439</v>
      </c>
      <c r="D304" s="681"/>
      <c r="E304" s="511" t="s">
        <v>1403</v>
      </c>
      <c r="F304" s="1000" t="s">
        <v>597</v>
      </c>
      <c r="G304" s="1000"/>
      <c r="H304" s="1000"/>
      <c r="I304" s="1000"/>
      <c r="J304" s="556" t="s">
        <v>198</v>
      </c>
      <c r="K304" s="48">
        <v>1</v>
      </c>
      <c r="L304" s="27"/>
      <c r="M304" s="390"/>
      <c r="N304" s="998">
        <f t="shared" si="9"/>
        <v>0</v>
      </c>
      <c r="O304" s="998"/>
      <c r="P304" s="998"/>
      <c r="Q304" s="998"/>
      <c r="T304" s="686" t="s">
        <v>5</v>
      </c>
      <c r="U304" s="621" t="s">
        <v>36</v>
      </c>
      <c r="V304" s="622">
        <v>0</v>
      </c>
      <c r="W304" s="622" t="e">
        <f>V304*#REF!</f>
        <v>#REF!</v>
      </c>
      <c r="X304" s="622">
        <v>0</v>
      </c>
      <c r="Y304" s="622" t="e">
        <f>X304*#REF!</f>
        <v>#REF!</v>
      </c>
      <c r="Z304" s="622">
        <v>0</v>
      </c>
      <c r="AA304" s="623" t="e">
        <f>Z304*#REF!</f>
        <v>#REF!</v>
      </c>
      <c r="AC304" s="105"/>
      <c r="AR304" s="624" t="s">
        <v>128</v>
      </c>
      <c r="AT304" s="624" t="s">
        <v>126</v>
      </c>
      <c r="AU304" s="624" t="s">
        <v>76</v>
      </c>
      <c r="AY304" s="624" t="s">
        <v>125</v>
      </c>
      <c r="BE304" s="625">
        <f>IF(U304="základní",#REF!,0)</f>
        <v>0</v>
      </c>
      <c r="BF304" s="625" t="e">
        <f>IF(U304="snížená",#REF!,0)</f>
        <v>#REF!</v>
      </c>
      <c r="BG304" s="625">
        <f>IF(U304="zákl. přenesená",#REF!,0)</f>
        <v>0</v>
      </c>
      <c r="BH304" s="625">
        <f>IF(U304="sníž. přenesená",#REF!,0)</f>
        <v>0</v>
      </c>
      <c r="BI304" s="625">
        <f>IF(U304="nulová",#REF!,0)</f>
        <v>0</v>
      </c>
      <c r="BJ304" s="624" t="s">
        <v>80</v>
      </c>
      <c r="BK304" s="625" t="e">
        <f>ROUND(#REF!*#REF!,2)</f>
        <v>#REF!</v>
      </c>
      <c r="BL304" s="624" t="s">
        <v>128</v>
      </c>
      <c r="BM304" s="624" t="s">
        <v>151</v>
      </c>
    </row>
    <row r="305" spans="3:47" s="162" customFormat="1" ht="24" customHeight="1">
      <c r="C305" s="511" t="s">
        <v>1440</v>
      </c>
      <c r="D305" s="681"/>
      <c r="E305" s="511" t="s">
        <v>1385</v>
      </c>
      <c r="F305" s="1015" t="s">
        <v>580</v>
      </c>
      <c r="G305" s="1016"/>
      <c r="H305" s="1016"/>
      <c r="I305" s="1017"/>
      <c r="J305" s="102" t="s">
        <v>198</v>
      </c>
      <c r="K305" s="50">
        <v>1</v>
      </c>
      <c r="L305" s="21"/>
      <c r="M305" s="390"/>
      <c r="N305" s="948">
        <f t="shared" si="9"/>
        <v>0</v>
      </c>
      <c r="O305" s="948"/>
      <c r="P305" s="948"/>
      <c r="Q305" s="948"/>
      <c r="T305" s="506"/>
      <c r="U305" s="58"/>
      <c r="V305" s="58"/>
      <c r="W305" s="58"/>
      <c r="X305" s="58"/>
      <c r="Y305" s="58"/>
      <c r="Z305" s="58"/>
      <c r="AA305" s="507"/>
      <c r="AC305" s="105"/>
      <c r="AT305" s="448" t="s">
        <v>182</v>
      </c>
      <c r="AU305" s="448" t="s">
        <v>76</v>
      </c>
    </row>
    <row r="306" spans="3:65" s="191" customFormat="1" ht="23.25" customHeight="1">
      <c r="C306" s="511" t="s">
        <v>1441</v>
      </c>
      <c r="D306" s="681"/>
      <c r="E306" s="511" t="s">
        <v>1386</v>
      </c>
      <c r="F306" s="1005" t="s">
        <v>581</v>
      </c>
      <c r="G306" s="1006"/>
      <c r="H306" s="1006"/>
      <c r="I306" s="1007"/>
      <c r="J306" s="101" t="s">
        <v>198</v>
      </c>
      <c r="K306" s="48">
        <v>1</v>
      </c>
      <c r="L306" s="27"/>
      <c r="M306" s="390"/>
      <c r="N306" s="998">
        <f t="shared" si="9"/>
        <v>0</v>
      </c>
      <c r="O306" s="998"/>
      <c r="P306" s="998"/>
      <c r="Q306" s="998"/>
      <c r="T306" s="686" t="s">
        <v>5</v>
      </c>
      <c r="U306" s="621" t="s">
        <v>36</v>
      </c>
      <c r="V306" s="622">
        <v>0</v>
      </c>
      <c r="W306" s="622">
        <f>V306*K337</f>
        <v>0</v>
      </c>
      <c r="X306" s="622">
        <v>0</v>
      </c>
      <c r="Y306" s="622">
        <f>X306*K337</f>
        <v>0</v>
      </c>
      <c r="Z306" s="622">
        <v>0</v>
      </c>
      <c r="AA306" s="623">
        <f>Z306*K337</f>
        <v>0</v>
      </c>
      <c r="AC306" s="105"/>
      <c r="AR306" s="624" t="s">
        <v>128</v>
      </c>
      <c r="AT306" s="624" t="s">
        <v>126</v>
      </c>
      <c r="AU306" s="624" t="s">
        <v>76</v>
      </c>
      <c r="AY306" s="624" t="s">
        <v>125</v>
      </c>
      <c r="BE306" s="625">
        <f>IF(U306="základní",N337,0)</f>
        <v>0</v>
      </c>
      <c r="BF306" s="625">
        <f>IF(U306="snížená",N337,0)</f>
        <v>0</v>
      </c>
      <c r="BG306" s="625">
        <f>IF(U306="zákl. přenesená",N337,0)</f>
        <v>0</v>
      </c>
      <c r="BH306" s="625">
        <f>IF(U306="sníž. přenesená",N337,0)</f>
        <v>0</v>
      </c>
      <c r="BI306" s="625">
        <f>IF(U306="nulová",N337,0)</f>
        <v>0</v>
      </c>
      <c r="BJ306" s="624" t="s">
        <v>80</v>
      </c>
      <c r="BK306" s="625">
        <f>ROUND(L337*K337,2)</f>
        <v>0</v>
      </c>
      <c r="BL306" s="624" t="s">
        <v>128</v>
      </c>
      <c r="BM306" s="624" t="s">
        <v>152</v>
      </c>
    </row>
    <row r="307" spans="3:47" s="162" customFormat="1" ht="42" customHeight="1">
      <c r="C307" s="511" t="s">
        <v>1442</v>
      </c>
      <c r="D307" s="681"/>
      <c r="E307" s="511" t="s">
        <v>1387</v>
      </c>
      <c r="F307" s="1015" t="s">
        <v>561</v>
      </c>
      <c r="G307" s="1016"/>
      <c r="H307" s="1016"/>
      <c r="I307" s="1017"/>
      <c r="J307" s="102" t="s">
        <v>198</v>
      </c>
      <c r="K307" s="50">
        <v>1</v>
      </c>
      <c r="L307" s="21"/>
      <c r="M307" s="390"/>
      <c r="N307" s="948">
        <f t="shared" si="9"/>
        <v>0</v>
      </c>
      <c r="O307" s="948"/>
      <c r="P307" s="948"/>
      <c r="Q307" s="948"/>
      <c r="T307" s="506"/>
      <c r="U307" s="58"/>
      <c r="V307" s="58"/>
      <c r="W307" s="58"/>
      <c r="X307" s="58"/>
      <c r="Y307" s="58"/>
      <c r="Z307" s="58"/>
      <c r="AA307" s="507"/>
      <c r="AC307" s="105"/>
      <c r="AT307" s="448" t="s">
        <v>182</v>
      </c>
      <c r="AU307" s="448" t="s">
        <v>76</v>
      </c>
    </row>
    <row r="308" spans="1:65" s="191" customFormat="1" ht="31.5" customHeight="1">
      <c r="A308" s="617"/>
      <c r="B308" s="617"/>
      <c r="C308" s="511" t="s">
        <v>1443</v>
      </c>
      <c r="D308" s="510"/>
      <c r="E308" s="511" t="s">
        <v>1388</v>
      </c>
      <c r="F308" s="1005" t="s">
        <v>562</v>
      </c>
      <c r="G308" s="1006"/>
      <c r="H308" s="1006"/>
      <c r="I308" s="1007"/>
      <c r="J308" s="101" t="s">
        <v>198</v>
      </c>
      <c r="K308" s="48">
        <v>1</v>
      </c>
      <c r="L308" s="27"/>
      <c r="M308" s="390"/>
      <c r="N308" s="998">
        <f t="shared" si="9"/>
        <v>0</v>
      </c>
      <c r="O308" s="998"/>
      <c r="P308" s="998"/>
      <c r="Q308" s="998"/>
      <c r="R308" s="617"/>
      <c r="S308" s="617"/>
      <c r="T308" s="620" t="s">
        <v>5</v>
      </c>
      <c r="U308" s="621" t="s">
        <v>36</v>
      </c>
      <c r="V308" s="622">
        <v>0</v>
      </c>
      <c r="W308" s="622">
        <f>V308*K343</f>
        <v>0</v>
      </c>
      <c r="X308" s="622">
        <v>0</v>
      </c>
      <c r="Y308" s="622">
        <f>X308*K343</f>
        <v>0</v>
      </c>
      <c r="Z308" s="622">
        <v>0</v>
      </c>
      <c r="AA308" s="623">
        <f>Z308*K343</f>
        <v>0</v>
      </c>
      <c r="AC308" s="105"/>
      <c r="AR308" s="624" t="s">
        <v>128</v>
      </c>
      <c r="AT308" s="624" t="s">
        <v>126</v>
      </c>
      <c r="AU308" s="624" t="s">
        <v>76</v>
      </c>
      <c r="AY308" s="624" t="s">
        <v>125</v>
      </c>
      <c r="BE308" s="625">
        <f>IF(U308="základní",N343,0)</f>
        <v>0</v>
      </c>
      <c r="BF308" s="625">
        <f>IF(U308="snížená",N343,0)</f>
        <v>0</v>
      </c>
      <c r="BG308" s="625">
        <f>IF(U308="zákl. přenesená",N343,0)</f>
        <v>0</v>
      </c>
      <c r="BH308" s="625">
        <f>IF(U308="sníž. přenesená",N343,0)</f>
        <v>0</v>
      </c>
      <c r="BI308" s="625">
        <f>IF(U308="nulová",N343,0)</f>
        <v>0</v>
      </c>
      <c r="BJ308" s="624" t="s">
        <v>80</v>
      </c>
      <c r="BK308" s="625">
        <f>ROUND(L343*K343,2)</f>
        <v>0</v>
      </c>
      <c r="BL308" s="624" t="s">
        <v>128</v>
      </c>
      <c r="BM308" s="624" t="s">
        <v>153</v>
      </c>
    </row>
    <row r="309" spans="1:47" s="162" customFormat="1" ht="30" customHeight="1">
      <c r="A309" s="58"/>
      <c r="B309" s="58"/>
      <c r="C309" s="511" t="s">
        <v>1444</v>
      </c>
      <c r="D309" s="511"/>
      <c r="E309" s="511" t="s">
        <v>1389</v>
      </c>
      <c r="F309" s="1025" t="s">
        <v>582</v>
      </c>
      <c r="G309" s="1026"/>
      <c r="H309" s="1026"/>
      <c r="I309" s="1027"/>
      <c r="J309" s="133" t="s">
        <v>198</v>
      </c>
      <c r="K309" s="50">
        <v>1</v>
      </c>
      <c r="L309" s="21"/>
      <c r="M309" s="390"/>
      <c r="N309" s="948">
        <f t="shared" si="9"/>
        <v>0</v>
      </c>
      <c r="O309" s="948"/>
      <c r="P309" s="948"/>
      <c r="Q309" s="948"/>
      <c r="R309" s="58"/>
      <c r="S309" s="58"/>
      <c r="T309" s="58"/>
      <c r="U309" s="58"/>
      <c r="V309" s="58"/>
      <c r="W309" s="58"/>
      <c r="X309" s="58"/>
      <c r="Y309" s="58"/>
      <c r="Z309" s="58"/>
      <c r="AA309" s="507"/>
      <c r="AC309" s="105"/>
      <c r="AT309" s="448" t="s">
        <v>182</v>
      </c>
      <c r="AU309" s="448" t="s">
        <v>76</v>
      </c>
    </row>
    <row r="310" spans="1:65" s="191" customFormat="1" ht="31.5" customHeight="1">
      <c r="A310" s="617"/>
      <c r="B310" s="617"/>
      <c r="C310" s="511" t="s">
        <v>1445</v>
      </c>
      <c r="D310" s="681"/>
      <c r="E310" s="511" t="s">
        <v>1390</v>
      </c>
      <c r="F310" s="1005" t="s">
        <v>583</v>
      </c>
      <c r="G310" s="1006"/>
      <c r="H310" s="1006"/>
      <c r="I310" s="1007"/>
      <c r="J310" s="101" t="s">
        <v>198</v>
      </c>
      <c r="K310" s="48">
        <v>1</v>
      </c>
      <c r="L310" s="27"/>
      <c r="M310" s="390"/>
      <c r="N310" s="998">
        <f t="shared" si="9"/>
        <v>0</v>
      </c>
      <c r="O310" s="998"/>
      <c r="P310" s="998"/>
      <c r="Q310" s="998"/>
      <c r="R310" s="617"/>
      <c r="S310" s="617"/>
      <c r="T310" s="620" t="s">
        <v>5</v>
      </c>
      <c r="U310" s="621" t="s">
        <v>36</v>
      </c>
      <c r="V310" s="622">
        <v>0</v>
      </c>
      <c r="W310" s="622">
        <f>V310*K344</f>
        <v>0</v>
      </c>
      <c r="X310" s="622">
        <v>0</v>
      </c>
      <c r="Y310" s="622">
        <f>X310*K344</f>
        <v>0</v>
      </c>
      <c r="Z310" s="622">
        <v>0</v>
      </c>
      <c r="AA310" s="623">
        <f>Z310*K344</f>
        <v>0</v>
      </c>
      <c r="AC310" s="105"/>
      <c r="AR310" s="624" t="s">
        <v>128</v>
      </c>
      <c r="AT310" s="624" t="s">
        <v>126</v>
      </c>
      <c r="AU310" s="624" t="s">
        <v>76</v>
      </c>
      <c r="AY310" s="624" t="s">
        <v>125</v>
      </c>
      <c r="BE310" s="625">
        <f>IF(U310="základní",N344,0)</f>
        <v>0</v>
      </c>
      <c r="BF310" s="625">
        <f>IF(U310="snížená",N344,0)</f>
        <v>0</v>
      </c>
      <c r="BG310" s="625">
        <f>IF(U310="zákl. přenesená",N344,0)</f>
        <v>0</v>
      </c>
      <c r="BH310" s="625">
        <f>IF(U310="sníž. přenesená",N344,0)</f>
        <v>0</v>
      </c>
      <c r="BI310" s="625">
        <f>IF(U310="nulová",N344,0)</f>
        <v>0</v>
      </c>
      <c r="BJ310" s="624" t="s">
        <v>80</v>
      </c>
      <c r="BK310" s="625">
        <f>ROUND(L344*K344,2)</f>
        <v>0</v>
      </c>
      <c r="BL310" s="624" t="s">
        <v>128</v>
      </c>
      <c r="BM310" s="624" t="s">
        <v>154</v>
      </c>
    </row>
    <row r="311" spans="1:47" s="162" customFormat="1" ht="30" customHeight="1">
      <c r="A311" s="58"/>
      <c r="B311" s="58"/>
      <c r="C311" s="511" t="s">
        <v>1446</v>
      </c>
      <c r="D311" s="511"/>
      <c r="E311" s="511" t="s">
        <v>1391</v>
      </c>
      <c r="F311" s="947" t="s">
        <v>598</v>
      </c>
      <c r="G311" s="947"/>
      <c r="H311" s="947"/>
      <c r="I311" s="947"/>
      <c r="J311" s="96" t="s">
        <v>198</v>
      </c>
      <c r="K311" s="52">
        <v>2</v>
      </c>
      <c r="L311" s="21"/>
      <c r="M311" s="390"/>
      <c r="N311" s="948">
        <f t="shared" si="9"/>
        <v>0</v>
      </c>
      <c r="O311" s="948"/>
      <c r="P311" s="948"/>
      <c r="Q311" s="948"/>
      <c r="R311" s="58"/>
      <c r="S311" s="58"/>
      <c r="T311" s="58"/>
      <c r="U311" s="58"/>
      <c r="V311" s="58"/>
      <c r="W311" s="58"/>
      <c r="X311" s="58"/>
      <c r="Y311" s="58"/>
      <c r="Z311" s="58"/>
      <c r="AA311" s="507"/>
      <c r="AC311" s="105"/>
      <c r="AT311" s="448" t="s">
        <v>182</v>
      </c>
      <c r="AU311" s="448" t="s">
        <v>76</v>
      </c>
    </row>
    <row r="312" spans="1:65" s="191" customFormat="1" ht="31.5" customHeight="1">
      <c r="A312" s="617"/>
      <c r="B312" s="617"/>
      <c r="C312" s="511" t="s">
        <v>1447</v>
      </c>
      <c r="D312" s="511"/>
      <c r="E312" s="511" t="s">
        <v>1404</v>
      </c>
      <c r="F312" s="1033" t="s">
        <v>599</v>
      </c>
      <c r="G312" s="1033"/>
      <c r="H312" s="1033"/>
      <c r="I312" s="1033"/>
      <c r="J312" s="97" t="s">
        <v>198</v>
      </c>
      <c r="K312" s="48">
        <v>2</v>
      </c>
      <c r="L312" s="27"/>
      <c r="M312" s="390"/>
      <c r="N312" s="998">
        <f t="shared" si="9"/>
        <v>0</v>
      </c>
      <c r="O312" s="998"/>
      <c r="P312" s="998"/>
      <c r="Q312" s="998"/>
      <c r="R312" s="617"/>
      <c r="S312" s="617"/>
      <c r="T312" s="620" t="s">
        <v>5</v>
      </c>
      <c r="U312" s="621" t="s">
        <v>36</v>
      </c>
      <c r="V312" s="622">
        <v>0</v>
      </c>
      <c r="W312" s="622">
        <f>V312*K346</f>
        <v>0</v>
      </c>
      <c r="X312" s="622">
        <v>0</v>
      </c>
      <c r="Y312" s="622">
        <f>X312*K346</f>
        <v>0</v>
      </c>
      <c r="Z312" s="622">
        <v>0</v>
      </c>
      <c r="AA312" s="623">
        <f>Z312*K346</f>
        <v>0</v>
      </c>
      <c r="AC312" s="105"/>
      <c r="AR312" s="624" t="s">
        <v>128</v>
      </c>
      <c r="AT312" s="624" t="s">
        <v>126</v>
      </c>
      <c r="AU312" s="624" t="s">
        <v>76</v>
      </c>
      <c r="AY312" s="624" t="s">
        <v>125</v>
      </c>
      <c r="BE312" s="625">
        <f>IF(U312="základní",N346,0)</f>
        <v>0</v>
      </c>
      <c r="BF312" s="625">
        <f>IF(U312="snížená",N346,0)</f>
        <v>0</v>
      </c>
      <c r="BG312" s="625">
        <f>IF(U312="zákl. přenesená",N346,0)</f>
        <v>0</v>
      </c>
      <c r="BH312" s="625">
        <f>IF(U312="sníž. přenesená",N346,0)</f>
        <v>0</v>
      </c>
      <c r="BI312" s="625">
        <f>IF(U312="nulová",N346,0)</f>
        <v>0</v>
      </c>
      <c r="BJ312" s="624" t="s">
        <v>80</v>
      </c>
      <c r="BK312" s="625">
        <f>ROUND(L346*K346,2)</f>
        <v>0</v>
      </c>
      <c r="BL312" s="624" t="s">
        <v>128</v>
      </c>
      <c r="BM312" s="624" t="s">
        <v>155</v>
      </c>
    </row>
    <row r="313" spans="1:47" s="162" customFormat="1" ht="27" customHeight="1">
      <c r="A313" s="58"/>
      <c r="B313" s="58"/>
      <c r="C313" s="511" t="s">
        <v>1448</v>
      </c>
      <c r="D313" s="511"/>
      <c r="E313" s="511" t="s">
        <v>1392</v>
      </c>
      <c r="F313" s="947" t="s">
        <v>600</v>
      </c>
      <c r="G313" s="947"/>
      <c r="H313" s="947"/>
      <c r="I313" s="947"/>
      <c r="J313" s="96" t="s">
        <v>198</v>
      </c>
      <c r="K313" s="52">
        <v>2</v>
      </c>
      <c r="L313" s="21"/>
      <c r="M313" s="390"/>
      <c r="N313" s="948">
        <f t="shared" si="9"/>
        <v>0</v>
      </c>
      <c r="O313" s="948"/>
      <c r="P313" s="948"/>
      <c r="Q313" s="948"/>
      <c r="R313" s="58"/>
      <c r="S313" s="58"/>
      <c r="T313" s="58"/>
      <c r="U313" s="58"/>
      <c r="V313" s="58"/>
      <c r="W313" s="58"/>
      <c r="X313" s="58"/>
      <c r="Y313" s="58"/>
      <c r="Z313" s="58"/>
      <c r="AA313" s="507"/>
      <c r="AC313" s="105"/>
      <c r="AT313" s="448" t="s">
        <v>182</v>
      </c>
      <c r="AU313" s="448" t="s">
        <v>76</v>
      </c>
    </row>
    <row r="314" spans="1:65" s="191" customFormat="1" ht="31.5" customHeight="1">
      <c r="A314" s="617"/>
      <c r="B314" s="617"/>
      <c r="C314" s="511" t="s">
        <v>1449</v>
      </c>
      <c r="D314" s="511"/>
      <c r="E314" s="511" t="s">
        <v>1393</v>
      </c>
      <c r="F314" s="1033" t="s">
        <v>601</v>
      </c>
      <c r="G314" s="1033"/>
      <c r="H314" s="1033"/>
      <c r="I314" s="1033"/>
      <c r="J314" s="97" t="s">
        <v>198</v>
      </c>
      <c r="K314" s="48">
        <v>2</v>
      </c>
      <c r="L314" s="27"/>
      <c r="M314" s="390"/>
      <c r="N314" s="998">
        <f t="shared" si="9"/>
        <v>0</v>
      </c>
      <c r="O314" s="998"/>
      <c r="P314" s="998"/>
      <c r="Q314" s="998"/>
      <c r="R314" s="617"/>
      <c r="S314" s="617"/>
      <c r="T314" s="620" t="s">
        <v>5</v>
      </c>
      <c r="U314" s="621" t="s">
        <v>36</v>
      </c>
      <c r="V314" s="622">
        <v>0</v>
      </c>
      <c r="W314" s="622">
        <f>V314*K348</f>
        <v>0</v>
      </c>
      <c r="X314" s="622">
        <v>0</v>
      </c>
      <c r="Y314" s="622">
        <f>X314*K348</f>
        <v>0</v>
      </c>
      <c r="Z314" s="622">
        <v>0</v>
      </c>
      <c r="AA314" s="623">
        <f>Z314*K348</f>
        <v>0</v>
      </c>
      <c r="AC314" s="105"/>
      <c r="AR314" s="624" t="s">
        <v>128</v>
      </c>
      <c r="AT314" s="624" t="s">
        <v>126</v>
      </c>
      <c r="AU314" s="624" t="s">
        <v>76</v>
      </c>
      <c r="AY314" s="624" t="s">
        <v>125</v>
      </c>
      <c r="BE314" s="625">
        <f>IF(U314="základní",N348,0)</f>
        <v>0</v>
      </c>
      <c r="BF314" s="625">
        <f>IF(U314="snížená",N348,0)</f>
        <v>0</v>
      </c>
      <c r="BG314" s="625">
        <f>IF(U314="zákl. přenesená",N348,0)</f>
        <v>0</v>
      </c>
      <c r="BH314" s="625">
        <f>IF(U314="sníž. přenesená",N348,0)</f>
        <v>0</v>
      </c>
      <c r="BI314" s="625">
        <f>IF(U314="nulová",N348,0)</f>
        <v>0</v>
      </c>
      <c r="BJ314" s="624" t="s">
        <v>80</v>
      </c>
      <c r="BK314" s="625">
        <f>ROUND(L348*K348,2)</f>
        <v>0</v>
      </c>
      <c r="BL314" s="624" t="s">
        <v>128</v>
      </c>
      <c r="BM314" s="624" t="s">
        <v>156</v>
      </c>
    </row>
    <row r="315" spans="1:47" s="162" customFormat="1" ht="30" customHeight="1">
      <c r="A315" s="58"/>
      <c r="B315" s="58"/>
      <c r="C315" s="511" t="s">
        <v>1450</v>
      </c>
      <c r="D315" s="511"/>
      <c r="E315" s="511" t="s">
        <v>1391</v>
      </c>
      <c r="F315" s="947" t="s">
        <v>602</v>
      </c>
      <c r="G315" s="947"/>
      <c r="H315" s="947"/>
      <c r="I315" s="947"/>
      <c r="J315" s="96" t="s">
        <v>198</v>
      </c>
      <c r="K315" s="52">
        <v>1</v>
      </c>
      <c r="L315" s="21"/>
      <c r="M315" s="390"/>
      <c r="N315" s="948">
        <f t="shared" si="9"/>
        <v>0</v>
      </c>
      <c r="O315" s="948"/>
      <c r="P315" s="948"/>
      <c r="Q315" s="948"/>
      <c r="R315" s="58"/>
      <c r="S315" s="58"/>
      <c r="T315" s="58"/>
      <c r="U315" s="58"/>
      <c r="V315" s="58"/>
      <c r="W315" s="58"/>
      <c r="X315" s="58"/>
      <c r="Y315" s="58"/>
      <c r="Z315" s="58"/>
      <c r="AA315" s="507"/>
      <c r="AC315" s="105"/>
      <c r="AT315" s="448" t="s">
        <v>182</v>
      </c>
      <c r="AU315" s="448" t="s">
        <v>76</v>
      </c>
    </row>
    <row r="316" spans="1:65" s="191" customFormat="1" ht="40.5" customHeight="1">
      <c r="A316" s="617"/>
      <c r="B316" s="617"/>
      <c r="C316" s="511" t="s">
        <v>1451</v>
      </c>
      <c r="D316" s="511"/>
      <c r="E316" s="511" t="s">
        <v>1405</v>
      </c>
      <c r="F316" s="1033" t="s">
        <v>603</v>
      </c>
      <c r="G316" s="1033"/>
      <c r="H316" s="1033"/>
      <c r="I316" s="1033"/>
      <c r="J316" s="97" t="s">
        <v>198</v>
      </c>
      <c r="K316" s="48">
        <v>1</v>
      </c>
      <c r="L316" s="27"/>
      <c r="M316" s="390"/>
      <c r="N316" s="998">
        <f t="shared" si="9"/>
        <v>0</v>
      </c>
      <c r="O316" s="998"/>
      <c r="P316" s="998"/>
      <c r="Q316" s="998"/>
      <c r="R316" s="617"/>
      <c r="S316" s="617"/>
      <c r="T316" s="620" t="s">
        <v>5</v>
      </c>
      <c r="U316" s="621" t="s">
        <v>36</v>
      </c>
      <c r="V316" s="622">
        <v>0</v>
      </c>
      <c r="W316" s="622">
        <f>V316*K350</f>
        <v>0</v>
      </c>
      <c r="X316" s="622">
        <v>0</v>
      </c>
      <c r="Y316" s="622">
        <f>X316*K350</f>
        <v>0</v>
      </c>
      <c r="Z316" s="622">
        <v>0</v>
      </c>
      <c r="AA316" s="623">
        <f>Z316*K350</f>
        <v>0</v>
      </c>
      <c r="AC316" s="105"/>
      <c r="AR316" s="624" t="s">
        <v>128</v>
      </c>
      <c r="AT316" s="624" t="s">
        <v>126</v>
      </c>
      <c r="AU316" s="624" t="s">
        <v>76</v>
      </c>
      <c r="AY316" s="624" t="s">
        <v>125</v>
      </c>
      <c r="BE316" s="625">
        <f>IF(U316="základní",N350,0)</f>
        <v>0</v>
      </c>
      <c r="BF316" s="625">
        <f>IF(U316="snížená",N350,0)</f>
        <v>0</v>
      </c>
      <c r="BG316" s="625">
        <f>IF(U316="zákl. přenesená",N350,0)</f>
        <v>0</v>
      </c>
      <c r="BH316" s="625">
        <f>IF(U316="sníž. přenesená",N350,0)</f>
        <v>0</v>
      </c>
      <c r="BI316" s="625">
        <f>IF(U316="nulová",N350,0)</f>
        <v>0</v>
      </c>
      <c r="BJ316" s="624" t="s">
        <v>80</v>
      </c>
      <c r="BK316" s="625">
        <f>ROUND(L350*K350,2)</f>
        <v>0</v>
      </c>
      <c r="BL316" s="624" t="s">
        <v>128</v>
      </c>
      <c r="BM316" s="624" t="s">
        <v>157</v>
      </c>
    </row>
    <row r="317" spans="1:47" s="162" customFormat="1" ht="42" customHeight="1">
      <c r="A317" s="58"/>
      <c r="B317" s="58"/>
      <c r="C317" s="511" t="s">
        <v>1452</v>
      </c>
      <c r="D317" s="511"/>
      <c r="E317" s="511" t="s">
        <v>1392</v>
      </c>
      <c r="F317" s="947" t="s">
        <v>600</v>
      </c>
      <c r="G317" s="947"/>
      <c r="H317" s="947"/>
      <c r="I317" s="947"/>
      <c r="J317" s="96" t="s">
        <v>198</v>
      </c>
      <c r="K317" s="52">
        <v>1</v>
      </c>
      <c r="L317" s="21"/>
      <c r="M317" s="390"/>
      <c r="N317" s="948">
        <f t="shared" si="9"/>
        <v>0</v>
      </c>
      <c r="O317" s="948"/>
      <c r="P317" s="948"/>
      <c r="Q317" s="948"/>
      <c r="R317" s="58"/>
      <c r="S317" s="58"/>
      <c r="T317" s="58"/>
      <c r="U317" s="58"/>
      <c r="V317" s="58"/>
      <c r="W317" s="58"/>
      <c r="X317" s="58"/>
      <c r="Y317" s="58"/>
      <c r="Z317" s="58"/>
      <c r="AA317" s="507"/>
      <c r="AC317" s="105"/>
      <c r="AT317" s="448" t="s">
        <v>182</v>
      </c>
      <c r="AU317" s="448" t="s">
        <v>76</v>
      </c>
    </row>
    <row r="318" spans="1:65" s="191" customFormat="1" ht="31.5" customHeight="1">
      <c r="A318" s="617"/>
      <c r="B318" s="617"/>
      <c r="C318" s="511" t="s">
        <v>1453</v>
      </c>
      <c r="D318" s="511"/>
      <c r="E318" s="511" t="s">
        <v>1393</v>
      </c>
      <c r="F318" s="1033" t="s">
        <v>601</v>
      </c>
      <c r="G318" s="1033"/>
      <c r="H318" s="1033"/>
      <c r="I318" s="1033"/>
      <c r="J318" s="97" t="s">
        <v>198</v>
      </c>
      <c r="K318" s="48">
        <v>1</v>
      </c>
      <c r="L318" s="27"/>
      <c r="M318" s="390"/>
      <c r="N318" s="998">
        <f t="shared" si="9"/>
        <v>0</v>
      </c>
      <c r="O318" s="998"/>
      <c r="P318" s="998"/>
      <c r="Q318" s="998"/>
      <c r="R318" s="617"/>
      <c r="S318" s="617"/>
      <c r="T318" s="620" t="s">
        <v>5</v>
      </c>
      <c r="U318" s="621" t="s">
        <v>36</v>
      </c>
      <c r="V318" s="622">
        <v>0</v>
      </c>
      <c r="W318" s="622">
        <f>V318*K352</f>
        <v>0</v>
      </c>
      <c r="X318" s="622">
        <v>0</v>
      </c>
      <c r="Y318" s="622">
        <f>X318*K352</f>
        <v>0</v>
      </c>
      <c r="Z318" s="622">
        <v>0</v>
      </c>
      <c r="AA318" s="623">
        <f>Z318*K352</f>
        <v>0</v>
      </c>
      <c r="AC318" s="105"/>
      <c r="AR318" s="624" t="s">
        <v>128</v>
      </c>
      <c r="AT318" s="624" t="s">
        <v>126</v>
      </c>
      <c r="AU318" s="624" t="s">
        <v>76</v>
      </c>
      <c r="AY318" s="624" t="s">
        <v>125</v>
      </c>
      <c r="BE318" s="625">
        <f>IF(U318="základní",N352,0)</f>
        <v>0</v>
      </c>
      <c r="BF318" s="625">
        <f>IF(U318="snížená",N352,0)</f>
        <v>0</v>
      </c>
      <c r="BG318" s="625">
        <f>IF(U318="zákl. přenesená",N352,0)</f>
        <v>0</v>
      </c>
      <c r="BH318" s="625">
        <f>IF(U318="sníž. přenesená",N352,0)</f>
        <v>0</v>
      </c>
      <c r="BI318" s="625">
        <f>IF(U318="nulová",N352,0)</f>
        <v>0</v>
      </c>
      <c r="BJ318" s="624" t="s">
        <v>80</v>
      </c>
      <c r="BK318" s="625">
        <f>ROUND(L352*K352,2)</f>
        <v>0</v>
      </c>
      <c r="BL318" s="624" t="s">
        <v>128</v>
      </c>
      <c r="BM318" s="624" t="s">
        <v>158</v>
      </c>
    </row>
    <row r="319" spans="3:65" s="609" customFormat="1" ht="27.75" customHeight="1">
      <c r="C319" s="511" t="s">
        <v>1454</v>
      </c>
      <c r="D319" s="511"/>
      <c r="E319" s="688" t="s">
        <v>1420</v>
      </c>
      <c r="F319" s="947" t="s">
        <v>1412</v>
      </c>
      <c r="G319" s="947"/>
      <c r="H319" s="947"/>
      <c r="I319" s="947"/>
      <c r="J319" s="96" t="s">
        <v>198</v>
      </c>
      <c r="K319" s="53">
        <v>1</v>
      </c>
      <c r="L319" s="21"/>
      <c r="M319" s="390"/>
      <c r="N319" s="948">
        <f t="shared" si="9"/>
        <v>0</v>
      </c>
      <c r="O319" s="948"/>
      <c r="P319" s="948"/>
      <c r="Q319" s="948"/>
      <c r="R319" s="689"/>
      <c r="S319" s="689"/>
      <c r="T319" s="690"/>
      <c r="U319" s="691"/>
      <c r="V319" s="692"/>
      <c r="W319" s="692"/>
      <c r="X319" s="692"/>
      <c r="Y319" s="692"/>
      <c r="Z319" s="692"/>
      <c r="AA319" s="693"/>
      <c r="AB319" s="689"/>
      <c r="AC319" s="105"/>
      <c r="AU319" s="615"/>
      <c r="AY319" s="615"/>
      <c r="BE319" s="616"/>
      <c r="BF319" s="616"/>
      <c r="BG319" s="616"/>
      <c r="BH319" s="616"/>
      <c r="BI319" s="616"/>
      <c r="BJ319" s="615"/>
      <c r="BK319" s="616"/>
      <c r="BL319" s="615"/>
      <c r="BM319" s="615"/>
    </row>
    <row r="320" spans="3:65" s="694" customFormat="1" ht="27.75" customHeight="1">
      <c r="C320" s="511" t="s">
        <v>1455</v>
      </c>
      <c r="D320" s="681"/>
      <c r="E320" s="688" t="s">
        <v>1421</v>
      </c>
      <c r="F320" s="1033" t="s">
        <v>1413</v>
      </c>
      <c r="G320" s="1086"/>
      <c r="H320" s="1086"/>
      <c r="I320" s="1086"/>
      <c r="J320" s="578" t="s">
        <v>198</v>
      </c>
      <c r="K320" s="54">
        <v>1</v>
      </c>
      <c r="L320" s="27"/>
      <c r="M320" s="390"/>
      <c r="N320" s="998">
        <f t="shared" si="9"/>
        <v>0</v>
      </c>
      <c r="O320" s="998"/>
      <c r="P320" s="998"/>
      <c r="Q320" s="998"/>
      <c r="T320" s="695"/>
      <c r="U320" s="696"/>
      <c r="V320" s="697"/>
      <c r="W320" s="697"/>
      <c r="X320" s="697"/>
      <c r="Y320" s="697"/>
      <c r="Z320" s="697"/>
      <c r="AA320" s="698"/>
      <c r="AC320" s="105"/>
      <c r="AU320" s="699"/>
      <c r="AY320" s="699"/>
      <c r="BE320" s="700"/>
      <c r="BF320" s="700"/>
      <c r="BG320" s="700"/>
      <c r="BH320" s="700"/>
      <c r="BI320" s="700"/>
      <c r="BJ320" s="699"/>
      <c r="BK320" s="700"/>
      <c r="BL320" s="699"/>
      <c r="BM320" s="699"/>
    </row>
    <row r="321" spans="1:47" s="162" customFormat="1" ht="30.75" customHeight="1">
      <c r="A321" s="58"/>
      <c r="B321" s="58"/>
      <c r="C321" s="511" t="s">
        <v>1456</v>
      </c>
      <c r="D321" s="511"/>
      <c r="E321" s="511" t="s">
        <v>1406</v>
      </c>
      <c r="F321" s="947" t="s">
        <v>604</v>
      </c>
      <c r="G321" s="947"/>
      <c r="H321" s="947"/>
      <c r="I321" s="947"/>
      <c r="J321" s="96" t="s">
        <v>198</v>
      </c>
      <c r="K321" s="52">
        <v>1</v>
      </c>
      <c r="L321" s="21"/>
      <c r="M321" s="390"/>
      <c r="N321" s="948">
        <f t="shared" si="9"/>
        <v>0</v>
      </c>
      <c r="O321" s="948"/>
      <c r="P321" s="948"/>
      <c r="Q321" s="948"/>
      <c r="R321" s="58"/>
      <c r="S321" s="58"/>
      <c r="T321" s="58"/>
      <c r="U321" s="58"/>
      <c r="V321" s="58"/>
      <c r="W321" s="58"/>
      <c r="X321" s="58"/>
      <c r="Y321" s="58"/>
      <c r="Z321" s="58"/>
      <c r="AA321" s="507"/>
      <c r="AC321" s="105"/>
      <c r="AT321" s="448" t="s">
        <v>182</v>
      </c>
      <c r="AU321" s="448" t="s">
        <v>76</v>
      </c>
    </row>
    <row r="322" spans="1:65" s="191" customFormat="1" ht="31.5" customHeight="1">
      <c r="A322" s="617"/>
      <c r="B322" s="617"/>
      <c r="C322" s="511" t="s">
        <v>1457</v>
      </c>
      <c r="D322" s="511"/>
      <c r="E322" s="511" t="s">
        <v>1407</v>
      </c>
      <c r="F322" s="1033" t="s">
        <v>605</v>
      </c>
      <c r="G322" s="1033"/>
      <c r="H322" s="1033"/>
      <c r="I322" s="1033"/>
      <c r="J322" s="97" t="s">
        <v>198</v>
      </c>
      <c r="K322" s="48">
        <v>1</v>
      </c>
      <c r="L322" s="27"/>
      <c r="M322" s="390"/>
      <c r="N322" s="998">
        <f t="shared" si="9"/>
        <v>0</v>
      </c>
      <c r="O322" s="998"/>
      <c r="P322" s="998"/>
      <c r="Q322" s="998"/>
      <c r="R322" s="617"/>
      <c r="S322" s="617"/>
      <c r="T322" s="620" t="s">
        <v>5</v>
      </c>
      <c r="U322" s="621" t="s">
        <v>36</v>
      </c>
      <c r="V322" s="622">
        <v>0</v>
      </c>
      <c r="W322" s="622">
        <f>V322*K365</f>
        <v>0</v>
      </c>
      <c r="X322" s="622">
        <v>0</v>
      </c>
      <c r="Y322" s="622">
        <f>X322*K365</f>
        <v>0</v>
      </c>
      <c r="Z322" s="622">
        <v>0</v>
      </c>
      <c r="AA322" s="623">
        <f>Z322*K365</f>
        <v>0</v>
      </c>
      <c r="AC322" s="105"/>
      <c r="AR322" s="624" t="s">
        <v>128</v>
      </c>
      <c r="AT322" s="624" t="s">
        <v>126</v>
      </c>
      <c r="AU322" s="624" t="s">
        <v>76</v>
      </c>
      <c r="AY322" s="624" t="s">
        <v>125</v>
      </c>
      <c r="BE322" s="625">
        <f>IF(U322="základní",N365,0)</f>
        <v>0</v>
      </c>
      <c r="BF322" s="625">
        <f>IF(U322="snížená",N365,0)</f>
        <v>0</v>
      </c>
      <c r="BG322" s="625">
        <f>IF(U322="zákl. přenesená",N365,0)</f>
        <v>0</v>
      </c>
      <c r="BH322" s="625">
        <f>IF(U322="sníž. přenesená",N365,0)</f>
        <v>0</v>
      </c>
      <c r="BI322" s="625">
        <f>IF(U322="nulová",N365,0)</f>
        <v>0</v>
      </c>
      <c r="BJ322" s="624" t="s">
        <v>80</v>
      </c>
      <c r="BK322" s="625">
        <f>ROUND(L365*K365,2)</f>
        <v>0</v>
      </c>
      <c r="BL322" s="624" t="s">
        <v>128</v>
      </c>
      <c r="BM322" s="624" t="s">
        <v>159</v>
      </c>
    </row>
    <row r="323" spans="1:63" s="635" customFormat="1" ht="37.35" customHeight="1">
      <c r="A323" s="629"/>
      <c r="B323" s="630"/>
      <c r="C323" s="511" t="s">
        <v>1458</v>
      </c>
      <c r="D323" s="510"/>
      <c r="E323" s="511" t="s">
        <v>1370</v>
      </c>
      <c r="F323" s="999" t="s">
        <v>247</v>
      </c>
      <c r="G323" s="999"/>
      <c r="H323" s="999"/>
      <c r="I323" s="999"/>
      <c r="J323" s="102" t="s">
        <v>131</v>
      </c>
      <c r="K323" s="44">
        <v>1</v>
      </c>
      <c r="L323" s="21"/>
      <c r="M323" s="390"/>
      <c r="N323" s="948">
        <f>ROUND(L323*K323,2)</f>
        <v>0</v>
      </c>
      <c r="O323" s="948"/>
      <c r="P323" s="948"/>
      <c r="Q323" s="948"/>
      <c r="R323" s="631"/>
      <c r="S323" s="632"/>
      <c r="T323" s="632"/>
      <c r="U323" s="632"/>
      <c r="V323" s="632"/>
      <c r="W323" s="633"/>
      <c r="X323" s="632"/>
      <c r="Y323" s="633"/>
      <c r="Z323" s="632"/>
      <c r="AA323" s="634"/>
      <c r="AC323" s="105"/>
      <c r="AU323" s="636"/>
      <c r="AY323" s="637"/>
      <c r="BK323" s="638"/>
    </row>
    <row r="324" spans="2:47" s="249" customFormat="1" ht="30" customHeight="1">
      <c r="B324" s="247"/>
      <c r="C324" s="511" t="s">
        <v>1459</v>
      </c>
      <c r="D324" s="511"/>
      <c r="E324" s="511" t="s">
        <v>1366</v>
      </c>
      <c r="F324" s="954" t="s">
        <v>206</v>
      </c>
      <c r="G324" s="954"/>
      <c r="H324" s="954"/>
      <c r="I324" s="954"/>
      <c r="J324" s="103" t="s">
        <v>2227</v>
      </c>
      <c r="K324" s="45">
        <v>1</v>
      </c>
      <c r="L324" s="29"/>
      <c r="M324" s="390"/>
      <c r="N324" s="948">
        <f>ROUND(L324*K324,2)</f>
        <v>0</v>
      </c>
      <c r="O324" s="948"/>
      <c r="P324" s="948"/>
      <c r="Q324" s="948"/>
      <c r="R324" s="248"/>
      <c r="T324" s="639"/>
      <c r="U324" s="87"/>
      <c r="V324" s="87"/>
      <c r="W324" s="87"/>
      <c r="X324" s="87"/>
      <c r="Y324" s="87"/>
      <c r="Z324" s="87"/>
      <c r="AA324" s="275"/>
      <c r="AC324" s="105"/>
      <c r="AU324" s="240" t="s">
        <v>76</v>
      </c>
    </row>
    <row r="325" spans="2:65" s="249" customFormat="1" ht="30" customHeight="1">
      <c r="B325" s="247"/>
      <c r="C325" s="511" t="s">
        <v>1460</v>
      </c>
      <c r="D325" s="511"/>
      <c r="E325" s="511" t="s">
        <v>1367</v>
      </c>
      <c r="F325" s="954" t="s">
        <v>2226</v>
      </c>
      <c r="G325" s="954"/>
      <c r="H325" s="954"/>
      <c r="I325" s="954"/>
      <c r="J325" s="103" t="s">
        <v>2227</v>
      </c>
      <c r="K325" s="45">
        <v>1</v>
      </c>
      <c r="L325" s="29"/>
      <c r="M325" s="390"/>
      <c r="N325" s="948">
        <f>ROUND(L325*K325,2)</f>
        <v>0</v>
      </c>
      <c r="O325" s="948"/>
      <c r="P325" s="948"/>
      <c r="Q325" s="948"/>
      <c r="R325" s="248"/>
      <c r="T325" s="640" t="s">
        <v>5</v>
      </c>
      <c r="U325" s="641" t="s">
        <v>36</v>
      </c>
      <c r="V325" s="642">
        <v>0</v>
      </c>
      <c r="W325" s="642" t="e">
        <f>V325*#REF!</f>
        <v>#REF!</v>
      </c>
      <c r="X325" s="642">
        <v>0</v>
      </c>
      <c r="Y325" s="642" t="e">
        <f>X325*#REF!</f>
        <v>#REF!</v>
      </c>
      <c r="Z325" s="642">
        <v>0</v>
      </c>
      <c r="AA325" s="643" t="e">
        <f>Z325*#REF!</f>
        <v>#REF!</v>
      </c>
      <c r="AC325" s="105"/>
      <c r="AU325" s="240" t="s">
        <v>76</v>
      </c>
      <c r="AY325" s="240" t="s">
        <v>125</v>
      </c>
      <c r="BE325" s="250">
        <f>IF(U325="základní",#REF!,0)</f>
        <v>0</v>
      </c>
      <c r="BF325" s="250" t="e">
        <f>IF(U325="snížená",#REF!,0)</f>
        <v>#REF!</v>
      </c>
      <c r="BG325" s="250">
        <f>IF(U325="zákl. přenesená",#REF!,0)</f>
        <v>0</v>
      </c>
      <c r="BH325" s="250">
        <f>IF(U325="sníž. přenesená",#REF!,0)</f>
        <v>0</v>
      </c>
      <c r="BI325" s="250">
        <f>IF(U325="nulová",#REF!,0)</f>
        <v>0</v>
      </c>
      <c r="BJ325" s="240" t="s">
        <v>80</v>
      </c>
      <c r="BK325" s="250" t="e">
        <f>ROUND(#REF!*#REF!,2)</f>
        <v>#REF!</v>
      </c>
      <c r="BL325" s="240" t="s">
        <v>128</v>
      </c>
      <c r="BM325" s="240" t="s">
        <v>139</v>
      </c>
    </row>
    <row r="326" spans="1:63" s="394" customFormat="1" ht="37.35" customHeight="1">
      <c r="A326" s="546"/>
      <c r="B326" s="389"/>
      <c r="C326" s="644"/>
      <c r="D326" s="597" t="s">
        <v>606</v>
      </c>
      <c r="E326" s="645"/>
      <c r="F326" s="390"/>
      <c r="G326" s="390"/>
      <c r="H326" s="390"/>
      <c r="I326" s="390"/>
      <c r="J326" s="390"/>
      <c r="K326" s="46"/>
      <c r="L326" s="738"/>
      <c r="M326" s="390"/>
      <c r="N326" s="646"/>
      <c r="O326" s="647"/>
      <c r="P326" s="647"/>
      <c r="Q326" s="647"/>
      <c r="R326" s="391"/>
      <c r="S326" s="388"/>
      <c r="T326" s="388"/>
      <c r="U326" s="388"/>
      <c r="V326" s="388"/>
      <c r="W326" s="392"/>
      <c r="X326" s="388"/>
      <c r="Y326" s="392"/>
      <c r="Z326" s="388"/>
      <c r="AA326" s="393"/>
      <c r="AC326" s="105"/>
      <c r="AU326" s="395"/>
      <c r="AY326" s="396"/>
      <c r="BK326" s="397"/>
    </row>
    <row r="327" spans="1:63" s="654" customFormat="1" ht="39" customHeight="1">
      <c r="A327" s="649"/>
      <c r="B327" s="650"/>
      <c r="C327" s="511" t="s">
        <v>1461</v>
      </c>
      <c r="D327" s="511"/>
      <c r="E327" s="511" t="s">
        <v>1353</v>
      </c>
      <c r="F327" s="999" t="s">
        <v>252</v>
      </c>
      <c r="G327" s="999"/>
      <c r="H327" s="999"/>
      <c r="I327" s="999"/>
      <c r="J327" s="94" t="s">
        <v>131</v>
      </c>
      <c r="K327" s="43">
        <v>1</v>
      </c>
      <c r="L327" s="21"/>
      <c r="M327" s="390"/>
      <c r="N327" s="948">
        <f>ROUND(L327*K327,2)</f>
        <v>0</v>
      </c>
      <c r="O327" s="948"/>
      <c r="P327" s="948"/>
      <c r="Q327" s="948"/>
      <c r="R327" s="651"/>
      <c r="S327" s="649"/>
      <c r="T327" s="649"/>
      <c r="U327" s="649"/>
      <c r="V327" s="649"/>
      <c r="W327" s="652">
        <f>SUM(W331:W332)</f>
        <v>0</v>
      </c>
      <c r="X327" s="649"/>
      <c r="Y327" s="652">
        <f>SUM(Y331:Y332)</f>
        <v>0</v>
      </c>
      <c r="Z327" s="649"/>
      <c r="AA327" s="653">
        <f>SUM(AA331:AA332)</f>
        <v>0</v>
      </c>
      <c r="AC327" s="105"/>
      <c r="AU327" s="655" t="s">
        <v>69</v>
      </c>
      <c r="AY327" s="656" t="s">
        <v>125</v>
      </c>
      <c r="BK327" s="657">
        <f>SUM(BK331:BK332)</f>
        <v>0</v>
      </c>
    </row>
    <row r="328" spans="1:65" s="609" customFormat="1" ht="31.5" customHeight="1">
      <c r="A328" s="606"/>
      <c r="B328" s="606"/>
      <c r="C328" s="626"/>
      <c r="D328" s="626"/>
      <c r="E328" s="626"/>
      <c r="F328" s="1076" t="s">
        <v>546</v>
      </c>
      <c r="G328" s="1077"/>
      <c r="H328" s="1077"/>
      <c r="I328" s="1078"/>
      <c r="J328" s="487"/>
      <c r="K328" s="55"/>
      <c r="L328" s="32"/>
      <c r="M328" s="390"/>
      <c r="N328" s="1037"/>
      <c r="O328" s="1037"/>
      <c r="P328" s="1037"/>
      <c r="Q328" s="1037"/>
      <c r="R328" s="606"/>
      <c r="S328" s="606"/>
      <c r="T328" s="611" t="s">
        <v>5</v>
      </c>
      <c r="U328" s="612" t="s">
        <v>36</v>
      </c>
      <c r="V328" s="613">
        <v>0</v>
      </c>
      <c r="W328" s="613">
        <f>V328*K370</f>
        <v>0</v>
      </c>
      <c r="X328" s="613">
        <v>0</v>
      </c>
      <c r="Y328" s="613">
        <f>X328*K370</f>
        <v>0</v>
      </c>
      <c r="Z328" s="613">
        <v>0</v>
      </c>
      <c r="AA328" s="614">
        <f>Z328*K370</f>
        <v>0</v>
      </c>
      <c r="AC328" s="105"/>
      <c r="AR328" s="615" t="s">
        <v>128</v>
      </c>
      <c r="AT328" s="615" t="s">
        <v>126</v>
      </c>
      <c r="AU328" s="615" t="s">
        <v>76</v>
      </c>
      <c r="AY328" s="615" t="s">
        <v>125</v>
      </c>
      <c r="BE328" s="616">
        <f>IF(U328="základní",N370,0)</f>
        <v>0</v>
      </c>
      <c r="BF328" s="616">
        <f>IF(U328="snížená",N370,0)</f>
        <v>0</v>
      </c>
      <c r="BG328" s="616">
        <f>IF(U328="zákl. přenesená",N370,0)</f>
        <v>0</v>
      </c>
      <c r="BH328" s="616">
        <f>IF(U328="sníž. přenesená",N370,0)</f>
        <v>0</v>
      </c>
      <c r="BI328" s="616">
        <f>IF(U328="nulová",N370,0)</f>
        <v>0</v>
      </c>
      <c r="BJ328" s="615" t="s">
        <v>80</v>
      </c>
      <c r="BK328" s="616">
        <f>ROUND(L370*K370,2)</f>
        <v>0</v>
      </c>
      <c r="BL328" s="615" t="s">
        <v>128</v>
      </c>
      <c r="BM328" s="615" t="s">
        <v>160</v>
      </c>
    </row>
    <row r="329" spans="1:47" s="162" customFormat="1" ht="30" customHeight="1">
      <c r="A329" s="58"/>
      <c r="B329" s="58"/>
      <c r="C329" s="511" t="s">
        <v>1462</v>
      </c>
      <c r="D329" s="681"/>
      <c r="E329" s="511" t="s">
        <v>1327</v>
      </c>
      <c r="F329" s="1015" t="s">
        <v>536</v>
      </c>
      <c r="G329" s="1016"/>
      <c r="H329" s="1016"/>
      <c r="I329" s="1017"/>
      <c r="J329" s="94" t="s">
        <v>133</v>
      </c>
      <c r="K329" s="52">
        <f>0.53+0.54+0.55+0.56+1.2+0.63+0.64+2.42+0.95</f>
        <v>8.02</v>
      </c>
      <c r="L329" s="21"/>
      <c r="M329" s="390"/>
      <c r="N329" s="948">
        <f>ROUND(L329*K329,2)</f>
        <v>0</v>
      </c>
      <c r="O329" s="948"/>
      <c r="P329" s="948"/>
      <c r="Q329" s="948"/>
      <c r="R329" s="58"/>
      <c r="S329" s="58"/>
      <c r="T329" s="58"/>
      <c r="U329" s="58"/>
      <c r="V329" s="58"/>
      <c r="W329" s="58"/>
      <c r="X329" s="58"/>
      <c r="Y329" s="58"/>
      <c r="Z329" s="58"/>
      <c r="AA329" s="507"/>
      <c r="AC329" s="105"/>
      <c r="AT329" s="448" t="s">
        <v>182</v>
      </c>
      <c r="AU329" s="448" t="s">
        <v>76</v>
      </c>
    </row>
    <row r="330" spans="1:65" s="191" customFormat="1" ht="31.5" customHeight="1">
      <c r="A330" s="617"/>
      <c r="B330" s="617"/>
      <c r="C330" s="511" t="s">
        <v>1463</v>
      </c>
      <c r="D330" s="511"/>
      <c r="E330" s="511" t="s">
        <v>1328</v>
      </c>
      <c r="F330" s="1005" t="s">
        <v>535</v>
      </c>
      <c r="G330" s="1006"/>
      <c r="H330" s="1006"/>
      <c r="I330" s="1007"/>
      <c r="J330" s="101" t="s">
        <v>133</v>
      </c>
      <c r="K330" s="48">
        <f>K329*1.1</f>
        <v>8.822000000000001</v>
      </c>
      <c r="L330" s="27"/>
      <c r="M330" s="390"/>
      <c r="N330" s="998">
        <f>ROUND(L330*K330,2)</f>
        <v>0</v>
      </c>
      <c r="O330" s="998"/>
      <c r="P330" s="998"/>
      <c r="Q330" s="998"/>
      <c r="R330" s="617"/>
      <c r="S330" s="617"/>
      <c r="T330" s="620" t="s">
        <v>5</v>
      </c>
      <c r="U330" s="621" t="s">
        <v>36</v>
      </c>
      <c r="V330" s="622">
        <v>0</v>
      </c>
      <c r="W330" s="622">
        <f>V330*K372</f>
        <v>0</v>
      </c>
      <c r="X330" s="622">
        <v>0</v>
      </c>
      <c r="Y330" s="622">
        <f>X330*K372</f>
        <v>0</v>
      </c>
      <c r="Z330" s="622">
        <v>0</v>
      </c>
      <c r="AA330" s="623">
        <f>Z330*K372</f>
        <v>0</v>
      </c>
      <c r="AC330" s="105"/>
      <c r="AR330" s="624" t="s">
        <v>128</v>
      </c>
      <c r="AT330" s="624" t="s">
        <v>126</v>
      </c>
      <c r="AU330" s="624" t="s">
        <v>76</v>
      </c>
      <c r="AY330" s="624" t="s">
        <v>125</v>
      </c>
      <c r="BE330" s="625">
        <f>IF(U330="základní",N372,0)</f>
        <v>0</v>
      </c>
      <c r="BF330" s="625">
        <f>IF(U330="snížená",N372,0)</f>
        <v>0</v>
      </c>
      <c r="BG330" s="625">
        <f>IF(U330="zákl. přenesená",N372,0)</f>
        <v>0</v>
      </c>
      <c r="BH330" s="625">
        <f>IF(U330="sníž. přenesená",N372,0)</f>
        <v>0</v>
      </c>
      <c r="BI330" s="625">
        <f>IF(U330="nulová",N372,0)</f>
        <v>0</v>
      </c>
      <c r="BJ330" s="624" t="s">
        <v>80</v>
      </c>
      <c r="BK330" s="625">
        <f>ROUND(L372*K372,2)</f>
        <v>0</v>
      </c>
      <c r="BL330" s="624" t="s">
        <v>128</v>
      </c>
      <c r="BM330" s="624" t="s">
        <v>161</v>
      </c>
    </row>
    <row r="331" spans="1:47" s="191" customFormat="1" ht="30" customHeight="1">
      <c r="A331" s="617"/>
      <c r="B331" s="617"/>
      <c r="C331" s="511" t="s">
        <v>1464</v>
      </c>
      <c r="D331" s="681"/>
      <c r="E331" s="511" t="s">
        <v>1329</v>
      </c>
      <c r="F331" s="1005" t="s">
        <v>529</v>
      </c>
      <c r="G331" s="1006"/>
      <c r="H331" s="1006"/>
      <c r="I331" s="1007"/>
      <c r="J331" s="101" t="s">
        <v>198</v>
      </c>
      <c r="K331" s="48">
        <v>1</v>
      </c>
      <c r="L331" s="27"/>
      <c r="M331" s="390"/>
      <c r="N331" s="998">
        <f>ROUND(L331*K331,2)</f>
        <v>0</v>
      </c>
      <c r="O331" s="998"/>
      <c r="P331" s="998"/>
      <c r="Q331" s="998"/>
      <c r="R331" s="617"/>
      <c r="S331" s="617"/>
      <c r="T331" s="617"/>
      <c r="U331" s="617"/>
      <c r="V331" s="617"/>
      <c r="W331" s="617"/>
      <c r="X331" s="617"/>
      <c r="Y331" s="617"/>
      <c r="Z331" s="617"/>
      <c r="AA331" s="680"/>
      <c r="AC331" s="105"/>
      <c r="AT331" s="624" t="s">
        <v>182</v>
      </c>
      <c r="AU331" s="624" t="s">
        <v>76</v>
      </c>
    </row>
    <row r="332" spans="1:47" s="191" customFormat="1" ht="30" customHeight="1">
      <c r="A332" s="617"/>
      <c r="B332" s="617"/>
      <c r="C332" s="511" t="s">
        <v>1465</v>
      </c>
      <c r="D332" s="681"/>
      <c r="E332" s="511" t="s">
        <v>1330</v>
      </c>
      <c r="F332" s="1005" t="s">
        <v>575</v>
      </c>
      <c r="G332" s="1006"/>
      <c r="H332" s="1006"/>
      <c r="I332" s="1007"/>
      <c r="J332" s="101" t="s">
        <v>198</v>
      </c>
      <c r="K332" s="48">
        <v>1</v>
      </c>
      <c r="L332" s="27"/>
      <c r="M332" s="390"/>
      <c r="N332" s="998">
        <f aca="true" t="shared" si="10" ref="N332:N353">ROUND(L332*K332,2)</f>
        <v>0</v>
      </c>
      <c r="O332" s="998"/>
      <c r="P332" s="998"/>
      <c r="Q332" s="998"/>
      <c r="R332" s="617"/>
      <c r="S332" s="617"/>
      <c r="T332" s="617"/>
      <c r="U332" s="617"/>
      <c r="V332" s="617"/>
      <c r="W332" s="617"/>
      <c r="X332" s="617"/>
      <c r="Y332" s="617"/>
      <c r="Z332" s="617"/>
      <c r="AA332" s="680"/>
      <c r="AC332" s="105"/>
      <c r="AT332" s="624" t="s">
        <v>182</v>
      </c>
      <c r="AU332" s="624" t="s">
        <v>76</v>
      </c>
    </row>
    <row r="333" spans="1:47" s="162" customFormat="1" ht="30" customHeight="1">
      <c r="A333" s="58"/>
      <c r="B333" s="58"/>
      <c r="C333" s="511" t="s">
        <v>1466</v>
      </c>
      <c r="D333" s="681"/>
      <c r="E333" s="511" t="s">
        <v>1346</v>
      </c>
      <c r="F333" s="1015" t="s">
        <v>572</v>
      </c>
      <c r="G333" s="1016"/>
      <c r="H333" s="1016"/>
      <c r="I333" s="1017"/>
      <c r="J333" s="94" t="s">
        <v>133</v>
      </c>
      <c r="K333" s="52">
        <f>3.93</f>
        <v>3.93</v>
      </c>
      <c r="L333" s="21"/>
      <c r="M333" s="390"/>
      <c r="N333" s="948">
        <f t="shared" si="10"/>
        <v>0</v>
      </c>
      <c r="O333" s="948"/>
      <c r="P333" s="948"/>
      <c r="Q333" s="948"/>
      <c r="R333" s="58"/>
      <c r="S333" s="58"/>
      <c r="T333" s="58"/>
      <c r="U333" s="58"/>
      <c r="V333" s="58"/>
      <c r="W333" s="58"/>
      <c r="X333" s="58"/>
      <c r="Y333" s="58"/>
      <c r="Z333" s="58"/>
      <c r="AA333" s="507"/>
      <c r="AC333" s="105"/>
      <c r="AT333" s="448" t="s">
        <v>182</v>
      </c>
      <c r="AU333" s="448" t="s">
        <v>76</v>
      </c>
    </row>
    <row r="334" spans="1:65" s="191" customFormat="1" ht="31.5" customHeight="1">
      <c r="A334" s="617"/>
      <c r="B334" s="617"/>
      <c r="C334" s="511" t="s">
        <v>1467</v>
      </c>
      <c r="D334" s="511"/>
      <c r="E334" s="511" t="s">
        <v>1347</v>
      </c>
      <c r="F334" s="1005" t="s">
        <v>573</v>
      </c>
      <c r="G334" s="1006"/>
      <c r="H334" s="1006"/>
      <c r="I334" s="1007"/>
      <c r="J334" s="101" t="s">
        <v>133</v>
      </c>
      <c r="K334" s="48">
        <f>K333*1.1</f>
        <v>4.323</v>
      </c>
      <c r="L334" s="27"/>
      <c r="M334" s="390"/>
      <c r="N334" s="998">
        <f t="shared" si="10"/>
        <v>0</v>
      </c>
      <c r="O334" s="998"/>
      <c r="P334" s="998"/>
      <c r="Q334" s="998"/>
      <c r="R334" s="617"/>
      <c r="S334" s="617"/>
      <c r="T334" s="620" t="s">
        <v>5</v>
      </c>
      <c r="U334" s="621" t="s">
        <v>36</v>
      </c>
      <c r="V334" s="622">
        <v>0</v>
      </c>
      <c r="W334" s="622">
        <f>V334*K376</f>
        <v>0</v>
      </c>
      <c r="X334" s="622">
        <v>0</v>
      </c>
      <c r="Y334" s="622">
        <f>X334*K376</f>
        <v>0</v>
      </c>
      <c r="Z334" s="622">
        <v>0</v>
      </c>
      <c r="AA334" s="623">
        <f>Z334*K376</f>
        <v>0</v>
      </c>
      <c r="AC334" s="105"/>
      <c r="AR334" s="624" t="s">
        <v>128</v>
      </c>
      <c r="AT334" s="624" t="s">
        <v>126</v>
      </c>
      <c r="AU334" s="624" t="s">
        <v>76</v>
      </c>
      <c r="AY334" s="624" t="s">
        <v>125</v>
      </c>
      <c r="BE334" s="625">
        <f>IF(U334="základní",N376,0)</f>
        <v>0</v>
      </c>
      <c r="BF334" s="625">
        <f>IF(U334="snížená",N376,0)</f>
        <v>0</v>
      </c>
      <c r="BG334" s="625">
        <f>IF(U334="zákl. přenesená",N376,0)</f>
        <v>0</v>
      </c>
      <c r="BH334" s="625">
        <f>IF(U334="sníž. přenesená",N376,0)</f>
        <v>0</v>
      </c>
      <c r="BI334" s="625">
        <f>IF(U334="nulová",N376,0)</f>
        <v>0</v>
      </c>
      <c r="BJ334" s="624" t="s">
        <v>80</v>
      </c>
      <c r="BK334" s="625">
        <f>ROUND(L376*K376,2)</f>
        <v>0</v>
      </c>
      <c r="BL334" s="624" t="s">
        <v>128</v>
      </c>
      <c r="BM334" s="624" t="s">
        <v>161</v>
      </c>
    </row>
    <row r="335" spans="1:47" s="191" customFormat="1" ht="30" customHeight="1">
      <c r="A335" s="617"/>
      <c r="B335" s="617"/>
      <c r="C335" s="511" t="s">
        <v>1468</v>
      </c>
      <c r="D335" s="681"/>
      <c r="E335" s="511" t="s">
        <v>1349</v>
      </c>
      <c r="F335" s="1005" t="s">
        <v>586</v>
      </c>
      <c r="G335" s="1006"/>
      <c r="H335" s="1006"/>
      <c r="I335" s="1007"/>
      <c r="J335" s="101" t="s">
        <v>198</v>
      </c>
      <c r="K335" s="48">
        <v>3</v>
      </c>
      <c r="L335" s="27"/>
      <c r="M335" s="390"/>
      <c r="N335" s="998">
        <f t="shared" si="10"/>
        <v>0</v>
      </c>
      <c r="O335" s="998"/>
      <c r="P335" s="998"/>
      <c r="Q335" s="998"/>
      <c r="R335" s="617"/>
      <c r="S335" s="617"/>
      <c r="T335" s="617"/>
      <c r="U335" s="617"/>
      <c r="V335" s="617"/>
      <c r="W335" s="617"/>
      <c r="X335" s="617"/>
      <c r="Y335" s="617"/>
      <c r="Z335" s="617"/>
      <c r="AA335" s="680"/>
      <c r="AC335" s="105"/>
      <c r="AT335" s="624" t="s">
        <v>182</v>
      </c>
      <c r="AU335" s="624" t="s">
        <v>76</v>
      </c>
    </row>
    <row r="336" spans="1:47" s="162" customFormat="1" ht="30" customHeight="1">
      <c r="A336" s="58"/>
      <c r="B336" s="58"/>
      <c r="C336" s="511" t="s">
        <v>1469</v>
      </c>
      <c r="D336" s="681"/>
      <c r="E336" s="511" t="s">
        <v>1354</v>
      </c>
      <c r="F336" s="1015" t="s">
        <v>587</v>
      </c>
      <c r="G336" s="1016"/>
      <c r="H336" s="1016"/>
      <c r="I336" s="1017"/>
      <c r="J336" s="94" t="s">
        <v>133</v>
      </c>
      <c r="K336" s="52">
        <f>0.5</f>
        <v>0.5</v>
      </c>
      <c r="L336" s="21"/>
      <c r="M336" s="390"/>
      <c r="N336" s="948">
        <f t="shared" si="10"/>
        <v>0</v>
      </c>
      <c r="O336" s="948"/>
      <c r="P336" s="948"/>
      <c r="Q336" s="948"/>
      <c r="R336" s="58"/>
      <c r="S336" s="58"/>
      <c r="T336" s="58"/>
      <c r="U336" s="58"/>
      <c r="V336" s="58"/>
      <c r="W336" s="58"/>
      <c r="X336" s="58"/>
      <c r="Y336" s="58"/>
      <c r="Z336" s="58"/>
      <c r="AA336" s="507"/>
      <c r="AC336" s="105"/>
      <c r="AT336" s="448" t="s">
        <v>182</v>
      </c>
      <c r="AU336" s="448" t="s">
        <v>76</v>
      </c>
    </row>
    <row r="337" spans="1:65" s="191" customFormat="1" ht="31.5" customHeight="1">
      <c r="A337" s="617"/>
      <c r="B337" s="617"/>
      <c r="C337" s="511" t="s">
        <v>1470</v>
      </c>
      <c r="D337" s="511"/>
      <c r="E337" s="511" t="s">
        <v>1355</v>
      </c>
      <c r="F337" s="1005" t="s">
        <v>573</v>
      </c>
      <c r="G337" s="1006"/>
      <c r="H337" s="1006"/>
      <c r="I337" s="1007"/>
      <c r="J337" s="101" t="s">
        <v>133</v>
      </c>
      <c r="K337" s="48">
        <f>K336*1.1</f>
        <v>0.55</v>
      </c>
      <c r="L337" s="27"/>
      <c r="M337" s="390"/>
      <c r="N337" s="998">
        <f t="shared" si="10"/>
        <v>0</v>
      </c>
      <c r="O337" s="998"/>
      <c r="P337" s="998"/>
      <c r="Q337" s="998"/>
      <c r="R337" s="617"/>
      <c r="S337" s="617"/>
      <c r="T337" s="620" t="s">
        <v>5</v>
      </c>
      <c r="U337" s="621" t="s">
        <v>36</v>
      </c>
      <c r="V337" s="622">
        <v>0</v>
      </c>
      <c r="W337" s="622">
        <f>V337*K379</f>
        <v>0</v>
      </c>
      <c r="X337" s="622">
        <v>0</v>
      </c>
      <c r="Y337" s="622">
        <f>X337*K379</f>
        <v>0</v>
      </c>
      <c r="Z337" s="622">
        <v>0</v>
      </c>
      <c r="AA337" s="623">
        <f>Z337*K379</f>
        <v>0</v>
      </c>
      <c r="AC337" s="105"/>
      <c r="AR337" s="624" t="s">
        <v>128</v>
      </c>
      <c r="AT337" s="624" t="s">
        <v>126</v>
      </c>
      <c r="AU337" s="624" t="s">
        <v>76</v>
      </c>
      <c r="AY337" s="624" t="s">
        <v>125</v>
      </c>
      <c r="BE337" s="625">
        <f>IF(U337="základní",N379,0)</f>
        <v>0</v>
      </c>
      <c r="BF337" s="625">
        <f>IF(U337="snížená",N379,0)</f>
        <v>0</v>
      </c>
      <c r="BG337" s="625">
        <f>IF(U337="zákl. přenesená",N379,0)</f>
        <v>0</v>
      </c>
      <c r="BH337" s="625">
        <f>IF(U337="sníž. přenesená",N379,0)</f>
        <v>0</v>
      </c>
      <c r="BI337" s="625">
        <f>IF(U337="nulová",N379,0)</f>
        <v>0</v>
      </c>
      <c r="BJ337" s="624" t="s">
        <v>80</v>
      </c>
      <c r="BK337" s="625">
        <f>ROUND(L379*K379,2)</f>
        <v>0</v>
      </c>
      <c r="BL337" s="624" t="s">
        <v>128</v>
      </c>
      <c r="BM337" s="624" t="s">
        <v>161</v>
      </c>
    </row>
    <row r="338" spans="1:47" s="191" customFormat="1" ht="30" customHeight="1">
      <c r="A338" s="617"/>
      <c r="B338" s="617"/>
      <c r="C338" s="511" t="s">
        <v>1471</v>
      </c>
      <c r="D338" s="681"/>
      <c r="E338" s="511" t="s">
        <v>1356</v>
      </c>
      <c r="F338" s="1005" t="s">
        <v>607</v>
      </c>
      <c r="G338" s="1006"/>
      <c r="H338" s="1006"/>
      <c r="I338" s="1007"/>
      <c r="J338" s="101" t="s">
        <v>198</v>
      </c>
      <c r="K338" s="48">
        <v>1</v>
      </c>
      <c r="L338" s="27"/>
      <c r="M338" s="390"/>
      <c r="N338" s="998">
        <f t="shared" si="10"/>
        <v>0</v>
      </c>
      <c r="O338" s="998"/>
      <c r="P338" s="998"/>
      <c r="Q338" s="998"/>
      <c r="R338" s="617"/>
      <c r="S338" s="617"/>
      <c r="T338" s="617"/>
      <c r="U338" s="617"/>
      <c r="V338" s="617"/>
      <c r="W338" s="617"/>
      <c r="X338" s="617"/>
      <c r="Y338" s="617"/>
      <c r="Z338" s="617"/>
      <c r="AA338" s="680"/>
      <c r="AC338" s="105"/>
      <c r="AT338" s="624" t="s">
        <v>182</v>
      </c>
      <c r="AU338" s="624" t="s">
        <v>76</v>
      </c>
    </row>
    <row r="339" spans="1:47" s="162" customFormat="1" ht="30" customHeight="1">
      <c r="A339" s="58"/>
      <c r="B339" s="58"/>
      <c r="C339" s="511" t="s">
        <v>1472</v>
      </c>
      <c r="D339" s="681"/>
      <c r="E339" s="511" t="s">
        <v>1331</v>
      </c>
      <c r="F339" s="1015" t="s">
        <v>537</v>
      </c>
      <c r="G339" s="1016"/>
      <c r="H339" s="1016"/>
      <c r="I339" s="1017"/>
      <c r="J339" s="94" t="s">
        <v>133</v>
      </c>
      <c r="K339" s="52">
        <f>3.25</f>
        <v>3.25</v>
      </c>
      <c r="L339" s="21"/>
      <c r="M339" s="390"/>
      <c r="N339" s="948">
        <f t="shared" si="10"/>
        <v>0</v>
      </c>
      <c r="O339" s="948"/>
      <c r="P339" s="948"/>
      <c r="Q339" s="948"/>
      <c r="R339" s="58"/>
      <c r="S339" s="58"/>
      <c r="T339" s="58"/>
      <c r="U339" s="58"/>
      <c r="V339" s="58"/>
      <c r="W339" s="58"/>
      <c r="X339" s="58"/>
      <c r="Y339" s="58"/>
      <c r="Z339" s="58"/>
      <c r="AA339" s="507"/>
      <c r="AC339" s="105"/>
      <c r="AT339" s="448" t="s">
        <v>182</v>
      </c>
      <c r="AU339" s="448" t="s">
        <v>76</v>
      </c>
    </row>
    <row r="340" spans="1:65" s="191" customFormat="1" ht="31.5" customHeight="1">
      <c r="A340" s="617"/>
      <c r="B340" s="617"/>
      <c r="C340" s="511" t="s">
        <v>1473</v>
      </c>
      <c r="D340" s="511"/>
      <c r="E340" s="511" t="s">
        <v>1332</v>
      </c>
      <c r="F340" s="1005" t="s">
        <v>534</v>
      </c>
      <c r="G340" s="1006"/>
      <c r="H340" s="1006"/>
      <c r="I340" s="1007"/>
      <c r="J340" s="101" t="s">
        <v>133</v>
      </c>
      <c r="K340" s="48">
        <f>K339*1.1</f>
        <v>3.575</v>
      </c>
      <c r="L340" s="27"/>
      <c r="M340" s="390"/>
      <c r="N340" s="998">
        <f t="shared" si="10"/>
        <v>0</v>
      </c>
      <c r="O340" s="998"/>
      <c r="P340" s="998"/>
      <c r="Q340" s="998"/>
      <c r="R340" s="617"/>
      <c r="S340" s="617"/>
      <c r="T340" s="620" t="s">
        <v>5</v>
      </c>
      <c r="U340" s="621" t="s">
        <v>36</v>
      </c>
      <c r="V340" s="622">
        <v>0</v>
      </c>
      <c r="W340" s="622">
        <f>V340*K382</f>
        <v>0</v>
      </c>
      <c r="X340" s="622">
        <v>0</v>
      </c>
      <c r="Y340" s="622">
        <f>X340*K382</f>
        <v>0</v>
      </c>
      <c r="Z340" s="622">
        <v>0</v>
      </c>
      <c r="AA340" s="623">
        <f>Z340*K382</f>
        <v>0</v>
      </c>
      <c r="AC340" s="105"/>
      <c r="AR340" s="624" t="s">
        <v>128</v>
      </c>
      <c r="AT340" s="624" t="s">
        <v>126</v>
      </c>
      <c r="AU340" s="624" t="s">
        <v>76</v>
      </c>
      <c r="AY340" s="624" t="s">
        <v>125</v>
      </c>
      <c r="BE340" s="625">
        <f>IF(U340="základní",N382,0)</f>
        <v>0</v>
      </c>
      <c r="BF340" s="625">
        <f>IF(U340="snížená",N382,0)</f>
        <v>0</v>
      </c>
      <c r="BG340" s="625">
        <f>IF(U340="zákl. přenesená",N382,0)</f>
        <v>0</v>
      </c>
      <c r="BH340" s="625">
        <f>IF(U340="sníž. přenesená",N382,0)</f>
        <v>0</v>
      </c>
      <c r="BI340" s="625">
        <f>IF(U340="nulová",N382,0)</f>
        <v>0</v>
      </c>
      <c r="BJ340" s="624" t="s">
        <v>80</v>
      </c>
      <c r="BK340" s="625">
        <f>ROUND(L382*K382,2)</f>
        <v>0</v>
      </c>
      <c r="BL340" s="624" t="s">
        <v>128</v>
      </c>
      <c r="BM340" s="624" t="s">
        <v>161</v>
      </c>
    </row>
    <row r="341" spans="1:47" s="191" customFormat="1" ht="30" customHeight="1">
      <c r="A341" s="617"/>
      <c r="B341" s="617"/>
      <c r="C341" s="511" t="s">
        <v>1474</v>
      </c>
      <c r="D341" s="681"/>
      <c r="E341" s="511" t="s">
        <v>1333</v>
      </c>
      <c r="F341" s="1005" t="s">
        <v>531</v>
      </c>
      <c r="G341" s="1006"/>
      <c r="H341" s="1006"/>
      <c r="I341" s="1007"/>
      <c r="J341" s="101" t="s">
        <v>198</v>
      </c>
      <c r="K341" s="48">
        <v>1</v>
      </c>
      <c r="L341" s="27"/>
      <c r="M341" s="390"/>
      <c r="N341" s="998">
        <f t="shared" si="10"/>
        <v>0</v>
      </c>
      <c r="O341" s="998"/>
      <c r="P341" s="998"/>
      <c r="Q341" s="998"/>
      <c r="R341" s="617"/>
      <c r="S341" s="617"/>
      <c r="T341" s="617"/>
      <c r="U341" s="617"/>
      <c r="V341" s="617"/>
      <c r="W341" s="617"/>
      <c r="X341" s="617"/>
      <c r="Y341" s="617"/>
      <c r="Z341" s="617"/>
      <c r="AA341" s="680"/>
      <c r="AC341" s="105"/>
      <c r="AT341" s="624" t="s">
        <v>182</v>
      </c>
      <c r="AU341" s="624" t="s">
        <v>76</v>
      </c>
    </row>
    <row r="342" spans="1:47" s="191" customFormat="1" ht="30" customHeight="1">
      <c r="A342" s="617"/>
      <c r="B342" s="617"/>
      <c r="C342" s="511" t="s">
        <v>1475</v>
      </c>
      <c r="D342" s="681"/>
      <c r="E342" s="511" t="s">
        <v>1334</v>
      </c>
      <c r="F342" s="1005" t="s">
        <v>608</v>
      </c>
      <c r="G342" s="1006"/>
      <c r="H342" s="1006"/>
      <c r="I342" s="1007"/>
      <c r="J342" s="101" t="s">
        <v>198</v>
      </c>
      <c r="K342" s="48">
        <v>1</v>
      </c>
      <c r="L342" s="27"/>
      <c r="M342" s="390"/>
      <c r="N342" s="998">
        <f t="shared" si="10"/>
        <v>0</v>
      </c>
      <c r="O342" s="998"/>
      <c r="P342" s="998"/>
      <c r="Q342" s="998"/>
      <c r="R342" s="617"/>
      <c r="S342" s="617"/>
      <c r="T342" s="617"/>
      <c r="U342" s="617"/>
      <c r="V342" s="617"/>
      <c r="W342" s="617"/>
      <c r="X342" s="617"/>
      <c r="Y342" s="617"/>
      <c r="Z342" s="617"/>
      <c r="AA342" s="680"/>
      <c r="AC342" s="105"/>
      <c r="AT342" s="624" t="s">
        <v>182</v>
      </c>
      <c r="AU342" s="624" t="s">
        <v>76</v>
      </c>
    </row>
    <row r="343" spans="1:47" s="162" customFormat="1" ht="30" customHeight="1">
      <c r="A343" s="58"/>
      <c r="B343" s="58"/>
      <c r="C343" s="511" t="s">
        <v>1476</v>
      </c>
      <c r="D343" s="681"/>
      <c r="E343" s="511" t="s">
        <v>1336</v>
      </c>
      <c r="F343" s="1015" t="s">
        <v>609</v>
      </c>
      <c r="G343" s="1016"/>
      <c r="H343" s="1016"/>
      <c r="I343" s="1017"/>
      <c r="J343" s="94" t="s">
        <v>133</v>
      </c>
      <c r="K343" s="52">
        <f>0.9+1.55+0.77+0.6+0.54+4.51+0.65+9.4</f>
        <v>18.92</v>
      </c>
      <c r="L343" s="21"/>
      <c r="M343" s="390"/>
      <c r="N343" s="948">
        <f t="shared" si="10"/>
        <v>0</v>
      </c>
      <c r="O343" s="948"/>
      <c r="P343" s="948"/>
      <c r="Q343" s="948"/>
      <c r="R343" s="58"/>
      <c r="S343" s="58"/>
      <c r="T343" s="58"/>
      <c r="U343" s="58"/>
      <c r="V343" s="58"/>
      <c r="W343" s="58"/>
      <c r="X343" s="58"/>
      <c r="Y343" s="58"/>
      <c r="Z343" s="58"/>
      <c r="AA343" s="507"/>
      <c r="AC343" s="105"/>
      <c r="AT343" s="448" t="s">
        <v>182</v>
      </c>
      <c r="AU343" s="448" t="s">
        <v>76</v>
      </c>
    </row>
    <row r="344" spans="1:65" s="191" customFormat="1" ht="31.5" customHeight="1">
      <c r="A344" s="617"/>
      <c r="B344" s="617"/>
      <c r="C344" s="511" t="s">
        <v>1477</v>
      </c>
      <c r="D344" s="511"/>
      <c r="E344" s="511" t="s">
        <v>1337</v>
      </c>
      <c r="F344" s="1005" t="s">
        <v>590</v>
      </c>
      <c r="G344" s="1006"/>
      <c r="H344" s="1006"/>
      <c r="I344" s="1007"/>
      <c r="J344" s="101" t="s">
        <v>133</v>
      </c>
      <c r="K344" s="48">
        <f>K343*1.1</f>
        <v>20.812000000000005</v>
      </c>
      <c r="L344" s="27"/>
      <c r="M344" s="390"/>
      <c r="N344" s="998">
        <f t="shared" si="10"/>
        <v>0</v>
      </c>
      <c r="O344" s="998"/>
      <c r="P344" s="998"/>
      <c r="Q344" s="998"/>
      <c r="R344" s="617"/>
      <c r="S344" s="617"/>
      <c r="T344" s="620" t="s">
        <v>5</v>
      </c>
      <c r="U344" s="621" t="s">
        <v>36</v>
      </c>
      <c r="V344" s="622">
        <v>0</v>
      </c>
      <c r="W344" s="622">
        <f>V344*K386</f>
        <v>0</v>
      </c>
      <c r="X344" s="622">
        <v>0</v>
      </c>
      <c r="Y344" s="622">
        <f>X344*K386</f>
        <v>0</v>
      </c>
      <c r="Z344" s="622">
        <v>0</v>
      </c>
      <c r="AA344" s="623">
        <f>Z344*K386</f>
        <v>0</v>
      </c>
      <c r="AC344" s="105"/>
      <c r="AR344" s="624" t="s">
        <v>128</v>
      </c>
      <c r="AT344" s="624" t="s">
        <v>126</v>
      </c>
      <c r="AU344" s="624" t="s">
        <v>76</v>
      </c>
      <c r="AY344" s="624" t="s">
        <v>125</v>
      </c>
      <c r="BE344" s="625">
        <f>IF(U344="základní",N386,0)</f>
        <v>0</v>
      </c>
      <c r="BF344" s="625">
        <f>IF(U344="snížená",N386,0)</f>
        <v>0</v>
      </c>
      <c r="BG344" s="625">
        <f>IF(U344="zákl. přenesená",N386,0)</f>
        <v>0</v>
      </c>
      <c r="BH344" s="625">
        <f>IF(U344="sníž. přenesená",N386,0)</f>
        <v>0</v>
      </c>
      <c r="BI344" s="625">
        <f>IF(U344="nulová",N386,0)</f>
        <v>0</v>
      </c>
      <c r="BJ344" s="624" t="s">
        <v>80</v>
      </c>
      <c r="BK344" s="625">
        <f>ROUND(L386*K386,2)</f>
        <v>0</v>
      </c>
      <c r="BL344" s="624" t="s">
        <v>128</v>
      </c>
      <c r="BM344" s="624" t="s">
        <v>161</v>
      </c>
    </row>
    <row r="345" spans="1:47" s="191" customFormat="1" ht="30" customHeight="1">
      <c r="A345" s="617"/>
      <c r="B345" s="617"/>
      <c r="C345" s="511" t="s">
        <v>1478</v>
      </c>
      <c r="D345" s="681"/>
      <c r="E345" s="511" t="s">
        <v>1338</v>
      </c>
      <c r="F345" s="1005" t="s">
        <v>542</v>
      </c>
      <c r="G345" s="1006"/>
      <c r="H345" s="1006"/>
      <c r="I345" s="1007"/>
      <c r="J345" s="101" t="s">
        <v>198</v>
      </c>
      <c r="K345" s="48">
        <v>5</v>
      </c>
      <c r="L345" s="27"/>
      <c r="M345" s="390"/>
      <c r="N345" s="998">
        <f t="shared" si="10"/>
        <v>0</v>
      </c>
      <c r="O345" s="998"/>
      <c r="P345" s="998"/>
      <c r="Q345" s="998"/>
      <c r="R345" s="617"/>
      <c r="S345" s="617"/>
      <c r="T345" s="617"/>
      <c r="U345" s="617"/>
      <c r="V345" s="617"/>
      <c r="W345" s="617"/>
      <c r="X345" s="617"/>
      <c r="Y345" s="617"/>
      <c r="Z345" s="617"/>
      <c r="AA345" s="680"/>
      <c r="AC345" s="105"/>
      <c r="AT345" s="624" t="s">
        <v>182</v>
      </c>
      <c r="AU345" s="624" t="s">
        <v>76</v>
      </c>
    </row>
    <row r="346" spans="1:47" s="191" customFormat="1" ht="30" customHeight="1">
      <c r="A346" s="617"/>
      <c r="B346" s="617"/>
      <c r="C346" s="511" t="s">
        <v>1479</v>
      </c>
      <c r="D346" s="681"/>
      <c r="E346" s="511" t="s">
        <v>1339</v>
      </c>
      <c r="F346" s="1005" t="s">
        <v>543</v>
      </c>
      <c r="G346" s="1006"/>
      <c r="H346" s="1006"/>
      <c r="I346" s="1007"/>
      <c r="J346" s="101" t="s">
        <v>198</v>
      </c>
      <c r="K346" s="48">
        <v>5</v>
      </c>
      <c r="L346" s="27"/>
      <c r="M346" s="390"/>
      <c r="N346" s="998">
        <f t="shared" si="10"/>
        <v>0</v>
      </c>
      <c r="O346" s="998"/>
      <c r="P346" s="998"/>
      <c r="Q346" s="998"/>
      <c r="R346" s="617"/>
      <c r="S346" s="617"/>
      <c r="T346" s="617"/>
      <c r="U346" s="617"/>
      <c r="V346" s="617"/>
      <c r="W346" s="617"/>
      <c r="X346" s="617"/>
      <c r="Y346" s="617"/>
      <c r="Z346" s="617"/>
      <c r="AA346" s="680"/>
      <c r="AC346" s="105"/>
      <c r="AT346" s="624"/>
      <c r="AU346" s="624"/>
    </row>
    <row r="347" spans="1:47" s="191" customFormat="1" ht="30" customHeight="1">
      <c r="A347" s="617"/>
      <c r="B347" s="617"/>
      <c r="C347" s="511" t="s">
        <v>1480</v>
      </c>
      <c r="D347" s="681"/>
      <c r="E347" s="511" t="s">
        <v>1340</v>
      </c>
      <c r="F347" s="1005" t="s">
        <v>610</v>
      </c>
      <c r="G347" s="1006"/>
      <c r="H347" s="1006"/>
      <c r="I347" s="1007"/>
      <c r="J347" s="101" t="s">
        <v>198</v>
      </c>
      <c r="K347" s="48">
        <v>3</v>
      </c>
      <c r="L347" s="27"/>
      <c r="M347" s="390"/>
      <c r="N347" s="998">
        <f t="shared" si="10"/>
        <v>0</v>
      </c>
      <c r="O347" s="998"/>
      <c r="P347" s="998"/>
      <c r="Q347" s="998"/>
      <c r="R347" s="617"/>
      <c r="S347" s="617"/>
      <c r="T347" s="617"/>
      <c r="U347" s="617"/>
      <c r="V347" s="617"/>
      <c r="W347" s="617"/>
      <c r="X347" s="617"/>
      <c r="Y347" s="617"/>
      <c r="Z347" s="617"/>
      <c r="AA347" s="680"/>
      <c r="AC347" s="105"/>
      <c r="AT347" s="624" t="s">
        <v>182</v>
      </c>
      <c r="AU347" s="624" t="s">
        <v>76</v>
      </c>
    </row>
    <row r="348" spans="1:65" s="191" customFormat="1" ht="31.5" customHeight="1">
      <c r="A348" s="617"/>
      <c r="B348" s="617"/>
      <c r="C348" s="511" t="s">
        <v>1481</v>
      </c>
      <c r="D348" s="511"/>
      <c r="E348" s="511" t="s">
        <v>1341</v>
      </c>
      <c r="F348" s="1005" t="s">
        <v>541</v>
      </c>
      <c r="G348" s="1006"/>
      <c r="H348" s="1006"/>
      <c r="I348" s="1007"/>
      <c r="J348" s="101" t="s">
        <v>198</v>
      </c>
      <c r="K348" s="48">
        <v>1</v>
      </c>
      <c r="L348" s="27"/>
      <c r="M348" s="390"/>
      <c r="N348" s="998">
        <f t="shared" si="10"/>
        <v>0</v>
      </c>
      <c r="O348" s="998"/>
      <c r="P348" s="998"/>
      <c r="Q348" s="998"/>
      <c r="R348" s="617"/>
      <c r="S348" s="617"/>
      <c r="T348" s="620" t="s">
        <v>5</v>
      </c>
      <c r="U348" s="621" t="s">
        <v>36</v>
      </c>
      <c r="V348" s="622">
        <v>0</v>
      </c>
      <c r="W348" s="622">
        <f>V348*K391</f>
        <v>0</v>
      </c>
      <c r="X348" s="622">
        <v>0</v>
      </c>
      <c r="Y348" s="622">
        <f>X348*K391</f>
        <v>0</v>
      </c>
      <c r="Z348" s="622">
        <v>0</v>
      </c>
      <c r="AA348" s="623">
        <f>Z348*K391</f>
        <v>0</v>
      </c>
      <c r="AC348" s="105"/>
      <c r="AR348" s="624" t="s">
        <v>128</v>
      </c>
      <c r="AT348" s="624" t="s">
        <v>126</v>
      </c>
      <c r="AU348" s="624" t="s">
        <v>76</v>
      </c>
      <c r="AY348" s="624" t="s">
        <v>125</v>
      </c>
      <c r="BE348" s="625">
        <f>IF(U348="základní",N391,0)</f>
        <v>0</v>
      </c>
      <c r="BF348" s="625">
        <f>IF(U348="snížená",N391,0)</f>
        <v>0</v>
      </c>
      <c r="BG348" s="625">
        <f>IF(U348="zákl. přenesená",N391,0)</f>
        <v>0</v>
      </c>
      <c r="BH348" s="625">
        <f>IF(U348="sníž. přenesená",N391,0)</f>
        <v>0</v>
      </c>
      <c r="BI348" s="625">
        <f>IF(U348="nulová",N391,0)</f>
        <v>0</v>
      </c>
      <c r="BJ348" s="624" t="s">
        <v>80</v>
      </c>
      <c r="BK348" s="625">
        <f>ROUND(L391*K391,2)</f>
        <v>0</v>
      </c>
      <c r="BL348" s="624" t="s">
        <v>128</v>
      </c>
      <c r="BM348" s="624" t="s">
        <v>170</v>
      </c>
    </row>
    <row r="349" spans="1:47" s="162" customFormat="1" ht="30" customHeight="1">
      <c r="A349" s="58"/>
      <c r="B349" s="58"/>
      <c r="C349" s="511" t="s">
        <v>1482</v>
      </c>
      <c r="D349" s="681"/>
      <c r="E349" s="511" t="s">
        <v>1358</v>
      </c>
      <c r="F349" s="1015" t="s">
        <v>611</v>
      </c>
      <c r="G349" s="1016"/>
      <c r="H349" s="1016"/>
      <c r="I349" s="1017"/>
      <c r="J349" s="94" t="s">
        <v>133</v>
      </c>
      <c r="K349" s="52">
        <f>4.3+1.57</f>
        <v>5.87</v>
      </c>
      <c r="L349" s="21"/>
      <c r="M349" s="390"/>
      <c r="N349" s="948">
        <f t="shared" si="10"/>
        <v>0</v>
      </c>
      <c r="O349" s="948"/>
      <c r="P349" s="948"/>
      <c r="Q349" s="948"/>
      <c r="R349" s="58"/>
      <c r="S349" s="58"/>
      <c r="T349" s="58"/>
      <c r="U349" s="58"/>
      <c r="V349" s="58"/>
      <c r="W349" s="58"/>
      <c r="X349" s="58"/>
      <c r="Y349" s="58"/>
      <c r="Z349" s="58"/>
      <c r="AA349" s="507"/>
      <c r="AC349" s="105"/>
      <c r="AT349" s="448" t="s">
        <v>182</v>
      </c>
      <c r="AU349" s="448" t="s">
        <v>76</v>
      </c>
    </row>
    <row r="350" spans="1:65" s="191" customFormat="1" ht="31.5" customHeight="1">
      <c r="A350" s="617"/>
      <c r="B350" s="617"/>
      <c r="C350" s="511" t="s">
        <v>1483</v>
      </c>
      <c r="D350" s="511"/>
      <c r="E350" s="511" t="s">
        <v>1359</v>
      </c>
      <c r="F350" s="1005" t="s">
        <v>612</v>
      </c>
      <c r="G350" s="1006"/>
      <c r="H350" s="1006"/>
      <c r="I350" s="1007"/>
      <c r="J350" s="101" t="s">
        <v>133</v>
      </c>
      <c r="K350" s="48">
        <f>K349*1.1</f>
        <v>6.457000000000001</v>
      </c>
      <c r="L350" s="27"/>
      <c r="M350" s="390"/>
      <c r="N350" s="998">
        <f t="shared" si="10"/>
        <v>0</v>
      </c>
      <c r="O350" s="998"/>
      <c r="P350" s="998"/>
      <c r="Q350" s="998"/>
      <c r="R350" s="617"/>
      <c r="S350" s="617"/>
      <c r="T350" s="620" t="s">
        <v>5</v>
      </c>
      <c r="U350" s="621" t="s">
        <v>36</v>
      </c>
      <c r="V350" s="622">
        <v>0</v>
      </c>
      <c r="W350" s="622">
        <f>V350*K392</f>
        <v>0</v>
      </c>
      <c r="X350" s="622">
        <v>0</v>
      </c>
      <c r="Y350" s="622">
        <f>X350*K392</f>
        <v>0</v>
      </c>
      <c r="Z350" s="622">
        <v>0</v>
      </c>
      <c r="AA350" s="623">
        <f>Z350*K392</f>
        <v>0</v>
      </c>
      <c r="AC350" s="105"/>
      <c r="AR350" s="624" t="s">
        <v>128</v>
      </c>
      <c r="AT350" s="624" t="s">
        <v>126</v>
      </c>
      <c r="AU350" s="624" t="s">
        <v>76</v>
      </c>
      <c r="AY350" s="624" t="s">
        <v>125</v>
      </c>
      <c r="BE350" s="625">
        <f>IF(U350="základní",N392,0)</f>
        <v>0</v>
      </c>
      <c r="BF350" s="625">
        <f>IF(U350="snížená",N392,0)</f>
        <v>0</v>
      </c>
      <c r="BG350" s="625">
        <f>IF(U350="zákl. přenesená",N392,0)</f>
        <v>0</v>
      </c>
      <c r="BH350" s="625">
        <f>IF(U350="sníž. přenesená",N392,0)</f>
        <v>0</v>
      </c>
      <c r="BI350" s="625">
        <f>IF(U350="nulová",N392,0)</f>
        <v>0</v>
      </c>
      <c r="BJ350" s="624" t="s">
        <v>80</v>
      </c>
      <c r="BK350" s="625">
        <f>ROUND(L392*K392,2)</f>
        <v>0</v>
      </c>
      <c r="BL350" s="624" t="s">
        <v>128</v>
      </c>
      <c r="BM350" s="624" t="s">
        <v>161</v>
      </c>
    </row>
    <row r="351" spans="1:47" s="191" customFormat="1" ht="30" customHeight="1">
      <c r="A351" s="617"/>
      <c r="B351" s="617"/>
      <c r="C351" s="511" t="s">
        <v>1484</v>
      </c>
      <c r="D351" s="681"/>
      <c r="E351" s="511" t="s">
        <v>1360</v>
      </c>
      <c r="F351" s="1005" t="s">
        <v>613</v>
      </c>
      <c r="G351" s="1006"/>
      <c r="H351" s="1006"/>
      <c r="I351" s="1007"/>
      <c r="J351" s="101" t="s">
        <v>198</v>
      </c>
      <c r="K351" s="48">
        <v>3</v>
      </c>
      <c r="L351" s="27"/>
      <c r="M351" s="390"/>
      <c r="N351" s="998">
        <f t="shared" si="10"/>
        <v>0</v>
      </c>
      <c r="O351" s="998"/>
      <c r="P351" s="998"/>
      <c r="Q351" s="998"/>
      <c r="R351" s="617"/>
      <c r="S351" s="617"/>
      <c r="T351" s="617"/>
      <c r="U351" s="617"/>
      <c r="V351" s="617"/>
      <c r="W351" s="617"/>
      <c r="X351" s="617"/>
      <c r="Y351" s="617"/>
      <c r="Z351" s="617"/>
      <c r="AA351" s="680"/>
      <c r="AC351" s="105"/>
      <c r="AT351" s="624" t="s">
        <v>182</v>
      </c>
      <c r="AU351" s="624" t="s">
        <v>76</v>
      </c>
    </row>
    <row r="352" spans="1:47" s="191" customFormat="1" ht="30" customHeight="1">
      <c r="A352" s="617"/>
      <c r="B352" s="617"/>
      <c r="C352" s="511" t="s">
        <v>1485</v>
      </c>
      <c r="D352" s="681"/>
      <c r="E352" s="511" t="s">
        <v>1361</v>
      </c>
      <c r="F352" s="1005" t="s">
        <v>614</v>
      </c>
      <c r="G352" s="1006"/>
      <c r="H352" s="1006"/>
      <c r="I352" s="1007"/>
      <c r="J352" s="101" t="s">
        <v>198</v>
      </c>
      <c r="K352" s="48">
        <v>1</v>
      </c>
      <c r="L352" s="27"/>
      <c r="M352" s="390"/>
      <c r="N352" s="998">
        <f t="shared" si="10"/>
        <v>0</v>
      </c>
      <c r="O352" s="998"/>
      <c r="P352" s="998"/>
      <c r="Q352" s="998"/>
      <c r="R352" s="617"/>
      <c r="S352" s="617"/>
      <c r="T352" s="617"/>
      <c r="U352" s="617"/>
      <c r="V352" s="617"/>
      <c r="W352" s="617"/>
      <c r="X352" s="617"/>
      <c r="Y352" s="617"/>
      <c r="Z352" s="617"/>
      <c r="AA352" s="680"/>
      <c r="AC352" s="105"/>
      <c r="AT352" s="624"/>
      <c r="AU352" s="624"/>
    </row>
    <row r="353" spans="1:47" s="191" customFormat="1" ht="30" customHeight="1">
      <c r="A353" s="617"/>
      <c r="B353" s="617"/>
      <c r="C353" s="511" t="s">
        <v>1486</v>
      </c>
      <c r="D353" s="681"/>
      <c r="E353" s="511" t="s">
        <v>1362</v>
      </c>
      <c r="F353" s="1005" t="s">
        <v>615</v>
      </c>
      <c r="G353" s="1006"/>
      <c r="H353" s="1006"/>
      <c r="I353" s="1007"/>
      <c r="J353" s="101" t="s">
        <v>198</v>
      </c>
      <c r="K353" s="48">
        <v>4</v>
      </c>
      <c r="L353" s="27"/>
      <c r="M353" s="390"/>
      <c r="N353" s="998">
        <f t="shared" si="10"/>
        <v>0</v>
      </c>
      <c r="O353" s="998"/>
      <c r="P353" s="998"/>
      <c r="Q353" s="998"/>
      <c r="R353" s="617"/>
      <c r="S353" s="617"/>
      <c r="T353" s="617"/>
      <c r="U353" s="617"/>
      <c r="V353" s="617"/>
      <c r="W353" s="617"/>
      <c r="X353" s="617"/>
      <c r="Y353" s="617"/>
      <c r="Z353" s="617"/>
      <c r="AA353" s="680"/>
      <c r="AC353" s="105"/>
      <c r="AT353" s="624"/>
      <c r="AU353" s="624"/>
    </row>
    <row r="354" spans="3:65" s="609" customFormat="1" ht="22.5" customHeight="1">
      <c r="C354" s="511"/>
      <c r="D354" s="683"/>
      <c r="E354" s="683"/>
      <c r="F354" s="957" t="s">
        <v>547</v>
      </c>
      <c r="G354" s="958"/>
      <c r="H354" s="958"/>
      <c r="I354" s="959"/>
      <c r="J354" s="648"/>
      <c r="K354" s="39"/>
      <c r="L354" s="32"/>
      <c r="M354" s="390"/>
      <c r="N354" s="1037"/>
      <c r="O354" s="1037"/>
      <c r="P354" s="1037"/>
      <c r="Q354" s="1037"/>
      <c r="T354" s="684"/>
      <c r="U354" s="612"/>
      <c r="V354" s="613"/>
      <c r="W354" s="613"/>
      <c r="X354" s="613"/>
      <c r="Y354" s="613"/>
      <c r="Z354" s="613"/>
      <c r="AA354" s="614"/>
      <c r="AC354" s="105"/>
      <c r="AU354" s="615" t="s">
        <v>76</v>
      </c>
      <c r="AY354" s="615" t="s">
        <v>125</v>
      </c>
      <c r="BE354" s="616">
        <f>IF(U354="základní",#REF!,0)</f>
        <v>0</v>
      </c>
      <c r="BF354" s="616">
        <f>IF(U354="snížená",#REF!,0)</f>
        <v>0</v>
      </c>
      <c r="BG354" s="616">
        <f>IF(U354="zákl. přenesená",#REF!,0)</f>
        <v>0</v>
      </c>
      <c r="BH354" s="616">
        <f>IF(U354="sníž. přenesená",#REF!,0)</f>
        <v>0</v>
      </c>
      <c r="BI354" s="616">
        <f>IF(U354="nulová",#REF!,0)</f>
        <v>0</v>
      </c>
      <c r="BJ354" s="615" t="s">
        <v>80</v>
      </c>
      <c r="BK354" s="616" t="e">
        <f>ROUND(#REF!*#REF!,2)</f>
        <v>#REF!</v>
      </c>
      <c r="BL354" s="615" t="s">
        <v>128</v>
      </c>
      <c r="BM354" s="615" t="s">
        <v>141</v>
      </c>
    </row>
    <row r="355" spans="3:65" s="609" customFormat="1" ht="22.5" customHeight="1">
      <c r="C355" s="511" t="s">
        <v>1487</v>
      </c>
      <c r="D355" s="511"/>
      <c r="E355" s="688" t="s">
        <v>1418</v>
      </c>
      <c r="F355" s="947" t="s">
        <v>1417</v>
      </c>
      <c r="G355" s="947"/>
      <c r="H355" s="947"/>
      <c r="I355" s="947"/>
      <c r="J355" s="96" t="s">
        <v>198</v>
      </c>
      <c r="K355" s="52">
        <v>2</v>
      </c>
      <c r="L355" s="21"/>
      <c r="M355" s="390"/>
      <c r="N355" s="948">
        <f aca="true" t="shared" si="11" ref="N355:N366">ROUND(L355*K355,2)</f>
        <v>0</v>
      </c>
      <c r="O355" s="948"/>
      <c r="P355" s="948"/>
      <c r="Q355" s="948"/>
      <c r="T355" s="701"/>
      <c r="U355" s="612"/>
      <c r="V355" s="613"/>
      <c r="W355" s="613"/>
      <c r="X355" s="613"/>
      <c r="Y355" s="613"/>
      <c r="Z355" s="613"/>
      <c r="AA355" s="614"/>
      <c r="AC355" s="105"/>
      <c r="AU355" s="615"/>
      <c r="AY355" s="615"/>
      <c r="BE355" s="616"/>
      <c r="BF355" s="616"/>
      <c r="BG355" s="616"/>
      <c r="BH355" s="616"/>
      <c r="BI355" s="616"/>
      <c r="BJ355" s="615"/>
      <c r="BK355" s="616"/>
      <c r="BL355" s="615"/>
      <c r="BM355" s="615"/>
    </row>
    <row r="356" spans="3:65" s="694" customFormat="1" ht="29.25" customHeight="1">
      <c r="C356" s="511" t="s">
        <v>1488</v>
      </c>
      <c r="D356" s="511"/>
      <c r="E356" s="688" t="s">
        <v>1419</v>
      </c>
      <c r="F356" s="1033" t="s">
        <v>1416</v>
      </c>
      <c r="G356" s="1033"/>
      <c r="H356" s="1033"/>
      <c r="I356" s="1033"/>
      <c r="J356" s="97" t="s">
        <v>198</v>
      </c>
      <c r="K356" s="48">
        <v>2</v>
      </c>
      <c r="L356" s="27"/>
      <c r="M356" s="390"/>
      <c r="N356" s="998">
        <f t="shared" si="11"/>
        <v>0</v>
      </c>
      <c r="O356" s="998"/>
      <c r="P356" s="998"/>
      <c r="Q356" s="998"/>
      <c r="T356" s="695"/>
      <c r="U356" s="696"/>
      <c r="V356" s="697"/>
      <c r="W356" s="697"/>
      <c r="X356" s="697"/>
      <c r="Y356" s="697"/>
      <c r="Z356" s="697"/>
      <c r="AA356" s="698"/>
      <c r="AC356" s="105"/>
      <c r="AU356" s="699"/>
      <c r="AY356" s="699"/>
      <c r="BE356" s="700"/>
      <c r="BF356" s="700"/>
      <c r="BG356" s="700"/>
      <c r="BH356" s="700"/>
      <c r="BI356" s="700"/>
      <c r="BJ356" s="699"/>
      <c r="BK356" s="700"/>
      <c r="BL356" s="699"/>
      <c r="BM356" s="699"/>
    </row>
    <row r="357" spans="1:47" s="162" customFormat="1" ht="27.75" customHeight="1">
      <c r="A357" s="58"/>
      <c r="B357" s="58"/>
      <c r="C357" s="511" t="s">
        <v>1489</v>
      </c>
      <c r="D357" s="511"/>
      <c r="E357" s="511" t="s">
        <v>1392</v>
      </c>
      <c r="F357" s="947" t="s">
        <v>600</v>
      </c>
      <c r="G357" s="947"/>
      <c r="H357" s="947"/>
      <c r="I357" s="947"/>
      <c r="J357" s="96" t="s">
        <v>198</v>
      </c>
      <c r="K357" s="52">
        <v>2</v>
      </c>
      <c r="L357" s="21"/>
      <c r="M357" s="390"/>
      <c r="N357" s="948">
        <f t="shared" si="11"/>
        <v>0</v>
      </c>
      <c r="O357" s="948"/>
      <c r="P357" s="948"/>
      <c r="Q357" s="948"/>
      <c r="R357" s="87"/>
      <c r="S357" s="87"/>
      <c r="T357" s="87"/>
      <c r="U357" s="87"/>
      <c r="V357" s="87"/>
      <c r="W357" s="87"/>
      <c r="X357" s="87"/>
      <c r="Y357" s="87"/>
      <c r="Z357" s="87"/>
      <c r="AA357" s="275"/>
      <c r="AB357" s="249"/>
      <c r="AC357" s="105"/>
      <c r="AT357" s="448" t="s">
        <v>182</v>
      </c>
      <c r="AU357" s="448" t="s">
        <v>76</v>
      </c>
    </row>
    <row r="358" spans="1:65" s="191" customFormat="1" ht="27.75" customHeight="1">
      <c r="A358" s="617"/>
      <c r="B358" s="617"/>
      <c r="C358" s="511" t="s">
        <v>1490</v>
      </c>
      <c r="D358" s="511"/>
      <c r="E358" s="511" t="s">
        <v>1393</v>
      </c>
      <c r="F358" s="1033" t="s">
        <v>601</v>
      </c>
      <c r="G358" s="1033"/>
      <c r="H358" s="1033"/>
      <c r="I358" s="1033"/>
      <c r="J358" s="97" t="s">
        <v>198</v>
      </c>
      <c r="K358" s="48">
        <v>2</v>
      </c>
      <c r="L358" s="27"/>
      <c r="M358" s="390"/>
      <c r="N358" s="998">
        <f t="shared" si="11"/>
        <v>0</v>
      </c>
      <c r="O358" s="998"/>
      <c r="P358" s="998"/>
      <c r="Q358" s="998"/>
      <c r="R358" s="617"/>
      <c r="S358" s="617"/>
      <c r="T358" s="620" t="s">
        <v>5</v>
      </c>
      <c r="U358" s="621" t="s">
        <v>36</v>
      </c>
      <c r="V358" s="622">
        <v>0</v>
      </c>
      <c r="W358" s="622">
        <f>V358*K386</f>
        <v>0</v>
      </c>
      <c r="X358" s="622">
        <v>0</v>
      </c>
      <c r="Y358" s="622">
        <f>X358*K386</f>
        <v>0</v>
      </c>
      <c r="Z358" s="622">
        <v>0</v>
      </c>
      <c r="AA358" s="623">
        <f>Z358*K386</f>
        <v>0</v>
      </c>
      <c r="AC358" s="105"/>
      <c r="AR358" s="624" t="s">
        <v>128</v>
      </c>
      <c r="AT358" s="624" t="s">
        <v>126</v>
      </c>
      <c r="AU358" s="624" t="s">
        <v>76</v>
      </c>
      <c r="AY358" s="624" t="s">
        <v>125</v>
      </c>
      <c r="BE358" s="625">
        <f>IF(U358="základní",N386,0)</f>
        <v>0</v>
      </c>
      <c r="BF358" s="625">
        <f>IF(U358="snížená",N386,0)</f>
        <v>0</v>
      </c>
      <c r="BG358" s="625">
        <f>IF(U358="zákl. přenesená",N386,0)</f>
        <v>0</v>
      </c>
      <c r="BH358" s="625">
        <f>IF(U358="sníž. přenesená",N386,0)</f>
        <v>0</v>
      </c>
      <c r="BI358" s="625">
        <f>IF(U358="nulová",N386,0)</f>
        <v>0</v>
      </c>
      <c r="BJ358" s="624" t="s">
        <v>80</v>
      </c>
      <c r="BK358" s="625">
        <f>ROUND(L386*K386,2)</f>
        <v>0</v>
      </c>
      <c r="BL358" s="624" t="s">
        <v>128</v>
      </c>
      <c r="BM358" s="624" t="s">
        <v>158</v>
      </c>
    </row>
    <row r="359" spans="3:65" s="609" customFormat="1" ht="27.75" customHeight="1">
      <c r="C359" s="511" t="s">
        <v>1491</v>
      </c>
      <c r="D359" s="511"/>
      <c r="E359" s="688" t="s">
        <v>1420</v>
      </c>
      <c r="F359" s="947" t="s">
        <v>1412</v>
      </c>
      <c r="G359" s="947"/>
      <c r="H359" s="947"/>
      <c r="I359" s="947"/>
      <c r="J359" s="96" t="s">
        <v>198</v>
      </c>
      <c r="K359" s="53">
        <v>1</v>
      </c>
      <c r="L359" s="21"/>
      <c r="M359" s="390"/>
      <c r="N359" s="948">
        <f t="shared" si="11"/>
        <v>0</v>
      </c>
      <c r="O359" s="948"/>
      <c r="P359" s="948"/>
      <c r="Q359" s="948"/>
      <c r="R359" s="689"/>
      <c r="S359" s="689"/>
      <c r="T359" s="690"/>
      <c r="U359" s="691"/>
      <c r="V359" s="692"/>
      <c r="W359" s="692"/>
      <c r="X359" s="692"/>
      <c r="Y359" s="692"/>
      <c r="Z359" s="692"/>
      <c r="AA359" s="693"/>
      <c r="AB359" s="689"/>
      <c r="AC359" s="105"/>
      <c r="AU359" s="615"/>
      <c r="AY359" s="615"/>
      <c r="BE359" s="616"/>
      <c r="BF359" s="616"/>
      <c r="BG359" s="616"/>
      <c r="BH359" s="616"/>
      <c r="BI359" s="616"/>
      <c r="BJ359" s="615"/>
      <c r="BK359" s="616"/>
      <c r="BL359" s="615"/>
      <c r="BM359" s="615"/>
    </row>
    <row r="360" spans="3:65" s="694" customFormat="1" ht="27.75" customHeight="1">
      <c r="C360" s="511" t="s">
        <v>1492</v>
      </c>
      <c r="D360" s="681"/>
      <c r="E360" s="688" t="s">
        <v>1421</v>
      </c>
      <c r="F360" s="1033" t="s">
        <v>1413</v>
      </c>
      <c r="G360" s="1086"/>
      <c r="H360" s="1086"/>
      <c r="I360" s="1086"/>
      <c r="J360" s="578" t="s">
        <v>198</v>
      </c>
      <c r="K360" s="54">
        <v>1</v>
      </c>
      <c r="L360" s="27"/>
      <c r="M360" s="390"/>
      <c r="N360" s="998">
        <f t="shared" si="11"/>
        <v>0</v>
      </c>
      <c r="O360" s="998"/>
      <c r="P360" s="998"/>
      <c r="Q360" s="998"/>
      <c r="T360" s="695"/>
      <c r="U360" s="696"/>
      <c r="V360" s="697"/>
      <c r="W360" s="697"/>
      <c r="X360" s="697"/>
      <c r="Y360" s="697"/>
      <c r="Z360" s="697"/>
      <c r="AA360" s="698"/>
      <c r="AC360" s="105"/>
      <c r="AU360" s="699"/>
      <c r="AY360" s="699"/>
      <c r="BE360" s="700"/>
      <c r="BF360" s="700"/>
      <c r="BG360" s="700"/>
      <c r="BH360" s="700"/>
      <c r="BI360" s="700"/>
      <c r="BJ360" s="699"/>
      <c r="BK360" s="700"/>
      <c r="BL360" s="699"/>
      <c r="BM360" s="699"/>
    </row>
    <row r="361" spans="3:65" s="609" customFormat="1" ht="27.75" customHeight="1">
      <c r="C361" s="511" t="s">
        <v>1493</v>
      </c>
      <c r="D361" s="510"/>
      <c r="E361" s="688" t="s">
        <v>1422</v>
      </c>
      <c r="F361" s="947" t="s">
        <v>1414</v>
      </c>
      <c r="G361" s="1028"/>
      <c r="H361" s="1028"/>
      <c r="I361" s="1028"/>
      <c r="J361" s="147" t="s">
        <v>198</v>
      </c>
      <c r="K361" s="53">
        <v>4</v>
      </c>
      <c r="L361" s="21"/>
      <c r="M361" s="390"/>
      <c r="N361" s="948">
        <f t="shared" si="11"/>
        <v>0</v>
      </c>
      <c r="O361" s="948"/>
      <c r="P361" s="948"/>
      <c r="Q361" s="948"/>
      <c r="R361" s="689"/>
      <c r="S361" s="689"/>
      <c r="T361" s="690"/>
      <c r="U361" s="691"/>
      <c r="V361" s="692"/>
      <c r="W361" s="692"/>
      <c r="X361" s="692"/>
      <c r="Y361" s="692"/>
      <c r="Z361" s="692"/>
      <c r="AA361" s="693"/>
      <c r="AB361" s="689"/>
      <c r="AC361" s="105"/>
      <c r="AU361" s="615"/>
      <c r="AY361" s="615"/>
      <c r="BE361" s="616"/>
      <c r="BF361" s="616"/>
      <c r="BG361" s="616"/>
      <c r="BH361" s="616"/>
      <c r="BI361" s="616"/>
      <c r="BJ361" s="615"/>
      <c r="BK361" s="616"/>
      <c r="BL361" s="615"/>
      <c r="BM361" s="615"/>
    </row>
    <row r="362" spans="3:65" s="702" customFormat="1" ht="27.75" customHeight="1">
      <c r="C362" s="585" t="s">
        <v>1494</v>
      </c>
      <c r="D362" s="585"/>
      <c r="E362" s="703" t="s">
        <v>1423</v>
      </c>
      <c r="F362" s="1092" t="s">
        <v>2184</v>
      </c>
      <c r="G362" s="1093"/>
      <c r="H362" s="1093"/>
      <c r="I362" s="1093"/>
      <c r="J362" s="704" t="s">
        <v>198</v>
      </c>
      <c r="K362" s="56">
        <v>4</v>
      </c>
      <c r="L362" s="34">
        <v>0</v>
      </c>
      <c r="M362" s="390"/>
      <c r="N362" s="1064">
        <f t="shared" si="11"/>
        <v>0</v>
      </c>
      <c r="O362" s="1064"/>
      <c r="P362" s="1064"/>
      <c r="Q362" s="1064"/>
      <c r="T362" s="705"/>
      <c r="U362" s="706"/>
      <c r="V362" s="707"/>
      <c r="W362" s="707"/>
      <c r="X362" s="707"/>
      <c r="Y362" s="707"/>
      <c r="Z362" s="707"/>
      <c r="AA362" s="708"/>
      <c r="AC362" s="709"/>
      <c r="AU362" s="710"/>
      <c r="AY362" s="710"/>
      <c r="BE362" s="711"/>
      <c r="BF362" s="711"/>
      <c r="BG362" s="711"/>
      <c r="BH362" s="711"/>
      <c r="BI362" s="711"/>
      <c r="BJ362" s="710"/>
      <c r="BK362" s="711"/>
      <c r="BL362" s="710"/>
      <c r="BM362" s="710"/>
    </row>
    <row r="363" spans="3:65" s="609" customFormat="1" ht="27.75" customHeight="1">
      <c r="C363" s="511" t="s">
        <v>1495</v>
      </c>
      <c r="D363" s="681"/>
      <c r="E363" s="688" t="s">
        <v>1424</v>
      </c>
      <c r="F363" s="947" t="s">
        <v>1415</v>
      </c>
      <c r="G363" s="1028"/>
      <c r="H363" s="1028"/>
      <c r="I363" s="1028"/>
      <c r="J363" s="147" t="s">
        <v>198</v>
      </c>
      <c r="K363" s="53">
        <v>2</v>
      </c>
      <c r="L363" s="21"/>
      <c r="M363" s="390"/>
      <c r="N363" s="948">
        <f t="shared" si="11"/>
        <v>0</v>
      </c>
      <c r="O363" s="948"/>
      <c r="P363" s="948"/>
      <c r="Q363" s="948"/>
      <c r="R363" s="689"/>
      <c r="S363" s="689"/>
      <c r="T363" s="690"/>
      <c r="U363" s="691"/>
      <c r="V363" s="692"/>
      <c r="W363" s="692"/>
      <c r="X363" s="692"/>
      <c r="Y363" s="692"/>
      <c r="Z363" s="692"/>
      <c r="AA363" s="693"/>
      <c r="AB363" s="689"/>
      <c r="AC363" s="105"/>
      <c r="AU363" s="615"/>
      <c r="AY363" s="615"/>
      <c r="BE363" s="616"/>
      <c r="BF363" s="616"/>
      <c r="BG363" s="616"/>
      <c r="BH363" s="616"/>
      <c r="BI363" s="616"/>
      <c r="BJ363" s="615"/>
      <c r="BK363" s="616"/>
      <c r="BL363" s="615"/>
      <c r="BM363" s="615"/>
    </row>
    <row r="364" spans="1:47" s="714" customFormat="1" ht="27.75" customHeight="1">
      <c r="A364" s="712"/>
      <c r="B364" s="712"/>
      <c r="C364" s="585" t="s">
        <v>1496</v>
      </c>
      <c r="D364" s="585"/>
      <c r="E364" s="703" t="s">
        <v>1425</v>
      </c>
      <c r="F364" s="1092" t="s">
        <v>2185</v>
      </c>
      <c r="G364" s="1092"/>
      <c r="H364" s="1092"/>
      <c r="I364" s="1092"/>
      <c r="J364" s="588" t="s">
        <v>198</v>
      </c>
      <c r="K364" s="56">
        <v>2</v>
      </c>
      <c r="L364" s="34">
        <v>0</v>
      </c>
      <c r="M364" s="390"/>
      <c r="N364" s="1064">
        <f t="shared" si="11"/>
        <v>0</v>
      </c>
      <c r="O364" s="1064"/>
      <c r="P364" s="1064"/>
      <c r="Q364" s="1064"/>
      <c r="R364" s="712"/>
      <c r="S364" s="712"/>
      <c r="T364" s="712"/>
      <c r="U364" s="712"/>
      <c r="V364" s="712"/>
      <c r="W364" s="712"/>
      <c r="X364" s="712"/>
      <c r="Y364" s="712"/>
      <c r="Z364" s="712"/>
      <c r="AA364" s="713"/>
      <c r="AC364" s="709"/>
      <c r="AT364" s="715"/>
      <c r="AU364" s="715"/>
    </row>
    <row r="365" spans="1:65" s="162" customFormat="1" ht="27.75" customHeight="1">
      <c r="A365" s="58"/>
      <c r="B365" s="58"/>
      <c r="C365" s="511" t="s">
        <v>1497</v>
      </c>
      <c r="D365" s="511"/>
      <c r="E365" s="511" t="s">
        <v>1363</v>
      </c>
      <c r="F365" s="995" t="s">
        <v>616</v>
      </c>
      <c r="G365" s="996"/>
      <c r="H365" s="996"/>
      <c r="I365" s="997"/>
      <c r="J365" s="94" t="s">
        <v>198</v>
      </c>
      <c r="K365" s="52">
        <v>1</v>
      </c>
      <c r="L365" s="21"/>
      <c r="M365" s="390"/>
      <c r="N365" s="948">
        <f t="shared" si="11"/>
        <v>0</v>
      </c>
      <c r="O365" s="948"/>
      <c r="P365" s="948"/>
      <c r="Q365" s="948"/>
      <c r="R365" s="58"/>
      <c r="S365" s="58"/>
      <c r="T365" s="483"/>
      <c r="U365" s="221"/>
      <c r="V365" s="408"/>
      <c r="W365" s="408"/>
      <c r="X365" s="408"/>
      <c r="Y365" s="408"/>
      <c r="Z365" s="408"/>
      <c r="AA365" s="409"/>
      <c r="AC365" s="105"/>
      <c r="AR365" s="448"/>
      <c r="AT365" s="448"/>
      <c r="AU365" s="448"/>
      <c r="AY365" s="448"/>
      <c r="BE365" s="484"/>
      <c r="BF365" s="484"/>
      <c r="BG365" s="484"/>
      <c r="BH365" s="484"/>
      <c r="BI365" s="484"/>
      <c r="BJ365" s="448"/>
      <c r="BK365" s="484"/>
      <c r="BL365" s="448"/>
      <c r="BM365" s="448"/>
    </row>
    <row r="366" spans="1:47" s="191" customFormat="1" ht="27.75" customHeight="1">
      <c r="A366" s="617"/>
      <c r="B366" s="617"/>
      <c r="C366" s="511" t="s">
        <v>1498</v>
      </c>
      <c r="D366" s="681"/>
      <c r="E366" s="511" t="s">
        <v>1364</v>
      </c>
      <c r="F366" s="1033" t="s">
        <v>617</v>
      </c>
      <c r="G366" s="1086"/>
      <c r="H366" s="1086"/>
      <c r="I366" s="1086"/>
      <c r="J366" s="556" t="s">
        <v>198</v>
      </c>
      <c r="K366" s="48">
        <v>1</v>
      </c>
      <c r="L366" s="27"/>
      <c r="M366" s="390"/>
      <c r="N366" s="998">
        <f t="shared" si="11"/>
        <v>0</v>
      </c>
      <c r="O366" s="998"/>
      <c r="P366" s="998"/>
      <c r="Q366" s="998"/>
      <c r="R366" s="617"/>
      <c r="S366" s="617"/>
      <c r="T366" s="617"/>
      <c r="U366" s="617"/>
      <c r="V366" s="617"/>
      <c r="W366" s="617"/>
      <c r="X366" s="617"/>
      <c r="Y366" s="617"/>
      <c r="Z366" s="617"/>
      <c r="AA366" s="680"/>
      <c r="AC366" s="105"/>
      <c r="AT366" s="624" t="s">
        <v>182</v>
      </c>
      <c r="AU366" s="624" t="s">
        <v>76</v>
      </c>
    </row>
    <row r="367" spans="1:63" s="635" customFormat="1" ht="27.75" customHeight="1">
      <c r="A367" s="629"/>
      <c r="B367" s="630"/>
      <c r="C367" s="511" t="s">
        <v>1499</v>
      </c>
      <c r="D367" s="510"/>
      <c r="E367" s="511" t="s">
        <v>1365</v>
      </c>
      <c r="F367" s="999" t="s">
        <v>247</v>
      </c>
      <c r="G367" s="999"/>
      <c r="H367" s="999"/>
      <c r="I367" s="999"/>
      <c r="J367" s="102" t="s">
        <v>131</v>
      </c>
      <c r="K367" s="44">
        <v>1</v>
      </c>
      <c r="L367" s="21"/>
      <c r="M367" s="390"/>
      <c r="N367" s="948">
        <f>ROUND(L367*K367,2)</f>
        <v>0</v>
      </c>
      <c r="O367" s="948"/>
      <c r="P367" s="948"/>
      <c r="Q367" s="948"/>
      <c r="R367" s="631"/>
      <c r="S367" s="632"/>
      <c r="T367" s="632"/>
      <c r="U367" s="632"/>
      <c r="V367" s="632"/>
      <c r="W367" s="633"/>
      <c r="X367" s="632"/>
      <c r="Y367" s="633"/>
      <c r="Z367" s="632"/>
      <c r="AA367" s="634"/>
      <c r="AC367" s="105"/>
      <c r="AU367" s="636"/>
      <c r="AY367" s="637"/>
      <c r="BK367" s="638"/>
    </row>
    <row r="368" spans="2:47" s="716" customFormat="1" ht="27.75" customHeight="1">
      <c r="B368" s="717"/>
      <c r="C368" s="718" t="s">
        <v>1500</v>
      </c>
      <c r="D368" s="718"/>
      <c r="E368" s="718" t="s">
        <v>1366</v>
      </c>
      <c r="F368" s="954" t="s">
        <v>206</v>
      </c>
      <c r="G368" s="954"/>
      <c r="H368" s="954"/>
      <c r="I368" s="954"/>
      <c r="J368" s="103" t="s">
        <v>2227</v>
      </c>
      <c r="K368" s="45">
        <v>1</v>
      </c>
      <c r="L368" s="36"/>
      <c r="M368" s="390"/>
      <c r="N368" s="1009">
        <f>ROUND(L368*K368,2)</f>
        <v>0</v>
      </c>
      <c r="O368" s="1009"/>
      <c r="P368" s="1009"/>
      <c r="Q368" s="1009"/>
      <c r="R368" s="719"/>
      <c r="T368" s="720"/>
      <c r="U368" s="721"/>
      <c r="V368" s="721"/>
      <c r="W368" s="721"/>
      <c r="X368" s="721"/>
      <c r="Y368" s="721"/>
      <c r="Z368" s="721"/>
      <c r="AA368" s="722"/>
      <c r="AC368" s="723"/>
      <c r="AU368" s="724" t="s">
        <v>76</v>
      </c>
    </row>
    <row r="369" spans="2:65" s="716" customFormat="1" ht="27.75" customHeight="1">
      <c r="B369" s="717"/>
      <c r="C369" s="718" t="s">
        <v>1501</v>
      </c>
      <c r="D369" s="718"/>
      <c r="E369" s="718" t="s">
        <v>1367</v>
      </c>
      <c r="F369" s="954" t="s">
        <v>2226</v>
      </c>
      <c r="G369" s="954"/>
      <c r="H369" s="954"/>
      <c r="I369" s="954"/>
      <c r="J369" s="103" t="s">
        <v>2227</v>
      </c>
      <c r="K369" s="45">
        <v>1</v>
      </c>
      <c r="L369" s="36"/>
      <c r="M369" s="390"/>
      <c r="N369" s="1009">
        <f>ROUND(L369*K369,2)</f>
        <v>0</v>
      </c>
      <c r="O369" s="1009"/>
      <c r="P369" s="1009"/>
      <c r="Q369" s="1009"/>
      <c r="R369" s="719"/>
      <c r="T369" s="725" t="s">
        <v>5</v>
      </c>
      <c r="U369" s="726" t="s">
        <v>36</v>
      </c>
      <c r="V369" s="727">
        <v>0</v>
      </c>
      <c r="W369" s="727" t="e">
        <f>V369*#REF!</f>
        <v>#REF!</v>
      </c>
      <c r="X369" s="727">
        <v>0</v>
      </c>
      <c r="Y369" s="727" t="e">
        <f>X369*#REF!</f>
        <v>#REF!</v>
      </c>
      <c r="Z369" s="727">
        <v>0</v>
      </c>
      <c r="AA369" s="728" t="e">
        <f>Z369*#REF!</f>
        <v>#REF!</v>
      </c>
      <c r="AC369" s="723"/>
      <c r="AU369" s="724" t="s">
        <v>76</v>
      </c>
      <c r="AY369" s="724" t="s">
        <v>125</v>
      </c>
      <c r="BE369" s="729">
        <f>IF(U369="základní",#REF!,0)</f>
        <v>0</v>
      </c>
      <c r="BF369" s="729" t="e">
        <f>IF(U369="snížená",#REF!,0)</f>
        <v>#REF!</v>
      </c>
      <c r="BG369" s="729">
        <f>IF(U369="zákl. přenesená",#REF!,0)</f>
        <v>0</v>
      </c>
      <c r="BH369" s="729">
        <f>IF(U369="sníž. přenesená",#REF!,0)</f>
        <v>0</v>
      </c>
      <c r="BI369" s="729">
        <f>IF(U369="nulová",#REF!,0)</f>
        <v>0</v>
      </c>
      <c r="BJ369" s="724" t="s">
        <v>80</v>
      </c>
      <c r="BK369" s="729" t="e">
        <f>ROUND(#REF!*#REF!,2)</f>
        <v>#REF!</v>
      </c>
      <c r="BL369" s="724" t="s">
        <v>128</v>
      </c>
      <c r="BM369" s="724" t="s">
        <v>139</v>
      </c>
    </row>
    <row r="370" spans="1:63" s="394" customFormat="1" ht="37.35" customHeight="1">
      <c r="A370" s="546"/>
      <c r="B370" s="389"/>
      <c r="C370" s="644"/>
      <c r="D370" s="645" t="s">
        <v>254</v>
      </c>
      <c r="E370" s="645"/>
      <c r="F370" s="390"/>
      <c r="G370" s="390"/>
      <c r="H370" s="390"/>
      <c r="I370" s="390"/>
      <c r="J370" s="390"/>
      <c r="K370" s="46"/>
      <c r="L370" s="738"/>
      <c r="M370" s="390"/>
      <c r="N370" s="646"/>
      <c r="O370" s="647"/>
      <c r="P370" s="647"/>
      <c r="Q370" s="647"/>
      <c r="R370" s="391"/>
      <c r="S370" s="388"/>
      <c r="T370" s="388"/>
      <c r="U370" s="388"/>
      <c r="V370" s="388"/>
      <c r="W370" s="392"/>
      <c r="X370" s="388"/>
      <c r="Y370" s="392"/>
      <c r="Z370" s="388"/>
      <c r="AA370" s="393"/>
      <c r="AC370" s="105"/>
      <c r="AU370" s="395"/>
      <c r="AY370" s="396"/>
      <c r="BK370" s="397"/>
    </row>
    <row r="371" spans="1:65" s="162" customFormat="1" ht="31.5" customHeight="1">
      <c r="A371" s="58"/>
      <c r="B371" s="58"/>
      <c r="C371" s="681" t="s">
        <v>1502</v>
      </c>
      <c r="D371" s="681"/>
      <c r="E371" s="511" t="s">
        <v>1408</v>
      </c>
      <c r="F371" s="1080" t="s">
        <v>911</v>
      </c>
      <c r="G371" s="1081"/>
      <c r="H371" s="1081"/>
      <c r="I371" s="1081"/>
      <c r="J371" s="511" t="s">
        <v>131</v>
      </c>
      <c r="K371" s="57">
        <v>1</v>
      </c>
      <c r="L371" s="21"/>
      <c r="M371" s="390"/>
      <c r="N371" s="948">
        <f>ROUND(L371*K371,2)</f>
        <v>0</v>
      </c>
      <c r="O371" s="948"/>
      <c r="P371" s="948"/>
      <c r="Q371" s="948"/>
      <c r="R371" s="58"/>
      <c r="S371" s="58"/>
      <c r="T371" s="483" t="s">
        <v>5</v>
      </c>
      <c r="U371" s="221" t="s">
        <v>36</v>
      </c>
      <c r="V371" s="408">
        <v>0</v>
      </c>
      <c r="W371" s="408">
        <f>V371*K401</f>
        <v>0</v>
      </c>
      <c r="X371" s="408">
        <v>0</v>
      </c>
      <c r="Y371" s="408">
        <f>X371*K401</f>
        <v>0</v>
      </c>
      <c r="Z371" s="408">
        <v>0</v>
      </c>
      <c r="AA371" s="409">
        <f>Z371*K401</f>
        <v>0</v>
      </c>
      <c r="AC371" s="105"/>
      <c r="AR371" s="448" t="s">
        <v>128</v>
      </c>
      <c r="AT371" s="448" t="s">
        <v>126</v>
      </c>
      <c r="AU371" s="448" t="s">
        <v>76</v>
      </c>
      <c r="AY371" s="448" t="s">
        <v>125</v>
      </c>
      <c r="BE371" s="484">
        <f>IF(U371="základní",N401,0)</f>
        <v>0</v>
      </c>
      <c r="BF371" s="484">
        <f>IF(U371="snížená",N401,0)</f>
        <v>0</v>
      </c>
      <c r="BG371" s="484">
        <f>IF(U371="zákl. přenesená",N401,0)</f>
        <v>0</v>
      </c>
      <c r="BH371" s="484">
        <f>IF(U371="sníž. přenesená",N401,0)</f>
        <v>0</v>
      </c>
      <c r="BI371" s="484">
        <f>IF(U371="nulová",N401,0)</f>
        <v>0</v>
      </c>
      <c r="BJ371" s="448" t="s">
        <v>80</v>
      </c>
      <c r="BK371" s="484">
        <f>ROUND(L401*K401,2)</f>
        <v>0</v>
      </c>
      <c r="BL371" s="448" t="s">
        <v>128</v>
      </c>
      <c r="BM371" s="448" t="s">
        <v>175</v>
      </c>
    </row>
    <row r="372" spans="1:65" s="191" customFormat="1" ht="47.25" customHeight="1">
      <c r="A372" s="730"/>
      <c r="B372" s="731"/>
      <c r="C372" s="732" t="s">
        <v>1503</v>
      </c>
      <c r="D372" s="732"/>
      <c r="E372" s="732" t="s">
        <v>1409</v>
      </c>
      <c r="F372" s="1082" t="s">
        <v>1410</v>
      </c>
      <c r="G372" s="1082"/>
      <c r="H372" s="1082"/>
      <c r="I372" s="1082"/>
      <c r="J372" s="120" t="s">
        <v>2227</v>
      </c>
      <c r="K372" s="120">
        <v>1</v>
      </c>
      <c r="L372" s="121"/>
      <c r="M372" s="733"/>
      <c r="N372" s="1089">
        <f>ROUND(L372*K372,2)</f>
        <v>0</v>
      </c>
      <c r="O372" s="1089"/>
      <c r="P372" s="1089"/>
      <c r="Q372" s="1089"/>
      <c r="R372" s="619"/>
      <c r="S372" s="617"/>
      <c r="T372" s="679"/>
      <c r="U372" s="621"/>
      <c r="V372" s="622"/>
      <c r="W372" s="622"/>
      <c r="X372" s="622"/>
      <c r="Y372" s="622"/>
      <c r="Z372" s="622"/>
      <c r="AA372" s="623"/>
      <c r="AC372" s="105">
        <v>27606.8</v>
      </c>
      <c r="AU372" s="624"/>
      <c r="AY372" s="624"/>
      <c r="BE372" s="625"/>
      <c r="BF372" s="625"/>
      <c r="BG372" s="625"/>
      <c r="BH372" s="625"/>
      <c r="BI372" s="625"/>
      <c r="BJ372" s="624"/>
      <c r="BK372" s="625"/>
      <c r="BL372" s="624"/>
      <c r="BM372" s="624"/>
    </row>
    <row r="373" spans="1:63" s="398" customFormat="1" ht="37.35" customHeight="1">
      <c r="A373" s="181"/>
      <c r="B373" s="181"/>
      <c r="C373" s="509"/>
      <c r="D373" s="509"/>
      <c r="E373" s="509"/>
      <c r="F373" s="1083"/>
      <c r="G373" s="1084"/>
      <c r="H373" s="1084"/>
      <c r="I373" s="1084"/>
      <c r="J373" s="87"/>
      <c r="K373" s="87"/>
      <c r="L373" s="58"/>
      <c r="M373" s="390"/>
      <c r="N373" s="58"/>
      <c r="O373" s="58"/>
      <c r="P373" s="58"/>
      <c r="Q373" s="58"/>
      <c r="R373" s="181"/>
      <c r="S373" s="181"/>
      <c r="T373" s="181"/>
      <c r="U373" s="181"/>
      <c r="V373" s="181"/>
      <c r="W373" s="402">
        <f>SUM(W374:W377)</f>
        <v>0</v>
      </c>
      <c r="X373" s="181"/>
      <c r="Y373" s="402">
        <f>SUM(Y374:Y377)</f>
        <v>0</v>
      </c>
      <c r="Z373" s="181"/>
      <c r="AA373" s="403">
        <f>SUM(AA374:AA377)</f>
        <v>0</v>
      </c>
      <c r="AC373" s="105"/>
      <c r="AR373" s="404" t="s">
        <v>76</v>
      </c>
      <c r="AT373" s="405" t="s">
        <v>68</v>
      </c>
      <c r="AU373" s="405" t="s">
        <v>69</v>
      </c>
      <c r="AY373" s="404" t="s">
        <v>125</v>
      </c>
      <c r="BK373" s="406">
        <f>SUM(BK374:BK377)</f>
        <v>0</v>
      </c>
    </row>
    <row r="374" spans="1:65" s="162" customFormat="1" ht="22.5" customHeight="1">
      <c r="A374" s="58"/>
      <c r="B374" s="58"/>
      <c r="C374" s="514"/>
      <c r="D374" s="514"/>
      <c r="E374" s="734"/>
      <c r="F374" s="1085"/>
      <c r="G374" s="1085"/>
      <c r="H374" s="1085"/>
      <c r="I374" s="1085"/>
      <c r="J374" s="735"/>
      <c r="K374" s="736"/>
      <c r="L374" s="989"/>
      <c r="M374" s="989"/>
      <c r="N374" s="989"/>
      <c r="O374" s="989"/>
      <c r="P374" s="989"/>
      <c r="Q374" s="989"/>
      <c r="R374" s="58"/>
      <c r="S374" s="58"/>
      <c r="T374" s="483" t="s">
        <v>5</v>
      </c>
      <c r="U374" s="221" t="s">
        <v>36</v>
      </c>
      <c r="V374" s="408">
        <v>0</v>
      </c>
      <c r="W374" s="408">
        <f>V374*K404</f>
        <v>0</v>
      </c>
      <c r="X374" s="408">
        <v>0</v>
      </c>
      <c r="Y374" s="408">
        <f>X374*K404</f>
        <v>0</v>
      </c>
      <c r="Z374" s="408">
        <v>0</v>
      </c>
      <c r="AA374" s="409">
        <f>Z374*K404</f>
        <v>0</v>
      </c>
      <c r="AC374" s="105"/>
      <c r="AR374" s="448" t="s">
        <v>128</v>
      </c>
      <c r="AT374" s="448" t="s">
        <v>126</v>
      </c>
      <c r="AU374" s="448" t="s">
        <v>76</v>
      </c>
      <c r="AY374" s="448" t="s">
        <v>125</v>
      </c>
      <c r="BE374" s="484">
        <f>IF(U374="základní",N404,0)</f>
        <v>0</v>
      </c>
      <c r="BF374" s="484">
        <f>IF(U374="snížená",N404,0)</f>
        <v>0</v>
      </c>
      <c r="BG374" s="484">
        <f>IF(U374="zákl. přenesená",N404,0)</f>
        <v>0</v>
      </c>
      <c r="BH374" s="484">
        <f>IF(U374="sníž. přenesená",N404,0)</f>
        <v>0</v>
      </c>
      <c r="BI374" s="484">
        <f>IF(U374="nulová",N404,0)</f>
        <v>0</v>
      </c>
      <c r="BJ374" s="448" t="s">
        <v>80</v>
      </c>
      <c r="BK374" s="484">
        <f>ROUND(L404*K404,2)</f>
        <v>0</v>
      </c>
      <c r="BL374" s="448" t="s">
        <v>128</v>
      </c>
      <c r="BM374" s="448" t="s">
        <v>176</v>
      </c>
    </row>
    <row r="375" spans="1:47" s="162" customFormat="1" ht="42" customHeight="1">
      <c r="A375" s="58"/>
      <c r="B375" s="58"/>
      <c r="C375" s="509"/>
      <c r="D375" s="509"/>
      <c r="E375" s="509"/>
      <c r="F375" s="1083"/>
      <c r="G375" s="1084"/>
      <c r="H375" s="1084"/>
      <c r="I375" s="1084"/>
      <c r="J375" s="87"/>
      <c r="K375" s="87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07"/>
      <c r="AC375" s="105"/>
      <c r="AT375" s="448" t="s">
        <v>182</v>
      </c>
      <c r="AU375" s="448" t="s">
        <v>76</v>
      </c>
    </row>
    <row r="376" spans="1:65" s="162" customFormat="1" ht="31.5" customHeight="1">
      <c r="A376" s="58"/>
      <c r="B376" s="58"/>
      <c r="C376" s="514"/>
      <c r="D376" s="514"/>
      <c r="E376" s="734"/>
      <c r="F376" s="1085"/>
      <c r="G376" s="1085"/>
      <c r="H376" s="1085"/>
      <c r="I376" s="1085"/>
      <c r="J376" s="735"/>
      <c r="K376" s="736"/>
      <c r="L376" s="989"/>
      <c r="M376" s="989"/>
      <c r="N376" s="989"/>
      <c r="O376" s="989"/>
      <c r="P376" s="989"/>
      <c r="Q376" s="989"/>
      <c r="R376" s="58"/>
      <c r="S376" s="58"/>
      <c r="T376" s="483" t="s">
        <v>5</v>
      </c>
      <c r="U376" s="221" t="s">
        <v>36</v>
      </c>
      <c r="V376" s="408">
        <v>0</v>
      </c>
      <c r="W376" s="408">
        <f>V376*K406</f>
        <v>0</v>
      </c>
      <c r="X376" s="408">
        <v>0</v>
      </c>
      <c r="Y376" s="408">
        <f>X376*K406</f>
        <v>0</v>
      </c>
      <c r="Z376" s="408">
        <v>0</v>
      </c>
      <c r="AA376" s="409">
        <f>Z376*K406</f>
        <v>0</v>
      </c>
      <c r="AC376" s="105"/>
      <c r="AR376" s="448" t="s">
        <v>128</v>
      </c>
      <c r="AT376" s="448" t="s">
        <v>126</v>
      </c>
      <c r="AU376" s="448" t="s">
        <v>76</v>
      </c>
      <c r="AY376" s="448" t="s">
        <v>125</v>
      </c>
      <c r="BE376" s="484">
        <f>IF(U376="základní",N406,0)</f>
        <v>0</v>
      </c>
      <c r="BF376" s="484">
        <f>IF(U376="snížená",N406,0)</f>
        <v>0</v>
      </c>
      <c r="BG376" s="484">
        <f>IF(U376="zákl. přenesená",N406,0)</f>
        <v>0</v>
      </c>
      <c r="BH376" s="484">
        <f>IF(U376="sníž. přenesená",N406,0)</f>
        <v>0</v>
      </c>
      <c r="BI376" s="484">
        <f>IF(U376="nulová",N406,0)</f>
        <v>0</v>
      </c>
      <c r="BJ376" s="448" t="s">
        <v>80</v>
      </c>
      <c r="BK376" s="484">
        <f>ROUND(L406*K406,2)</f>
        <v>0</v>
      </c>
      <c r="BL376" s="448" t="s">
        <v>128</v>
      </c>
      <c r="BM376" s="448" t="s">
        <v>177</v>
      </c>
    </row>
    <row r="377" spans="1:47" s="162" customFormat="1" ht="30" customHeight="1">
      <c r="A377" s="58"/>
      <c r="B377" s="58"/>
      <c r="C377" s="509"/>
      <c r="D377" s="509"/>
      <c r="E377" s="509"/>
      <c r="F377" s="1083"/>
      <c r="G377" s="1084"/>
      <c r="H377" s="1084"/>
      <c r="I377" s="1084"/>
      <c r="J377" s="87"/>
      <c r="K377" s="87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07"/>
      <c r="AC377" s="105"/>
      <c r="AT377" s="448" t="s">
        <v>182</v>
      </c>
      <c r="AU377" s="448" t="s">
        <v>76</v>
      </c>
    </row>
    <row r="378" spans="1:63" s="398" customFormat="1" ht="37.35" customHeight="1">
      <c r="A378" s="181"/>
      <c r="B378" s="181"/>
      <c r="C378" s="644"/>
      <c r="D378" s="645"/>
      <c r="E378" s="645"/>
      <c r="F378" s="737"/>
      <c r="G378" s="737"/>
      <c r="H378" s="737"/>
      <c r="I378" s="737"/>
      <c r="J378" s="737"/>
      <c r="K378" s="737"/>
      <c r="L378" s="105"/>
      <c r="M378" s="105"/>
      <c r="N378" s="971"/>
      <c r="O378" s="926"/>
      <c r="P378" s="926"/>
      <c r="Q378" s="926"/>
      <c r="R378" s="181"/>
      <c r="S378" s="181"/>
      <c r="T378" s="181"/>
      <c r="U378" s="181"/>
      <c r="V378" s="181"/>
      <c r="W378" s="402">
        <f>SUM(W379:W386)</f>
        <v>0</v>
      </c>
      <c r="X378" s="181"/>
      <c r="Y378" s="402">
        <f>SUM(Y379:Y386)</f>
        <v>0</v>
      </c>
      <c r="Z378" s="181"/>
      <c r="AA378" s="403">
        <f>SUM(AA379:AA386)</f>
        <v>0</v>
      </c>
      <c r="AC378" s="105"/>
      <c r="AR378" s="404" t="s">
        <v>76</v>
      </c>
      <c r="AT378" s="405" t="s">
        <v>68</v>
      </c>
      <c r="AU378" s="405" t="s">
        <v>69</v>
      </c>
      <c r="AY378" s="404" t="s">
        <v>125</v>
      </c>
      <c r="BK378" s="406">
        <f>SUM(BK379:BK386)</f>
        <v>0</v>
      </c>
    </row>
    <row r="379" spans="1:65" s="162" customFormat="1" ht="31.5" customHeight="1">
      <c r="A379" s="58"/>
      <c r="B379" s="58"/>
      <c r="C379" s="514"/>
      <c r="D379" s="514"/>
      <c r="E379" s="734"/>
      <c r="F379" s="1085"/>
      <c r="G379" s="1085"/>
      <c r="H379" s="1085"/>
      <c r="I379" s="1085"/>
      <c r="J379" s="735"/>
      <c r="K379" s="736"/>
      <c r="L379" s="989"/>
      <c r="M379" s="989"/>
      <c r="N379" s="989"/>
      <c r="O379" s="989"/>
      <c r="P379" s="989"/>
      <c r="Q379" s="989"/>
      <c r="R379" s="58"/>
      <c r="S379" s="58"/>
      <c r="T379" s="483" t="s">
        <v>5</v>
      </c>
      <c r="U379" s="221" t="s">
        <v>36</v>
      </c>
      <c r="V379" s="408">
        <v>0</v>
      </c>
      <c r="W379" s="408">
        <f>V379*K409</f>
        <v>0</v>
      </c>
      <c r="X379" s="408">
        <v>0</v>
      </c>
      <c r="Y379" s="408">
        <f>X379*K409</f>
        <v>0</v>
      </c>
      <c r="Z379" s="408">
        <v>0</v>
      </c>
      <c r="AA379" s="409">
        <f>Z379*K409</f>
        <v>0</v>
      </c>
      <c r="AC379" s="105"/>
      <c r="AR379" s="448" t="s">
        <v>128</v>
      </c>
      <c r="AT379" s="448" t="s">
        <v>126</v>
      </c>
      <c r="AU379" s="448" t="s">
        <v>76</v>
      </c>
      <c r="AY379" s="448" t="s">
        <v>125</v>
      </c>
      <c r="BE379" s="484">
        <f>IF(U379="základní",N409,0)</f>
        <v>0</v>
      </c>
      <c r="BF379" s="484">
        <f>IF(U379="snížená",N409,0)</f>
        <v>0</v>
      </c>
      <c r="BG379" s="484">
        <f>IF(U379="zákl. přenesená",N409,0)</f>
        <v>0</v>
      </c>
      <c r="BH379" s="484">
        <f>IF(U379="sníž. přenesená",N409,0)</f>
        <v>0</v>
      </c>
      <c r="BI379" s="484">
        <f>IF(U379="nulová",N409,0)</f>
        <v>0</v>
      </c>
      <c r="BJ379" s="448" t="s">
        <v>80</v>
      </c>
      <c r="BK379" s="484">
        <f>ROUND(L409*K409,2)</f>
        <v>0</v>
      </c>
      <c r="BL379" s="448" t="s">
        <v>128</v>
      </c>
      <c r="BM379" s="448" t="s">
        <v>178</v>
      </c>
    </row>
    <row r="380" spans="1:47" s="162" customFormat="1" ht="66" customHeight="1">
      <c r="A380" s="58"/>
      <c r="B380" s="58"/>
      <c r="C380" s="509"/>
      <c r="D380" s="509"/>
      <c r="E380" s="509"/>
      <c r="F380" s="1083"/>
      <c r="G380" s="1084"/>
      <c r="H380" s="1084"/>
      <c r="I380" s="1084"/>
      <c r="J380" s="87"/>
      <c r="K380" s="87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07"/>
      <c r="AC380" s="105"/>
      <c r="AT380" s="448" t="s">
        <v>182</v>
      </c>
      <c r="AU380" s="448" t="s">
        <v>76</v>
      </c>
    </row>
    <row r="381" spans="1:65" s="162" customFormat="1" ht="31.5" customHeight="1">
      <c r="A381" s="58"/>
      <c r="B381" s="58"/>
      <c r="C381" s="514"/>
      <c r="D381" s="514"/>
      <c r="E381" s="734"/>
      <c r="F381" s="1085"/>
      <c r="G381" s="1085"/>
      <c r="H381" s="1085"/>
      <c r="I381" s="1085"/>
      <c r="J381" s="735"/>
      <c r="K381" s="736"/>
      <c r="L381" s="989"/>
      <c r="M381" s="989"/>
      <c r="N381" s="989"/>
      <c r="O381" s="989"/>
      <c r="P381" s="989"/>
      <c r="Q381" s="989"/>
      <c r="R381" s="58"/>
      <c r="S381" s="58"/>
      <c r="T381" s="483" t="s">
        <v>5</v>
      </c>
      <c r="U381" s="221" t="s">
        <v>36</v>
      </c>
      <c r="V381" s="408">
        <v>0</v>
      </c>
      <c r="W381" s="408">
        <f>V381*K411</f>
        <v>0</v>
      </c>
      <c r="X381" s="408">
        <v>0</v>
      </c>
      <c r="Y381" s="408">
        <f>X381*K411</f>
        <v>0</v>
      </c>
      <c r="Z381" s="408">
        <v>0</v>
      </c>
      <c r="AA381" s="409">
        <f>Z381*K411</f>
        <v>0</v>
      </c>
      <c r="AC381" s="105"/>
      <c r="AR381" s="448" t="s">
        <v>128</v>
      </c>
      <c r="AT381" s="448" t="s">
        <v>126</v>
      </c>
      <c r="AU381" s="448" t="s">
        <v>76</v>
      </c>
      <c r="AY381" s="448" t="s">
        <v>125</v>
      </c>
      <c r="BE381" s="484">
        <f>IF(U381="základní",N411,0)</f>
        <v>0</v>
      </c>
      <c r="BF381" s="484">
        <f>IF(U381="snížená",N411,0)</f>
        <v>0</v>
      </c>
      <c r="BG381" s="484">
        <f>IF(U381="zákl. přenesená",N411,0)</f>
        <v>0</v>
      </c>
      <c r="BH381" s="484">
        <f>IF(U381="sníž. přenesená",N411,0)</f>
        <v>0</v>
      </c>
      <c r="BI381" s="484">
        <f>IF(U381="nulová",N411,0)</f>
        <v>0</v>
      </c>
      <c r="BJ381" s="448" t="s">
        <v>80</v>
      </c>
      <c r="BK381" s="484">
        <f>ROUND(L411*K411,2)</f>
        <v>0</v>
      </c>
      <c r="BL381" s="448" t="s">
        <v>128</v>
      </c>
      <c r="BM381" s="448" t="s">
        <v>179</v>
      </c>
    </row>
    <row r="382" spans="1:47" s="162" customFormat="1" ht="42" customHeight="1">
      <c r="A382" s="58"/>
      <c r="B382" s="58"/>
      <c r="C382" s="509"/>
      <c r="D382" s="509"/>
      <c r="E382" s="509"/>
      <c r="F382" s="1083"/>
      <c r="G382" s="1084"/>
      <c r="H382" s="1084"/>
      <c r="I382" s="1084"/>
      <c r="J382" s="87"/>
      <c r="K382" s="87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07"/>
      <c r="AC382" s="105"/>
      <c r="AT382" s="448" t="s">
        <v>182</v>
      </c>
      <c r="AU382" s="448" t="s">
        <v>76</v>
      </c>
    </row>
    <row r="383" spans="1:65" s="162" customFormat="1" ht="31.5" customHeight="1">
      <c r="A383" s="58"/>
      <c r="B383" s="58"/>
      <c r="C383" s="514"/>
      <c r="D383" s="514"/>
      <c r="E383" s="734"/>
      <c r="F383" s="1085"/>
      <c r="G383" s="1085"/>
      <c r="H383" s="1085"/>
      <c r="I383" s="1085"/>
      <c r="J383" s="735"/>
      <c r="K383" s="736"/>
      <c r="L383" s="989"/>
      <c r="M383" s="989"/>
      <c r="N383" s="989"/>
      <c r="O383" s="989"/>
      <c r="P383" s="989"/>
      <c r="Q383" s="989"/>
      <c r="R383" s="58"/>
      <c r="S383" s="58"/>
      <c r="T383" s="483" t="s">
        <v>5</v>
      </c>
      <c r="U383" s="221" t="s">
        <v>36</v>
      </c>
      <c r="V383" s="408">
        <v>0</v>
      </c>
      <c r="W383" s="408">
        <f>V383*K413</f>
        <v>0</v>
      </c>
      <c r="X383" s="408">
        <v>0</v>
      </c>
      <c r="Y383" s="408">
        <f>X383*K413</f>
        <v>0</v>
      </c>
      <c r="Z383" s="408">
        <v>0</v>
      </c>
      <c r="AA383" s="409">
        <f>Z383*K413</f>
        <v>0</v>
      </c>
      <c r="AC383" s="105"/>
      <c r="AR383" s="448" t="s">
        <v>128</v>
      </c>
      <c r="AT383" s="448" t="s">
        <v>126</v>
      </c>
      <c r="AU383" s="448" t="s">
        <v>76</v>
      </c>
      <c r="AY383" s="448" t="s">
        <v>125</v>
      </c>
      <c r="BE383" s="484">
        <f>IF(U383="základní",N413,0)</f>
        <v>0</v>
      </c>
      <c r="BF383" s="484">
        <f>IF(U383="snížená",N413,0)</f>
        <v>0</v>
      </c>
      <c r="BG383" s="484">
        <f>IF(U383="zákl. přenesená",N413,0)</f>
        <v>0</v>
      </c>
      <c r="BH383" s="484">
        <f>IF(U383="sníž. přenesená",N413,0)</f>
        <v>0</v>
      </c>
      <c r="BI383" s="484">
        <f>IF(U383="nulová",N413,0)</f>
        <v>0</v>
      </c>
      <c r="BJ383" s="448" t="s">
        <v>80</v>
      </c>
      <c r="BK383" s="484">
        <f>ROUND(L413*K413,2)</f>
        <v>0</v>
      </c>
      <c r="BL383" s="448" t="s">
        <v>128</v>
      </c>
      <c r="BM383" s="448" t="s">
        <v>180</v>
      </c>
    </row>
    <row r="384" spans="1:47" s="162" customFormat="1" ht="42" customHeight="1">
      <c r="A384" s="58"/>
      <c r="B384" s="58"/>
      <c r="C384" s="509"/>
      <c r="D384" s="509"/>
      <c r="E384" s="509"/>
      <c r="F384" s="1083"/>
      <c r="G384" s="1084"/>
      <c r="H384" s="1084"/>
      <c r="I384" s="1084"/>
      <c r="J384" s="87"/>
      <c r="K384" s="87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07"/>
      <c r="AC384" s="105"/>
      <c r="AT384" s="448" t="s">
        <v>182</v>
      </c>
      <c r="AU384" s="448" t="s">
        <v>76</v>
      </c>
    </row>
    <row r="385" spans="1:65" s="162" customFormat="1" ht="31.5" customHeight="1">
      <c r="A385" s="58"/>
      <c r="B385" s="58"/>
      <c r="C385" s="514"/>
      <c r="D385" s="514"/>
      <c r="E385" s="734"/>
      <c r="F385" s="1085"/>
      <c r="G385" s="1085"/>
      <c r="H385" s="1085"/>
      <c r="I385" s="1085"/>
      <c r="J385" s="735"/>
      <c r="K385" s="736"/>
      <c r="L385" s="989"/>
      <c r="M385" s="989"/>
      <c r="N385" s="989"/>
      <c r="O385" s="989"/>
      <c r="P385" s="989"/>
      <c r="Q385" s="989"/>
      <c r="R385" s="58"/>
      <c r="S385" s="58"/>
      <c r="T385" s="483" t="s">
        <v>5</v>
      </c>
      <c r="U385" s="221" t="s">
        <v>36</v>
      </c>
      <c r="V385" s="408">
        <v>0</v>
      </c>
      <c r="W385" s="408">
        <f>V385*K415</f>
        <v>0</v>
      </c>
      <c r="X385" s="408">
        <v>0</v>
      </c>
      <c r="Y385" s="408">
        <f>X385*K415</f>
        <v>0</v>
      </c>
      <c r="Z385" s="408">
        <v>0</v>
      </c>
      <c r="AA385" s="409">
        <f>Z385*K415</f>
        <v>0</v>
      </c>
      <c r="AC385" s="105"/>
      <c r="AR385" s="448" t="s">
        <v>128</v>
      </c>
      <c r="AT385" s="448" t="s">
        <v>126</v>
      </c>
      <c r="AU385" s="448" t="s">
        <v>76</v>
      </c>
      <c r="AY385" s="448" t="s">
        <v>125</v>
      </c>
      <c r="BE385" s="484">
        <f>IF(U385="základní",N415,0)</f>
        <v>0</v>
      </c>
      <c r="BF385" s="484">
        <f>IF(U385="snížená",N415,0)</f>
        <v>0</v>
      </c>
      <c r="BG385" s="484">
        <f>IF(U385="zákl. přenesená",N415,0)</f>
        <v>0</v>
      </c>
      <c r="BH385" s="484">
        <f>IF(U385="sníž. přenesená",N415,0)</f>
        <v>0</v>
      </c>
      <c r="BI385" s="484">
        <f>IF(U385="nulová",N415,0)</f>
        <v>0</v>
      </c>
      <c r="BJ385" s="448" t="s">
        <v>80</v>
      </c>
      <c r="BK385" s="484">
        <f>ROUND(L415*K415,2)</f>
        <v>0</v>
      </c>
      <c r="BL385" s="448" t="s">
        <v>128</v>
      </c>
      <c r="BM385" s="448" t="s">
        <v>181</v>
      </c>
    </row>
    <row r="386" spans="1:47" s="162" customFormat="1" ht="42" customHeight="1">
      <c r="A386" s="58"/>
      <c r="B386" s="58"/>
      <c r="C386" s="58"/>
      <c r="D386" s="58"/>
      <c r="E386" s="58"/>
      <c r="F386" s="1083"/>
      <c r="G386" s="1084"/>
      <c r="H386" s="1084"/>
      <c r="I386" s="1084"/>
      <c r="J386" s="87"/>
      <c r="K386" s="87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07"/>
      <c r="AC386" s="105"/>
      <c r="AT386" s="448" t="s">
        <v>182</v>
      </c>
      <c r="AU386" s="448" t="s">
        <v>76</v>
      </c>
    </row>
    <row r="387" spans="1:63" s="398" customFormat="1" ht="37.35" customHeight="1">
      <c r="A387" s="181"/>
      <c r="B387" s="181"/>
      <c r="C387" s="522"/>
      <c r="D387" s="522"/>
      <c r="E387" s="524"/>
      <c r="F387" s="1085"/>
      <c r="G387" s="1085"/>
      <c r="H387" s="1085"/>
      <c r="I387" s="1085"/>
      <c r="J387" s="735"/>
      <c r="K387" s="736"/>
      <c r="L387" s="989"/>
      <c r="M387" s="989"/>
      <c r="N387" s="989"/>
      <c r="O387" s="989"/>
      <c r="P387" s="989"/>
      <c r="Q387" s="989"/>
      <c r="R387" s="181"/>
      <c r="S387" s="181"/>
      <c r="T387" s="181"/>
      <c r="U387" s="181"/>
      <c r="V387" s="181"/>
      <c r="W387" s="402">
        <f>SUM(W388:W394)</f>
        <v>0</v>
      </c>
      <c r="X387" s="181"/>
      <c r="Y387" s="402">
        <f>SUM(Y388:Y394)</f>
        <v>0</v>
      </c>
      <c r="Z387" s="181"/>
      <c r="AA387" s="403">
        <f>SUM(AA388:AA394)</f>
        <v>0</v>
      </c>
      <c r="AC387" s="105"/>
      <c r="AR387" s="404" t="s">
        <v>76</v>
      </c>
      <c r="AT387" s="405" t="s">
        <v>68</v>
      </c>
      <c r="AU387" s="405" t="s">
        <v>69</v>
      </c>
      <c r="AY387" s="404" t="s">
        <v>125</v>
      </c>
      <c r="BK387" s="406">
        <f>SUM(BK388:BK394)</f>
        <v>0</v>
      </c>
    </row>
    <row r="388" spans="1:65" s="162" customFormat="1" ht="31.5" customHeight="1">
      <c r="A388" s="58"/>
      <c r="B388" s="58"/>
      <c r="C388" s="58"/>
      <c r="D388" s="58"/>
      <c r="E388" s="58"/>
      <c r="F388" s="1083"/>
      <c r="G388" s="1084"/>
      <c r="H388" s="1084"/>
      <c r="I388" s="1084"/>
      <c r="J388" s="87"/>
      <c r="K388" s="87"/>
      <c r="L388" s="58"/>
      <c r="M388" s="58"/>
      <c r="N388" s="58"/>
      <c r="O388" s="58"/>
      <c r="P388" s="58"/>
      <c r="Q388" s="58"/>
      <c r="R388" s="58"/>
      <c r="S388" s="58"/>
      <c r="T388" s="483" t="s">
        <v>5</v>
      </c>
      <c r="U388" s="221" t="s">
        <v>36</v>
      </c>
      <c r="V388" s="408">
        <v>0</v>
      </c>
      <c r="W388" s="408">
        <f aca="true" t="shared" si="12" ref="W388:W394">V388*K418</f>
        <v>0</v>
      </c>
      <c r="X388" s="408">
        <v>0</v>
      </c>
      <c r="Y388" s="408">
        <f aca="true" t="shared" si="13" ref="Y388:Y394">X388*K418</f>
        <v>0</v>
      </c>
      <c r="Z388" s="408">
        <v>0</v>
      </c>
      <c r="AA388" s="409">
        <f aca="true" t="shared" si="14" ref="AA388:AA394">Z388*K418</f>
        <v>0</v>
      </c>
      <c r="AC388" s="105"/>
      <c r="AR388" s="448" t="s">
        <v>128</v>
      </c>
      <c r="AT388" s="448" t="s">
        <v>126</v>
      </c>
      <c r="AU388" s="448" t="s">
        <v>76</v>
      </c>
      <c r="AY388" s="448" t="s">
        <v>125</v>
      </c>
      <c r="BE388" s="484">
        <f aca="true" t="shared" si="15" ref="BE388:BE394">IF(U388="základní",N418,0)</f>
        <v>0</v>
      </c>
      <c r="BF388" s="484">
        <f aca="true" t="shared" si="16" ref="BF388:BF394">IF(U388="snížená",N418,0)</f>
        <v>0</v>
      </c>
      <c r="BG388" s="484">
        <f aca="true" t="shared" si="17" ref="BG388:BG394">IF(U388="zákl. přenesená",N418,0)</f>
        <v>0</v>
      </c>
      <c r="BH388" s="484">
        <f aca="true" t="shared" si="18" ref="BH388:BH394">IF(U388="sníž. přenesená",N418,0)</f>
        <v>0</v>
      </c>
      <c r="BI388" s="484">
        <f aca="true" t="shared" si="19" ref="BI388:BI394">IF(U388="nulová",N418,0)</f>
        <v>0</v>
      </c>
      <c r="BJ388" s="448" t="s">
        <v>80</v>
      </c>
      <c r="BK388" s="484">
        <f aca="true" t="shared" si="20" ref="BK388:BK394">ROUND(L418*K418,2)</f>
        <v>0</v>
      </c>
      <c r="BL388" s="448" t="s">
        <v>128</v>
      </c>
      <c r="BM388" s="448" t="s">
        <v>183</v>
      </c>
    </row>
    <row r="389" spans="1:65" s="162" customFormat="1" ht="31.5" customHeight="1">
      <c r="A389" s="58"/>
      <c r="B389" s="58"/>
      <c r="C389" s="522"/>
      <c r="D389" s="522"/>
      <c r="E389" s="524"/>
      <c r="F389" s="1085"/>
      <c r="G389" s="1085"/>
      <c r="H389" s="1085"/>
      <c r="I389" s="1085"/>
      <c r="J389" s="735"/>
      <c r="K389" s="736"/>
      <c r="L389" s="989"/>
      <c r="M389" s="989"/>
      <c r="N389" s="989"/>
      <c r="O389" s="989"/>
      <c r="P389" s="989"/>
      <c r="Q389" s="989"/>
      <c r="R389" s="58"/>
      <c r="S389" s="58"/>
      <c r="T389" s="483" t="s">
        <v>5</v>
      </c>
      <c r="U389" s="221" t="s">
        <v>36</v>
      </c>
      <c r="V389" s="408">
        <v>0</v>
      </c>
      <c r="W389" s="408">
        <f t="shared" si="12"/>
        <v>0</v>
      </c>
      <c r="X389" s="408">
        <v>0</v>
      </c>
      <c r="Y389" s="408">
        <f t="shared" si="13"/>
        <v>0</v>
      </c>
      <c r="Z389" s="408">
        <v>0</v>
      </c>
      <c r="AA389" s="409">
        <f t="shared" si="14"/>
        <v>0</v>
      </c>
      <c r="AC389" s="105"/>
      <c r="AR389" s="448" t="s">
        <v>128</v>
      </c>
      <c r="AT389" s="448" t="s">
        <v>126</v>
      </c>
      <c r="AU389" s="448" t="s">
        <v>76</v>
      </c>
      <c r="AY389" s="448" t="s">
        <v>125</v>
      </c>
      <c r="BE389" s="484">
        <f t="shared" si="15"/>
        <v>0</v>
      </c>
      <c r="BF389" s="484">
        <f t="shared" si="16"/>
        <v>0</v>
      </c>
      <c r="BG389" s="484">
        <f t="shared" si="17"/>
        <v>0</v>
      </c>
      <c r="BH389" s="484">
        <f t="shared" si="18"/>
        <v>0</v>
      </c>
      <c r="BI389" s="484">
        <f t="shared" si="19"/>
        <v>0</v>
      </c>
      <c r="BJ389" s="448" t="s">
        <v>80</v>
      </c>
      <c r="BK389" s="484">
        <f t="shared" si="20"/>
        <v>0</v>
      </c>
      <c r="BL389" s="448" t="s">
        <v>128</v>
      </c>
      <c r="BM389" s="448" t="s">
        <v>184</v>
      </c>
    </row>
    <row r="390" spans="1:65" s="162" customFormat="1" ht="31.5" customHeight="1">
      <c r="A390" s="58"/>
      <c r="B390" s="58"/>
      <c r="C390" s="58"/>
      <c r="D390" s="58"/>
      <c r="E390" s="58"/>
      <c r="F390" s="1083"/>
      <c r="G390" s="1084"/>
      <c r="H390" s="1084"/>
      <c r="I390" s="1084"/>
      <c r="J390" s="87"/>
      <c r="K390" s="87"/>
      <c r="L390" s="58"/>
      <c r="M390" s="58"/>
      <c r="N390" s="58"/>
      <c r="O390" s="58"/>
      <c r="P390" s="58"/>
      <c r="Q390" s="58"/>
      <c r="R390" s="58"/>
      <c r="S390" s="58"/>
      <c r="T390" s="483" t="s">
        <v>5</v>
      </c>
      <c r="U390" s="221" t="s">
        <v>36</v>
      </c>
      <c r="V390" s="408">
        <v>0</v>
      </c>
      <c r="W390" s="408">
        <f t="shared" si="12"/>
        <v>0</v>
      </c>
      <c r="X390" s="408">
        <v>0</v>
      </c>
      <c r="Y390" s="408">
        <f t="shared" si="13"/>
        <v>0</v>
      </c>
      <c r="Z390" s="408">
        <v>0</v>
      </c>
      <c r="AA390" s="409">
        <f t="shared" si="14"/>
        <v>0</v>
      </c>
      <c r="AC390" s="105"/>
      <c r="AR390" s="448" t="s">
        <v>128</v>
      </c>
      <c r="AT390" s="448" t="s">
        <v>126</v>
      </c>
      <c r="AU390" s="448" t="s">
        <v>76</v>
      </c>
      <c r="AY390" s="448" t="s">
        <v>125</v>
      </c>
      <c r="BE390" s="484">
        <f t="shared" si="15"/>
        <v>0</v>
      </c>
      <c r="BF390" s="484">
        <f t="shared" si="16"/>
        <v>0</v>
      </c>
      <c r="BG390" s="484">
        <f t="shared" si="17"/>
        <v>0</v>
      </c>
      <c r="BH390" s="484">
        <f t="shared" si="18"/>
        <v>0</v>
      </c>
      <c r="BI390" s="484">
        <f t="shared" si="19"/>
        <v>0</v>
      </c>
      <c r="BJ390" s="448" t="s">
        <v>80</v>
      </c>
      <c r="BK390" s="484">
        <f t="shared" si="20"/>
        <v>0</v>
      </c>
      <c r="BL390" s="448" t="s">
        <v>128</v>
      </c>
      <c r="BM390" s="448" t="s">
        <v>185</v>
      </c>
    </row>
    <row r="391" spans="1:65" s="162" customFormat="1" ht="31.5" customHeight="1">
      <c r="A391" s="58"/>
      <c r="B391" s="58"/>
      <c r="C391" s="522"/>
      <c r="D391" s="522"/>
      <c r="E391" s="524"/>
      <c r="F391" s="1085"/>
      <c r="G391" s="1085"/>
      <c r="H391" s="1085"/>
      <c r="I391" s="1085"/>
      <c r="J391" s="735"/>
      <c r="K391" s="736"/>
      <c r="L391" s="989"/>
      <c r="M391" s="989"/>
      <c r="N391" s="989"/>
      <c r="O391" s="989"/>
      <c r="P391" s="989"/>
      <c r="Q391" s="989"/>
      <c r="R391" s="58"/>
      <c r="S391" s="58"/>
      <c r="T391" s="483" t="s">
        <v>5</v>
      </c>
      <c r="U391" s="221" t="s">
        <v>36</v>
      </c>
      <c r="V391" s="408">
        <v>0</v>
      </c>
      <c r="W391" s="408">
        <f t="shared" si="12"/>
        <v>0</v>
      </c>
      <c r="X391" s="408">
        <v>0</v>
      </c>
      <c r="Y391" s="408">
        <f t="shared" si="13"/>
        <v>0</v>
      </c>
      <c r="Z391" s="408">
        <v>0</v>
      </c>
      <c r="AA391" s="409">
        <f t="shared" si="14"/>
        <v>0</v>
      </c>
      <c r="AC391" s="105"/>
      <c r="AR391" s="448" t="s">
        <v>128</v>
      </c>
      <c r="AT391" s="448" t="s">
        <v>126</v>
      </c>
      <c r="AU391" s="448" t="s">
        <v>76</v>
      </c>
      <c r="AY391" s="448" t="s">
        <v>125</v>
      </c>
      <c r="BE391" s="484">
        <f t="shared" si="15"/>
        <v>0</v>
      </c>
      <c r="BF391" s="484">
        <f t="shared" si="16"/>
        <v>0</v>
      </c>
      <c r="BG391" s="484">
        <f t="shared" si="17"/>
        <v>0</v>
      </c>
      <c r="BH391" s="484">
        <f t="shared" si="18"/>
        <v>0</v>
      </c>
      <c r="BI391" s="484">
        <f t="shared" si="19"/>
        <v>0</v>
      </c>
      <c r="BJ391" s="448" t="s">
        <v>80</v>
      </c>
      <c r="BK391" s="484">
        <f t="shared" si="20"/>
        <v>0</v>
      </c>
      <c r="BL391" s="448" t="s">
        <v>128</v>
      </c>
      <c r="BM391" s="448" t="s">
        <v>186</v>
      </c>
    </row>
    <row r="392" spans="1:65" s="162" customFormat="1" ht="31.5" customHeight="1">
      <c r="A392" s="58"/>
      <c r="B392" s="58"/>
      <c r="C392" s="58"/>
      <c r="D392" s="58"/>
      <c r="E392" s="58"/>
      <c r="F392" s="1083"/>
      <c r="G392" s="1084"/>
      <c r="H392" s="1084"/>
      <c r="I392" s="1084"/>
      <c r="J392" s="87"/>
      <c r="K392" s="87"/>
      <c r="L392" s="58"/>
      <c r="M392" s="58"/>
      <c r="N392" s="58"/>
      <c r="O392" s="58"/>
      <c r="P392" s="58"/>
      <c r="Q392" s="58"/>
      <c r="R392" s="58"/>
      <c r="S392" s="58"/>
      <c r="T392" s="483" t="s">
        <v>5</v>
      </c>
      <c r="U392" s="221" t="s">
        <v>36</v>
      </c>
      <c r="V392" s="408">
        <v>0</v>
      </c>
      <c r="W392" s="408">
        <f t="shared" si="12"/>
        <v>0</v>
      </c>
      <c r="X392" s="408">
        <v>0</v>
      </c>
      <c r="Y392" s="408">
        <f t="shared" si="13"/>
        <v>0</v>
      </c>
      <c r="Z392" s="408">
        <v>0</v>
      </c>
      <c r="AA392" s="409">
        <f t="shared" si="14"/>
        <v>0</v>
      </c>
      <c r="AC392" s="105"/>
      <c r="AR392" s="448" t="s">
        <v>128</v>
      </c>
      <c r="AT392" s="448" t="s">
        <v>126</v>
      </c>
      <c r="AU392" s="448" t="s">
        <v>76</v>
      </c>
      <c r="AY392" s="448" t="s">
        <v>125</v>
      </c>
      <c r="BE392" s="484">
        <f t="shared" si="15"/>
        <v>0</v>
      </c>
      <c r="BF392" s="484">
        <f t="shared" si="16"/>
        <v>0</v>
      </c>
      <c r="BG392" s="484">
        <f t="shared" si="17"/>
        <v>0</v>
      </c>
      <c r="BH392" s="484">
        <f t="shared" si="18"/>
        <v>0</v>
      </c>
      <c r="BI392" s="484">
        <f t="shared" si="19"/>
        <v>0</v>
      </c>
      <c r="BJ392" s="448" t="s">
        <v>80</v>
      </c>
      <c r="BK392" s="484">
        <f t="shared" si="20"/>
        <v>0</v>
      </c>
      <c r="BL392" s="448" t="s">
        <v>128</v>
      </c>
      <c r="BM392" s="448" t="s">
        <v>187</v>
      </c>
    </row>
    <row r="393" spans="1:65" s="162" customFormat="1" ht="31.5" customHeight="1">
      <c r="A393" s="58"/>
      <c r="B393" s="58"/>
      <c r="C393" s="522"/>
      <c r="D393" s="522"/>
      <c r="E393" s="524"/>
      <c r="F393" s="1085"/>
      <c r="G393" s="1085"/>
      <c r="H393" s="1085"/>
      <c r="I393" s="1085"/>
      <c r="J393" s="735"/>
      <c r="K393" s="736"/>
      <c r="L393" s="989"/>
      <c r="M393" s="989"/>
      <c r="N393" s="989"/>
      <c r="O393" s="989"/>
      <c r="P393" s="989"/>
      <c r="Q393" s="989"/>
      <c r="R393" s="58"/>
      <c r="S393" s="58"/>
      <c r="T393" s="483" t="s">
        <v>5</v>
      </c>
      <c r="U393" s="221" t="s">
        <v>36</v>
      </c>
      <c r="V393" s="408">
        <v>0</v>
      </c>
      <c r="W393" s="408">
        <f t="shared" si="12"/>
        <v>0</v>
      </c>
      <c r="X393" s="408">
        <v>0</v>
      </c>
      <c r="Y393" s="408">
        <f t="shared" si="13"/>
        <v>0</v>
      </c>
      <c r="Z393" s="408">
        <v>0</v>
      </c>
      <c r="AA393" s="409">
        <f t="shared" si="14"/>
        <v>0</v>
      </c>
      <c r="AC393" s="105"/>
      <c r="AR393" s="448" t="s">
        <v>128</v>
      </c>
      <c r="AT393" s="448" t="s">
        <v>126</v>
      </c>
      <c r="AU393" s="448" t="s">
        <v>76</v>
      </c>
      <c r="AY393" s="448" t="s">
        <v>125</v>
      </c>
      <c r="BE393" s="484">
        <f t="shared" si="15"/>
        <v>0</v>
      </c>
      <c r="BF393" s="484">
        <f t="shared" si="16"/>
        <v>0</v>
      </c>
      <c r="BG393" s="484">
        <f t="shared" si="17"/>
        <v>0</v>
      </c>
      <c r="BH393" s="484">
        <f t="shared" si="18"/>
        <v>0</v>
      </c>
      <c r="BI393" s="484">
        <f t="shared" si="19"/>
        <v>0</v>
      </c>
      <c r="BJ393" s="448" t="s">
        <v>80</v>
      </c>
      <c r="BK393" s="484">
        <f t="shared" si="20"/>
        <v>0</v>
      </c>
      <c r="BL393" s="448" t="s">
        <v>128</v>
      </c>
      <c r="BM393" s="448" t="s">
        <v>188</v>
      </c>
    </row>
    <row r="394" spans="1:65" s="162" customFormat="1" ht="44.25" customHeight="1">
      <c r="A394" s="58"/>
      <c r="B394" s="58"/>
      <c r="C394" s="58"/>
      <c r="D394" s="58"/>
      <c r="E394" s="58"/>
      <c r="F394" s="1090"/>
      <c r="G394" s="1091"/>
      <c r="H394" s="1091"/>
      <c r="I394" s="1091"/>
      <c r="J394" s="87"/>
      <c r="K394" s="87"/>
      <c r="L394" s="58"/>
      <c r="M394" s="58"/>
      <c r="N394" s="58"/>
      <c r="O394" s="58"/>
      <c r="P394" s="58"/>
      <c r="Q394" s="58"/>
      <c r="R394" s="58"/>
      <c r="S394" s="58"/>
      <c r="T394" s="483" t="s">
        <v>5</v>
      </c>
      <c r="U394" s="526" t="s">
        <v>36</v>
      </c>
      <c r="V394" s="527">
        <v>0</v>
      </c>
      <c r="W394" s="527">
        <f t="shared" si="12"/>
        <v>0</v>
      </c>
      <c r="X394" s="527">
        <v>0</v>
      </c>
      <c r="Y394" s="527">
        <f t="shared" si="13"/>
        <v>0</v>
      </c>
      <c r="Z394" s="527">
        <v>0</v>
      </c>
      <c r="AA394" s="528">
        <f t="shared" si="14"/>
        <v>0</v>
      </c>
      <c r="AC394" s="105"/>
      <c r="AR394" s="448" t="s">
        <v>128</v>
      </c>
      <c r="AT394" s="448" t="s">
        <v>126</v>
      </c>
      <c r="AU394" s="448" t="s">
        <v>76</v>
      </c>
      <c r="AY394" s="448" t="s">
        <v>125</v>
      </c>
      <c r="BE394" s="484">
        <f t="shared" si="15"/>
        <v>0</v>
      </c>
      <c r="BF394" s="484">
        <f t="shared" si="16"/>
        <v>0</v>
      </c>
      <c r="BG394" s="484">
        <f t="shared" si="17"/>
        <v>0</v>
      </c>
      <c r="BH394" s="484">
        <f t="shared" si="18"/>
        <v>0</v>
      </c>
      <c r="BI394" s="484">
        <f t="shared" si="19"/>
        <v>0</v>
      </c>
      <c r="BJ394" s="448" t="s">
        <v>80</v>
      </c>
      <c r="BK394" s="484">
        <f t="shared" si="20"/>
        <v>0</v>
      </c>
      <c r="BL394" s="448" t="s">
        <v>128</v>
      </c>
      <c r="BM394" s="448" t="s">
        <v>189</v>
      </c>
    </row>
    <row r="395" spans="1:29" s="162" customFormat="1" ht="6.95" customHeight="1">
      <c r="A395" s="58"/>
      <c r="B395" s="58"/>
      <c r="C395" s="522"/>
      <c r="D395" s="522"/>
      <c r="E395" s="524"/>
      <c r="F395" s="1085"/>
      <c r="G395" s="1085"/>
      <c r="H395" s="1085"/>
      <c r="I395" s="1085"/>
      <c r="J395" s="735"/>
      <c r="K395" s="736"/>
      <c r="L395" s="989"/>
      <c r="M395" s="989"/>
      <c r="N395" s="989"/>
      <c r="O395" s="989"/>
      <c r="P395" s="989"/>
      <c r="Q395" s="989"/>
      <c r="R395" s="58"/>
      <c r="S395" s="58"/>
      <c r="AC395" s="105"/>
    </row>
    <row r="396" spans="1:29" ht="18">
      <c r="A396" s="157"/>
      <c r="B396" s="157"/>
      <c r="C396" s="58"/>
      <c r="D396" s="58"/>
      <c r="E396" s="58"/>
      <c r="F396" s="1090"/>
      <c r="G396" s="1091"/>
      <c r="H396" s="1091"/>
      <c r="I396" s="1091"/>
      <c r="J396" s="87"/>
      <c r="K396" s="87"/>
      <c r="L396" s="58"/>
      <c r="M396" s="58"/>
      <c r="N396" s="58"/>
      <c r="O396" s="58"/>
      <c r="P396" s="58"/>
      <c r="Q396" s="58"/>
      <c r="R396" s="157"/>
      <c r="S396" s="157"/>
      <c r="AC396" s="105"/>
    </row>
    <row r="397" spans="1:29" ht="18">
      <c r="A397" s="157"/>
      <c r="B397" s="157"/>
      <c r="C397" s="522"/>
      <c r="D397" s="522"/>
      <c r="E397" s="524"/>
      <c r="F397" s="1085"/>
      <c r="G397" s="1085"/>
      <c r="H397" s="1085"/>
      <c r="I397" s="1085"/>
      <c r="J397" s="735"/>
      <c r="K397" s="736"/>
      <c r="L397" s="989"/>
      <c r="M397" s="989"/>
      <c r="N397" s="989"/>
      <c r="O397" s="989"/>
      <c r="P397" s="989"/>
      <c r="Q397" s="989"/>
      <c r="R397" s="157"/>
      <c r="S397" s="157"/>
      <c r="AC397" s="105"/>
    </row>
    <row r="398" spans="1:29" ht="18">
      <c r="A398" s="157"/>
      <c r="B398" s="157"/>
      <c r="C398" s="58"/>
      <c r="D398" s="58"/>
      <c r="E398" s="58"/>
      <c r="F398" s="1090"/>
      <c r="G398" s="1091"/>
      <c r="H398" s="1091"/>
      <c r="I398" s="1091"/>
      <c r="J398" s="87"/>
      <c r="K398" s="87"/>
      <c r="L398" s="58"/>
      <c r="M398" s="58"/>
      <c r="N398" s="58"/>
      <c r="O398" s="58"/>
      <c r="P398" s="58"/>
      <c r="Q398" s="58"/>
      <c r="R398" s="157"/>
      <c r="S398" s="157"/>
      <c r="AC398" s="105"/>
    </row>
    <row r="399" spans="1:29" ht="18">
      <c r="A399" s="157"/>
      <c r="B399" s="157"/>
      <c r="C399" s="522"/>
      <c r="D399" s="522"/>
      <c r="E399" s="524"/>
      <c r="F399" s="1085"/>
      <c r="G399" s="1085"/>
      <c r="H399" s="1085"/>
      <c r="I399" s="1085"/>
      <c r="J399" s="735"/>
      <c r="K399" s="736"/>
      <c r="L399" s="989"/>
      <c r="M399" s="989"/>
      <c r="N399" s="989"/>
      <c r="O399" s="989"/>
      <c r="P399" s="989"/>
      <c r="Q399" s="989"/>
      <c r="R399" s="157"/>
      <c r="S399" s="157"/>
      <c r="AC399" s="105"/>
    </row>
    <row r="400" spans="1:29" ht="18">
      <c r="A400" s="157"/>
      <c r="B400" s="157"/>
      <c r="C400" s="58"/>
      <c r="D400" s="58"/>
      <c r="E400" s="58"/>
      <c r="F400" s="1090"/>
      <c r="G400" s="1091"/>
      <c r="H400" s="1091"/>
      <c r="I400" s="1091"/>
      <c r="J400" s="87"/>
      <c r="K400" s="87"/>
      <c r="L400" s="58"/>
      <c r="M400" s="58"/>
      <c r="N400" s="58"/>
      <c r="O400" s="58"/>
      <c r="P400" s="58"/>
      <c r="Q400" s="58"/>
      <c r="R400" s="157"/>
      <c r="S400" s="157"/>
      <c r="AC400" s="105"/>
    </row>
    <row r="401" spans="1:19" ht="13.5">
      <c r="A401" s="157"/>
      <c r="B401" s="157"/>
      <c r="C401" s="522"/>
      <c r="D401" s="522"/>
      <c r="E401" s="524"/>
      <c r="F401" s="1085"/>
      <c r="G401" s="1085"/>
      <c r="H401" s="1085"/>
      <c r="I401" s="1085"/>
      <c r="J401" s="735"/>
      <c r="K401" s="736"/>
      <c r="L401" s="989"/>
      <c r="M401" s="989"/>
      <c r="N401" s="989"/>
      <c r="O401" s="989"/>
      <c r="P401" s="989"/>
      <c r="Q401" s="989"/>
      <c r="R401" s="157"/>
      <c r="S401" s="157"/>
    </row>
    <row r="402" spans="1:19" ht="13.5">
      <c r="A402" s="157"/>
      <c r="B402" s="157"/>
      <c r="C402" s="58"/>
      <c r="D402" s="58"/>
      <c r="E402" s="58"/>
      <c r="F402" s="1090"/>
      <c r="G402" s="1091"/>
      <c r="H402" s="1091"/>
      <c r="I402" s="1091"/>
      <c r="J402" s="87"/>
      <c r="K402" s="87"/>
      <c r="L402" s="58"/>
      <c r="M402" s="58"/>
      <c r="N402" s="58"/>
      <c r="O402" s="58"/>
      <c r="P402" s="58"/>
      <c r="Q402" s="58"/>
      <c r="R402" s="157"/>
      <c r="S402" s="157"/>
    </row>
    <row r="403" spans="1:19" ht="18">
      <c r="A403" s="157"/>
      <c r="B403" s="157"/>
      <c r="C403" s="181"/>
      <c r="D403" s="105"/>
      <c r="E403" s="105"/>
      <c r="F403" s="737"/>
      <c r="G403" s="737"/>
      <c r="H403" s="737"/>
      <c r="I403" s="737"/>
      <c r="J403" s="737"/>
      <c r="K403" s="737"/>
      <c r="L403" s="105"/>
      <c r="M403" s="105"/>
      <c r="N403" s="971"/>
      <c r="O403" s="926"/>
      <c r="P403" s="926"/>
      <c r="Q403" s="926"/>
      <c r="R403" s="157"/>
      <c r="S403" s="157"/>
    </row>
    <row r="404" spans="1:19" ht="13.5">
      <c r="A404" s="157"/>
      <c r="B404" s="157"/>
      <c r="C404" s="522"/>
      <c r="D404" s="522"/>
      <c r="E404" s="524"/>
      <c r="F404" s="1085"/>
      <c r="G404" s="1085"/>
      <c r="H404" s="1085"/>
      <c r="I404" s="1085"/>
      <c r="J404" s="735"/>
      <c r="K404" s="736"/>
      <c r="L404" s="989"/>
      <c r="M404" s="989"/>
      <c r="N404" s="989"/>
      <c r="O404" s="989"/>
      <c r="P404" s="989"/>
      <c r="Q404" s="989"/>
      <c r="R404" s="157"/>
      <c r="S404" s="157"/>
    </row>
    <row r="405" spans="1:19" ht="13.5">
      <c r="A405" s="157"/>
      <c r="B405" s="157"/>
      <c r="C405" s="58"/>
      <c r="D405" s="58"/>
      <c r="E405" s="58"/>
      <c r="F405" s="1090"/>
      <c r="G405" s="1091"/>
      <c r="H405" s="1091"/>
      <c r="I405" s="1091"/>
      <c r="J405" s="87"/>
      <c r="K405" s="87"/>
      <c r="L405" s="58"/>
      <c r="M405" s="58"/>
      <c r="N405" s="58"/>
      <c r="O405" s="58"/>
      <c r="P405" s="58"/>
      <c r="Q405" s="58"/>
      <c r="R405" s="157"/>
      <c r="S405" s="157"/>
    </row>
    <row r="406" spans="1:19" ht="13.5">
      <c r="A406" s="157"/>
      <c r="B406" s="157"/>
      <c r="C406" s="522"/>
      <c r="D406" s="522"/>
      <c r="E406" s="524"/>
      <c r="F406" s="1085"/>
      <c r="G406" s="1085"/>
      <c r="H406" s="1085"/>
      <c r="I406" s="1085"/>
      <c r="J406" s="735"/>
      <c r="K406" s="736"/>
      <c r="L406" s="989"/>
      <c r="M406" s="989"/>
      <c r="N406" s="989"/>
      <c r="O406" s="989"/>
      <c r="P406" s="989"/>
      <c r="Q406" s="989"/>
      <c r="R406" s="157"/>
      <c r="S406" s="157"/>
    </row>
    <row r="407" spans="1:19" ht="13.5">
      <c r="A407" s="157"/>
      <c r="B407" s="157"/>
      <c r="C407" s="58"/>
      <c r="D407" s="58"/>
      <c r="E407" s="58"/>
      <c r="F407" s="1090"/>
      <c r="G407" s="1091"/>
      <c r="H407" s="1091"/>
      <c r="I407" s="1091"/>
      <c r="J407" s="87"/>
      <c r="K407" s="87"/>
      <c r="L407" s="58"/>
      <c r="M407" s="58"/>
      <c r="N407" s="58"/>
      <c r="O407" s="58"/>
      <c r="P407" s="58"/>
      <c r="Q407" s="58"/>
      <c r="R407" s="157"/>
      <c r="S407" s="157"/>
    </row>
    <row r="408" spans="1:19" ht="18">
      <c r="A408" s="157"/>
      <c r="B408" s="157"/>
      <c r="C408" s="181"/>
      <c r="D408" s="105"/>
      <c r="E408" s="105"/>
      <c r="F408" s="737"/>
      <c r="G408" s="737"/>
      <c r="H408" s="737"/>
      <c r="I408" s="737"/>
      <c r="J408" s="737"/>
      <c r="K408" s="737"/>
      <c r="L408" s="105"/>
      <c r="M408" s="105"/>
      <c r="N408" s="971"/>
      <c r="O408" s="926"/>
      <c r="P408" s="926"/>
      <c r="Q408" s="926"/>
      <c r="R408" s="157"/>
      <c r="S408" s="157"/>
    </row>
    <row r="409" spans="1:19" ht="13.5">
      <c r="A409" s="157"/>
      <c r="B409" s="157"/>
      <c r="C409" s="522"/>
      <c r="D409" s="522"/>
      <c r="E409" s="524"/>
      <c r="F409" s="1085"/>
      <c r="G409" s="1085"/>
      <c r="H409" s="1085"/>
      <c r="I409" s="1085"/>
      <c r="J409" s="735"/>
      <c r="K409" s="736"/>
      <c r="L409" s="989"/>
      <c r="M409" s="989"/>
      <c r="N409" s="989"/>
      <c r="O409" s="989"/>
      <c r="P409" s="989"/>
      <c r="Q409" s="989"/>
      <c r="R409" s="157"/>
      <c r="S409" s="157"/>
    </row>
    <row r="410" spans="1:19" ht="13.5">
      <c r="A410" s="157"/>
      <c r="B410" s="157"/>
      <c r="C410" s="58"/>
      <c r="D410" s="58"/>
      <c r="E410" s="58"/>
      <c r="F410" s="1090"/>
      <c r="G410" s="1091"/>
      <c r="H410" s="1091"/>
      <c r="I410" s="1091"/>
      <c r="J410" s="87"/>
      <c r="K410" s="87"/>
      <c r="L410" s="58"/>
      <c r="M410" s="58"/>
      <c r="N410" s="58"/>
      <c r="O410" s="58"/>
      <c r="P410" s="58"/>
      <c r="Q410" s="58"/>
      <c r="R410" s="157"/>
      <c r="S410" s="157"/>
    </row>
    <row r="411" spans="1:19" ht="13.5">
      <c r="A411" s="157"/>
      <c r="B411" s="157"/>
      <c r="C411" s="522"/>
      <c r="D411" s="522"/>
      <c r="E411" s="524"/>
      <c r="F411" s="1085"/>
      <c r="G411" s="1085"/>
      <c r="H411" s="1085"/>
      <c r="I411" s="1085"/>
      <c r="J411" s="735"/>
      <c r="K411" s="736"/>
      <c r="L411" s="989"/>
      <c r="M411" s="989"/>
      <c r="N411" s="989"/>
      <c r="O411" s="989"/>
      <c r="P411" s="989"/>
      <c r="Q411" s="989"/>
      <c r="R411" s="157"/>
      <c r="S411" s="157"/>
    </row>
    <row r="412" spans="1:19" ht="13.5">
      <c r="A412" s="157"/>
      <c r="B412" s="157"/>
      <c r="C412" s="58"/>
      <c r="D412" s="58"/>
      <c r="E412" s="58"/>
      <c r="F412" s="1090"/>
      <c r="G412" s="1091"/>
      <c r="H412" s="1091"/>
      <c r="I412" s="1091"/>
      <c r="J412" s="87"/>
      <c r="K412" s="87"/>
      <c r="L412" s="58"/>
      <c r="M412" s="58"/>
      <c r="N412" s="58"/>
      <c r="O412" s="58"/>
      <c r="P412" s="58"/>
      <c r="Q412" s="58"/>
      <c r="R412" s="157"/>
      <c r="S412" s="157"/>
    </row>
    <row r="413" spans="1:19" ht="13.5">
      <c r="A413" s="157"/>
      <c r="B413" s="157"/>
      <c r="C413" s="522"/>
      <c r="D413" s="522"/>
      <c r="E413" s="524"/>
      <c r="F413" s="1085"/>
      <c r="G413" s="1085"/>
      <c r="H413" s="1085"/>
      <c r="I413" s="1085"/>
      <c r="J413" s="735"/>
      <c r="K413" s="736"/>
      <c r="L413" s="989"/>
      <c r="M413" s="989"/>
      <c r="N413" s="989"/>
      <c r="O413" s="989"/>
      <c r="P413" s="989"/>
      <c r="Q413" s="989"/>
      <c r="R413" s="157"/>
      <c r="S413" s="157"/>
    </row>
    <row r="414" spans="1:19" ht="13.5">
      <c r="A414" s="157"/>
      <c r="B414" s="157"/>
      <c r="C414" s="58"/>
      <c r="D414" s="58"/>
      <c r="E414" s="58"/>
      <c r="F414" s="1090"/>
      <c r="G414" s="1091"/>
      <c r="H414" s="1091"/>
      <c r="I414" s="1091"/>
      <c r="J414" s="87"/>
      <c r="K414" s="87"/>
      <c r="L414" s="58"/>
      <c r="M414" s="58"/>
      <c r="N414" s="58"/>
      <c r="O414" s="58"/>
      <c r="P414" s="58"/>
      <c r="Q414" s="58"/>
      <c r="R414" s="157"/>
      <c r="S414" s="157"/>
    </row>
    <row r="415" spans="1:19" ht="13.5">
      <c r="A415" s="157"/>
      <c r="B415" s="157"/>
      <c r="C415" s="522"/>
      <c r="D415" s="522"/>
      <c r="E415" s="524"/>
      <c r="F415" s="1085"/>
      <c r="G415" s="1085"/>
      <c r="H415" s="1085"/>
      <c r="I415" s="1085"/>
      <c r="J415" s="735"/>
      <c r="K415" s="736"/>
      <c r="L415" s="989"/>
      <c r="M415" s="989"/>
      <c r="N415" s="989"/>
      <c r="O415" s="989"/>
      <c r="P415" s="989"/>
      <c r="Q415" s="989"/>
      <c r="R415" s="157"/>
      <c r="S415" s="157"/>
    </row>
    <row r="416" spans="1:19" ht="13.5">
      <c r="A416" s="157"/>
      <c r="B416" s="157"/>
      <c r="C416" s="58"/>
      <c r="D416" s="58"/>
      <c r="E416" s="58"/>
      <c r="F416" s="1090"/>
      <c r="G416" s="1091"/>
      <c r="H416" s="1091"/>
      <c r="I416" s="1091"/>
      <c r="J416" s="87"/>
      <c r="K416" s="87"/>
      <c r="L416" s="58"/>
      <c r="M416" s="58"/>
      <c r="N416" s="58"/>
      <c r="O416" s="58"/>
      <c r="P416" s="58"/>
      <c r="Q416" s="58"/>
      <c r="R416" s="157"/>
      <c r="S416" s="157"/>
    </row>
    <row r="417" spans="1:19" ht="18">
      <c r="A417" s="157"/>
      <c r="B417" s="157"/>
      <c r="C417" s="181"/>
      <c r="D417" s="105"/>
      <c r="E417" s="105"/>
      <c r="F417" s="737"/>
      <c r="G417" s="737"/>
      <c r="H417" s="737"/>
      <c r="I417" s="737"/>
      <c r="J417" s="737"/>
      <c r="K417" s="737"/>
      <c r="L417" s="105"/>
      <c r="M417" s="105"/>
      <c r="N417" s="971"/>
      <c r="O417" s="926"/>
      <c r="P417" s="926"/>
      <c r="Q417" s="926"/>
      <c r="R417" s="157"/>
      <c r="S417" s="157"/>
    </row>
    <row r="418" spans="1:19" ht="13.5">
      <c r="A418" s="157"/>
      <c r="B418" s="157"/>
      <c r="C418" s="522"/>
      <c r="D418" s="522"/>
      <c r="E418" s="524"/>
      <c r="F418" s="1085"/>
      <c r="G418" s="1085"/>
      <c r="H418" s="1085"/>
      <c r="I418" s="1085"/>
      <c r="J418" s="735"/>
      <c r="K418" s="736"/>
      <c r="L418" s="989"/>
      <c r="M418" s="989"/>
      <c r="N418" s="989"/>
      <c r="O418" s="989"/>
      <c r="P418" s="989"/>
      <c r="Q418" s="989"/>
      <c r="R418" s="157"/>
      <c r="S418" s="157"/>
    </row>
    <row r="419" spans="1:19" ht="13.5">
      <c r="A419" s="157"/>
      <c r="B419" s="157"/>
      <c r="C419" s="522"/>
      <c r="D419" s="522"/>
      <c r="E419" s="524"/>
      <c r="F419" s="1085"/>
      <c r="G419" s="1085"/>
      <c r="H419" s="1085"/>
      <c r="I419" s="1085"/>
      <c r="J419" s="735"/>
      <c r="K419" s="736"/>
      <c r="L419" s="989"/>
      <c r="M419" s="989"/>
      <c r="N419" s="989"/>
      <c r="O419" s="989"/>
      <c r="P419" s="989"/>
      <c r="Q419" s="989"/>
      <c r="R419" s="157"/>
      <c r="S419" s="157"/>
    </row>
    <row r="420" spans="1:19" ht="13.5">
      <c r="A420" s="157"/>
      <c r="B420" s="157"/>
      <c r="C420" s="522"/>
      <c r="D420" s="522"/>
      <c r="E420" s="524"/>
      <c r="F420" s="1085"/>
      <c r="G420" s="1085"/>
      <c r="H420" s="1085"/>
      <c r="I420" s="1085"/>
      <c r="J420" s="735"/>
      <c r="K420" s="736"/>
      <c r="L420" s="989"/>
      <c r="M420" s="989"/>
      <c r="N420" s="989"/>
      <c r="O420" s="989"/>
      <c r="P420" s="989"/>
      <c r="Q420" s="989"/>
      <c r="R420" s="157"/>
      <c r="S420" s="157"/>
    </row>
    <row r="421" spans="1:19" ht="13.5">
      <c r="A421" s="157"/>
      <c r="B421" s="157"/>
      <c r="C421" s="522"/>
      <c r="D421" s="522"/>
      <c r="E421" s="524"/>
      <c r="F421" s="991"/>
      <c r="G421" s="991"/>
      <c r="H421" s="991"/>
      <c r="I421" s="991"/>
      <c r="J421" s="525"/>
      <c r="K421" s="531"/>
      <c r="L421" s="989"/>
      <c r="M421" s="989"/>
      <c r="N421" s="989"/>
      <c r="O421" s="989"/>
      <c r="P421" s="989"/>
      <c r="Q421" s="989"/>
      <c r="R421" s="157"/>
      <c r="S421" s="157"/>
    </row>
    <row r="422" spans="1:19" ht="13.5">
      <c r="A422" s="157"/>
      <c r="B422" s="157"/>
      <c r="C422" s="522"/>
      <c r="D422" s="522"/>
      <c r="E422" s="524"/>
      <c r="F422" s="991"/>
      <c r="G422" s="991"/>
      <c r="H422" s="991"/>
      <c r="I422" s="991"/>
      <c r="J422" s="525"/>
      <c r="K422" s="531"/>
      <c r="L422" s="989"/>
      <c r="M422" s="989"/>
      <c r="N422" s="989"/>
      <c r="O422" s="989"/>
      <c r="P422" s="989"/>
      <c r="Q422" s="989"/>
      <c r="R422" s="157"/>
      <c r="S422" s="157"/>
    </row>
    <row r="423" spans="1:19" ht="13.5">
      <c r="A423" s="157"/>
      <c r="B423" s="157"/>
      <c r="C423" s="522"/>
      <c r="D423" s="522"/>
      <c r="E423" s="524"/>
      <c r="F423" s="991"/>
      <c r="G423" s="991"/>
      <c r="H423" s="991"/>
      <c r="I423" s="991"/>
      <c r="J423" s="525"/>
      <c r="K423" s="531"/>
      <c r="L423" s="989"/>
      <c r="M423" s="989"/>
      <c r="N423" s="989"/>
      <c r="O423" s="989"/>
      <c r="P423" s="989"/>
      <c r="Q423" s="989"/>
      <c r="R423" s="157"/>
      <c r="S423" s="157"/>
    </row>
    <row r="424" spans="1:19" ht="13.5">
      <c r="A424" s="157"/>
      <c r="B424" s="157"/>
      <c r="C424" s="522"/>
      <c r="D424" s="522"/>
      <c r="E424" s="524"/>
      <c r="F424" s="991"/>
      <c r="G424" s="991"/>
      <c r="H424" s="991"/>
      <c r="I424" s="991"/>
      <c r="J424" s="525"/>
      <c r="K424" s="531"/>
      <c r="L424" s="989"/>
      <c r="M424" s="989"/>
      <c r="N424" s="989"/>
      <c r="O424" s="989"/>
      <c r="P424" s="989"/>
      <c r="Q424" s="989"/>
      <c r="R424" s="157"/>
      <c r="S424" s="157"/>
    </row>
    <row r="425" spans="1:19" ht="13.5">
      <c r="A425" s="157"/>
      <c r="B425" s="157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157"/>
      <c r="S425" s="157"/>
    </row>
    <row r="426" spans="1:19" ht="13.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</row>
  </sheetData>
  <sheetProtection sheet="1" objects="1" scenarios="1"/>
  <mergeCells count="670">
    <mergeCell ref="F319:I319"/>
    <mergeCell ref="N319:Q319"/>
    <mergeCell ref="F320:I320"/>
    <mergeCell ref="N320:Q320"/>
    <mergeCell ref="F354:I354"/>
    <mergeCell ref="N354:Q354"/>
    <mergeCell ref="N362:Q362"/>
    <mergeCell ref="N359:Q359"/>
    <mergeCell ref="F328:I328"/>
    <mergeCell ref="F321:I321"/>
    <mergeCell ref="F322:I322"/>
    <mergeCell ref="F339:I339"/>
    <mergeCell ref="F336:I336"/>
    <mergeCell ref="F324:I324"/>
    <mergeCell ref="F323:I323"/>
    <mergeCell ref="F325:I325"/>
    <mergeCell ref="N345:Q345"/>
    <mergeCell ref="N346:Q346"/>
    <mergeCell ref="N340:Q340"/>
    <mergeCell ref="N328:Q328"/>
    <mergeCell ref="N324:Q324"/>
    <mergeCell ref="N330:Q330"/>
    <mergeCell ref="N312:Q312"/>
    <mergeCell ref="N325:Q325"/>
    <mergeCell ref="N308:Q308"/>
    <mergeCell ref="N364:Q364"/>
    <mergeCell ref="N361:Q361"/>
    <mergeCell ref="N363:Q363"/>
    <mergeCell ref="N357:Q357"/>
    <mergeCell ref="N358:Q358"/>
    <mergeCell ref="N305:Q305"/>
    <mergeCell ref="N306:Q306"/>
    <mergeCell ref="N307:Q307"/>
    <mergeCell ref="N310:Q310"/>
    <mergeCell ref="N329:Q329"/>
    <mergeCell ref="N331:Q331"/>
    <mergeCell ref="N332:Q332"/>
    <mergeCell ref="N333:Q333"/>
    <mergeCell ref="N335:Q335"/>
    <mergeCell ref="N318:Q318"/>
    <mergeCell ref="N321:Q321"/>
    <mergeCell ref="N322:Q322"/>
    <mergeCell ref="N327:Q327"/>
    <mergeCell ref="N334:Q334"/>
    <mergeCell ref="N247:Q247"/>
    <mergeCell ref="N248:Q248"/>
    <mergeCell ref="N262:Q262"/>
    <mergeCell ref="N279:Q279"/>
    <mergeCell ref="N251:Q251"/>
    <mergeCell ref="N252:Q252"/>
    <mergeCell ref="N277:Q277"/>
    <mergeCell ref="N271:Q271"/>
    <mergeCell ref="N272:Q272"/>
    <mergeCell ref="N275:Q275"/>
    <mergeCell ref="N276:Q276"/>
    <mergeCell ref="N263:Q263"/>
    <mergeCell ref="N265:Q265"/>
    <mergeCell ref="N266:Q266"/>
    <mergeCell ref="N264:Q264"/>
    <mergeCell ref="N267:Q267"/>
    <mergeCell ref="N269:Q269"/>
    <mergeCell ref="N270:Q270"/>
    <mergeCell ref="N268:Q268"/>
    <mergeCell ref="N260:Q260"/>
    <mergeCell ref="N274:Q274"/>
    <mergeCell ref="N273:Q273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01:Q201"/>
    <mergeCell ref="N202:Q202"/>
    <mergeCell ref="N203:Q203"/>
    <mergeCell ref="N204:Q204"/>
    <mergeCell ref="N205:Q205"/>
    <mergeCell ref="N210:Q210"/>
    <mergeCell ref="N211:Q211"/>
    <mergeCell ref="N212:Q212"/>
    <mergeCell ref="N213:Q213"/>
    <mergeCell ref="N157:Q157"/>
    <mergeCell ref="N158:Q158"/>
    <mergeCell ref="N163:Q163"/>
    <mergeCell ref="N164:Q164"/>
    <mergeCell ref="N165:Q165"/>
    <mergeCell ref="N166:Q166"/>
    <mergeCell ref="N167:Q167"/>
    <mergeCell ref="N168:Q168"/>
    <mergeCell ref="N169:Q169"/>
    <mergeCell ref="N159:Q159"/>
    <mergeCell ref="N160:Q160"/>
    <mergeCell ref="N161:Q161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16:Q116"/>
    <mergeCell ref="N118:Q118"/>
    <mergeCell ref="N128:Q128"/>
    <mergeCell ref="N129:Q129"/>
    <mergeCell ref="N134:Q134"/>
    <mergeCell ref="N135:Q135"/>
    <mergeCell ref="N136:Q136"/>
    <mergeCell ref="N137:Q137"/>
    <mergeCell ref="N138:Q138"/>
    <mergeCell ref="N347:Q347"/>
    <mergeCell ref="N349:Q349"/>
    <mergeCell ref="N351:Q351"/>
    <mergeCell ref="N353:Q353"/>
    <mergeCell ref="N366:Q366"/>
    <mergeCell ref="F340:I340"/>
    <mergeCell ref="N337:Q337"/>
    <mergeCell ref="F342:I342"/>
    <mergeCell ref="F337:I337"/>
    <mergeCell ref="F343:I343"/>
    <mergeCell ref="F341:I341"/>
    <mergeCell ref="F338:I338"/>
    <mergeCell ref="F364:I364"/>
    <mergeCell ref="F356:I356"/>
    <mergeCell ref="F362:I362"/>
    <mergeCell ref="F359:I359"/>
    <mergeCell ref="F363:I363"/>
    <mergeCell ref="F360:I360"/>
    <mergeCell ref="F355:I355"/>
    <mergeCell ref="N355:Q355"/>
    <mergeCell ref="N356:Q356"/>
    <mergeCell ref="N360:Q360"/>
    <mergeCell ref="N344:Q344"/>
    <mergeCell ref="F345:I345"/>
    <mergeCell ref="N206:Q206"/>
    <mergeCell ref="F207:I207"/>
    <mergeCell ref="N207:Q207"/>
    <mergeCell ref="F195:I195"/>
    <mergeCell ref="F196:I196"/>
    <mergeCell ref="F197:I197"/>
    <mergeCell ref="F180:I180"/>
    <mergeCell ref="F182:I182"/>
    <mergeCell ref="F183:I183"/>
    <mergeCell ref="F194:I194"/>
    <mergeCell ref="F200:I200"/>
    <mergeCell ref="F201:I201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200:Q200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F199:I199"/>
    <mergeCell ref="N178:Q178"/>
    <mergeCell ref="N179:Q179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8:Q208"/>
    <mergeCell ref="F253:I253"/>
    <mergeCell ref="N253:Q253"/>
    <mergeCell ref="F254:I254"/>
    <mergeCell ref="N254:Q254"/>
    <mergeCell ref="F225:I225"/>
    <mergeCell ref="F226:I226"/>
    <mergeCell ref="F227:I227"/>
    <mergeCell ref="F237:I237"/>
    <mergeCell ref="F238:I238"/>
    <mergeCell ref="F241:I241"/>
    <mergeCell ref="F242:I242"/>
    <mergeCell ref="F243:I243"/>
    <mergeCell ref="F244:I244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N214:Q214"/>
    <mergeCell ref="F177:I177"/>
    <mergeCell ref="F168:I168"/>
    <mergeCell ref="F172:I172"/>
    <mergeCell ref="F178:I178"/>
    <mergeCell ref="F240:I240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39:I239"/>
    <mergeCell ref="F208:I208"/>
    <mergeCell ref="F206:I206"/>
    <mergeCell ref="N338:Q338"/>
    <mergeCell ref="N339:Q339"/>
    <mergeCell ref="N341:Q341"/>
    <mergeCell ref="N342:Q342"/>
    <mergeCell ref="N343:Q343"/>
    <mergeCell ref="F212:I212"/>
    <mergeCell ref="F213:I213"/>
    <mergeCell ref="F214:I214"/>
    <mergeCell ref="F215:I215"/>
    <mergeCell ref="F317:I317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F423:I423"/>
    <mergeCell ref="L423:M423"/>
    <mergeCell ref="N423:Q423"/>
    <mergeCell ref="F418:I418"/>
    <mergeCell ref="L418:M418"/>
    <mergeCell ref="F422:I422"/>
    <mergeCell ref="F377:I377"/>
    <mergeCell ref="N422:Q422"/>
    <mergeCell ref="L420:M420"/>
    <mergeCell ref="F420:I420"/>
    <mergeCell ref="F395:I395"/>
    <mergeCell ref="L413:M413"/>
    <mergeCell ref="F402:I402"/>
    <mergeCell ref="N401:Q401"/>
    <mergeCell ref="F396:I396"/>
    <mergeCell ref="F397:I397"/>
    <mergeCell ref="L381:M381"/>
    <mergeCell ref="N421:Q421"/>
    <mergeCell ref="N418:Q418"/>
    <mergeCell ref="F419:I419"/>
    <mergeCell ref="L419:M419"/>
    <mergeCell ref="N419:Q419"/>
    <mergeCell ref="N385:Q385"/>
    <mergeCell ref="N287:Q287"/>
    <mergeCell ref="N288:Q288"/>
    <mergeCell ref="N289:Q289"/>
    <mergeCell ref="F312:I312"/>
    <mergeCell ref="N323:Q323"/>
    <mergeCell ref="F315:I315"/>
    <mergeCell ref="N317:Q317"/>
    <mergeCell ref="N313:Q313"/>
    <mergeCell ref="N314:Q314"/>
    <mergeCell ref="F309:I309"/>
    <mergeCell ref="F310:I310"/>
    <mergeCell ref="F318:I318"/>
    <mergeCell ref="N316:Q316"/>
    <mergeCell ref="N315:Q315"/>
    <mergeCell ref="N311:Q311"/>
    <mergeCell ref="F316:I316"/>
    <mergeCell ref="F311:I311"/>
    <mergeCell ref="N309:Q309"/>
    <mergeCell ref="L422:M422"/>
    <mergeCell ref="F409:I409"/>
    <mergeCell ref="L409:M409"/>
    <mergeCell ref="L395:M395"/>
    <mergeCell ref="F398:I398"/>
    <mergeCell ref="F399:I399"/>
    <mergeCell ref="L399:M399"/>
    <mergeCell ref="F415:I415"/>
    <mergeCell ref="L404:M404"/>
    <mergeCell ref="L397:M397"/>
    <mergeCell ref="L411:M411"/>
    <mergeCell ref="L401:M401"/>
    <mergeCell ref="F414:I414"/>
    <mergeCell ref="F416:I416"/>
    <mergeCell ref="L415:M415"/>
    <mergeCell ref="F405:I405"/>
    <mergeCell ref="N417:Q417"/>
    <mergeCell ref="F404:I404"/>
    <mergeCell ref="N415:Q415"/>
    <mergeCell ref="N399:Q399"/>
    <mergeCell ref="L376:M376"/>
    <mergeCell ref="F379:I379"/>
    <mergeCell ref="L387:M387"/>
    <mergeCell ref="N387:Q387"/>
    <mergeCell ref="L389:M389"/>
    <mergeCell ref="N389:Q389"/>
    <mergeCell ref="F388:I388"/>
    <mergeCell ref="F389:I389"/>
    <mergeCell ref="F392:I392"/>
    <mergeCell ref="L385:M385"/>
    <mergeCell ref="F383:I383"/>
    <mergeCell ref="F407:I407"/>
    <mergeCell ref="F393:I393"/>
    <mergeCell ref="L393:M393"/>
    <mergeCell ref="N393:Q393"/>
    <mergeCell ref="F387:I387"/>
    <mergeCell ref="H1:K1"/>
    <mergeCell ref="F412:I412"/>
    <mergeCell ref="F413:I413"/>
    <mergeCell ref="F410:I410"/>
    <mergeCell ref="F411:I411"/>
    <mergeCell ref="F391:I391"/>
    <mergeCell ref="F263:I263"/>
    <mergeCell ref="F400:I400"/>
    <mergeCell ref="F401:I401"/>
    <mergeCell ref="F381:I381"/>
    <mergeCell ref="F267:I267"/>
    <mergeCell ref="F266:I266"/>
    <mergeCell ref="F265:I265"/>
    <mergeCell ref="F264:I264"/>
    <mergeCell ref="F269:I269"/>
    <mergeCell ref="F268:I268"/>
    <mergeCell ref="F327:I327"/>
    <mergeCell ref="F314:I314"/>
    <mergeCell ref="F375:I375"/>
    <mergeCell ref="F390:I390"/>
    <mergeCell ref="F376:I376"/>
    <mergeCell ref="F380:I380"/>
    <mergeCell ref="F385:I385"/>
    <mergeCell ref="F210:I210"/>
    <mergeCell ref="S2:AC2"/>
    <mergeCell ref="F424:I424"/>
    <mergeCell ref="L424:M424"/>
    <mergeCell ref="N424:Q424"/>
    <mergeCell ref="N112:Q112"/>
    <mergeCell ref="N113:Q113"/>
    <mergeCell ref="N411:Q411"/>
    <mergeCell ref="F406:I406"/>
    <mergeCell ref="N413:Q413"/>
    <mergeCell ref="N404:Q404"/>
    <mergeCell ref="N403:Q403"/>
    <mergeCell ref="L374:M374"/>
    <mergeCell ref="N397:Q397"/>
    <mergeCell ref="L406:M406"/>
    <mergeCell ref="N406:Q406"/>
    <mergeCell ref="N409:Q409"/>
    <mergeCell ref="N408:Q408"/>
    <mergeCell ref="N376:Q376"/>
    <mergeCell ref="N372:Q372"/>
    <mergeCell ref="N395:Q395"/>
    <mergeCell ref="N420:Q420"/>
    <mergeCell ref="F421:I421"/>
    <mergeCell ref="L421:M421"/>
    <mergeCell ref="F394:I394"/>
    <mergeCell ref="L383:M383"/>
    <mergeCell ref="N383:Q383"/>
    <mergeCell ref="L391:M391"/>
    <mergeCell ref="N391:Q391"/>
    <mergeCell ref="F372:I372"/>
    <mergeCell ref="F373:I373"/>
    <mergeCell ref="F374:I374"/>
    <mergeCell ref="F366:I366"/>
    <mergeCell ref="N348:Q348"/>
    <mergeCell ref="F350:I350"/>
    <mergeCell ref="F386:I386"/>
    <mergeCell ref="F382:I382"/>
    <mergeCell ref="F384:I384"/>
    <mergeCell ref="N381:Q381"/>
    <mergeCell ref="L379:M379"/>
    <mergeCell ref="N379:Q379"/>
    <mergeCell ref="N378:Q378"/>
    <mergeCell ref="F367:I367"/>
    <mergeCell ref="N367:Q367"/>
    <mergeCell ref="F368:I368"/>
    <mergeCell ref="N368:Q368"/>
    <mergeCell ref="N371:Q371"/>
    <mergeCell ref="F361:I361"/>
    <mergeCell ref="F357:I357"/>
    <mergeCell ref="N374:Q374"/>
    <mergeCell ref="N369:Q369"/>
    <mergeCell ref="N365:Q365"/>
    <mergeCell ref="N350:Q350"/>
    <mergeCell ref="F348:I348"/>
    <mergeCell ref="N352:Q352"/>
    <mergeCell ref="F353:I353"/>
    <mergeCell ref="F365:I365"/>
    <mergeCell ref="F351:I351"/>
    <mergeCell ref="F352:I352"/>
    <mergeCell ref="F358:I358"/>
    <mergeCell ref="F278:I278"/>
    <mergeCell ref="F279:I279"/>
    <mergeCell ref="F280:I280"/>
    <mergeCell ref="F293:I293"/>
    <mergeCell ref="F274:I274"/>
    <mergeCell ref="F275:I275"/>
    <mergeCell ref="F276:I276"/>
    <mergeCell ref="F271:I271"/>
    <mergeCell ref="F272:I272"/>
    <mergeCell ref="F273:I273"/>
    <mergeCell ref="N283:Q283"/>
    <mergeCell ref="N284:Q284"/>
    <mergeCell ref="N285:Q285"/>
    <mergeCell ref="N286:Q286"/>
    <mergeCell ref="N290:Q290"/>
    <mergeCell ref="N291:Q291"/>
    <mergeCell ref="N292:Q292"/>
    <mergeCell ref="F344:I344"/>
    <mergeCell ref="F371:I371"/>
    <mergeCell ref="F369:I36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46:I346"/>
    <mergeCell ref="F347:I347"/>
    <mergeCell ref="F349:I349"/>
    <mergeCell ref="F313:I313"/>
    <mergeCell ref="N336:Q336"/>
    <mergeCell ref="N300:Q300"/>
    <mergeCell ref="N301:Q301"/>
    <mergeCell ref="N302:Q302"/>
    <mergeCell ref="N303:Q303"/>
    <mergeCell ref="N304:Q304"/>
    <mergeCell ref="F248:I248"/>
    <mergeCell ref="F249:I249"/>
    <mergeCell ref="N261:Q261"/>
    <mergeCell ref="F257:I257"/>
    <mergeCell ref="N257:Q257"/>
    <mergeCell ref="N258:Q258"/>
    <mergeCell ref="F260:I260"/>
    <mergeCell ref="F259:I259"/>
    <mergeCell ref="F261:I261"/>
    <mergeCell ref="F251:I251"/>
    <mergeCell ref="F252:I252"/>
    <mergeCell ref="F250:I250"/>
    <mergeCell ref="N259:Q259"/>
    <mergeCell ref="F255:I255"/>
    <mergeCell ref="N255:Q255"/>
    <mergeCell ref="F258:I258"/>
    <mergeCell ref="N296:Q296"/>
    <mergeCell ref="F294:I294"/>
    <mergeCell ref="N280:Q280"/>
    <mergeCell ref="F127:I127"/>
    <mergeCell ref="F156:I156"/>
    <mergeCell ref="F179:I179"/>
    <mergeCell ref="F202:I202"/>
    <mergeCell ref="F203:I203"/>
    <mergeCell ref="F204:I204"/>
    <mergeCell ref="F205:I205"/>
    <mergeCell ref="F181:I181"/>
    <mergeCell ref="F198:I198"/>
    <mergeCell ref="F193:I193"/>
    <mergeCell ref="F164:I164"/>
    <mergeCell ref="F135:I135"/>
    <mergeCell ref="F153:I153"/>
    <mergeCell ref="F154:I154"/>
    <mergeCell ref="F155:I155"/>
    <mergeCell ref="F157:I157"/>
    <mergeCell ref="F158:I158"/>
    <mergeCell ref="F163:I163"/>
    <mergeCell ref="F169:I169"/>
    <mergeCell ref="F170:I170"/>
    <mergeCell ref="F171:I171"/>
    <mergeCell ref="F173:I173"/>
    <mergeCell ref="F174:I174"/>
    <mergeCell ref="F175:I175"/>
    <mergeCell ref="F117:I117"/>
    <mergeCell ref="F119:I119"/>
    <mergeCell ref="F120:I120"/>
    <mergeCell ref="F121:I121"/>
    <mergeCell ref="F122:I122"/>
    <mergeCell ref="F123:I123"/>
    <mergeCell ref="F124:I124"/>
    <mergeCell ref="F125:I125"/>
    <mergeCell ref="F126:I126"/>
    <mergeCell ref="C76:Q76"/>
    <mergeCell ref="N87:Q87"/>
    <mergeCell ref="F184:I184"/>
    <mergeCell ref="F185:I185"/>
    <mergeCell ref="F186:I186"/>
    <mergeCell ref="C2:Q2"/>
    <mergeCell ref="C4:Q4"/>
    <mergeCell ref="F6:P6"/>
    <mergeCell ref="F7:P7"/>
    <mergeCell ref="F8:P8"/>
    <mergeCell ref="C87:G87"/>
    <mergeCell ref="N89:Q89"/>
    <mergeCell ref="N90:Q90"/>
    <mergeCell ref="N115:Q115"/>
    <mergeCell ref="N92:Q92"/>
    <mergeCell ref="L94:Q94"/>
    <mergeCell ref="C100:Q100"/>
    <mergeCell ref="F102:P102"/>
    <mergeCell ref="O19:P19"/>
    <mergeCell ref="F104:P104"/>
    <mergeCell ref="M35:P35"/>
    <mergeCell ref="H36:J36"/>
    <mergeCell ref="M36:P36"/>
    <mergeCell ref="H37:J37"/>
    <mergeCell ref="O10:P10"/>
    <mergeCell ref="M28:P28"/>
    <mergeCell ref="M29:P29"/>
    <mergeCell ref="O12:P12"/>
    <mergeCell ref="L39:P39"/>
    <mergeCell ref="H33:J33"/>
    <mergeCell ref="M33:P33"/>
    <mergeCell ref="H34:J34"/>
    <mergeCell ref="M34:P34"/>
    <mergeCell ref="H35:J35"/>
    <mergeCell ref="O13:P13"/>
    <mergeCell ref="O15:P15"/>
    <mergeCell ref="O16:P16"/>
    <mergeCell ref="O18:P18"/>
    <mergeCell ref="M37:P37"/>
    <mergeCell ref="M31:P31"/>
    <mergeCell ref="E25:P25"/>
    <mergeCell ref="O21:P21"/>
    <mergeCell ref="O22:P22"/>
    <mergeCell ref="M85:Q85"/>
    <mergeCell ref="F84:J84"/>
    <mergeCell ref="F78:P78"/>
    <mergeCell ref="F79:P79"/>
    <mergeCell ref="F80:P80"/>
    <mergeCell ref="M82:P82"/>
    <mergeCell ref="F82:J82"/>
    <mergeCell ref="M84:Q84"/>
    <mergeCell ref="L111:M111"/>
    <mergeCell ref="N111:Q111"/>
    <mergeCell ref="M108:Q108"/>
    <mergeCell ref="M109:Q109"/>
    <mergeCell ref="F111:I111"/>
    <mergeCell ref="F103:P103"/>
    <mergeCell ref="M106:P106"/>
    <mergeCell ref="F115:I115"/>
    <mergeCell ref="F187:I187"/>
    <mergeCell ref="F188:I188"/>
    <mergeCell ref="F189:I189"/>
    <mergeCell ref="F190:I190"/>
    <mergeCell ref="F191:I191"/>
    <mergeCell ref="F192:I192"/>
    <mergeCell ref="N117:Q117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30:Q130"/>
    <mergeCell ref="N131:Q131"/>
    <mergeCell ref="N132:Q132"/>
    <mergeCell ref="N133:Q133"/>
    <mergeCell ref="F118:I118"/>
    <mergeCell ref="F116:I116"/>
    <mergeCell ref="F134:I134"/>
    <mergeCell ref="N249:Q249"/>
    <mergeCell ref="N250:Q250"/>
    <mergeCell ref="F165:I165"/>
    <mergeCell ref="F166:I166"/>
    <mergeCell ref="F167:I167"/>
    <mergeCell ref="F147:I147"/>
    <mergeCell ref="F148:I148"/>
    <mergeCell ref="F142:I142"/>
    <mergeCell ref="F143:I143"/>
    <mergeCell ref="F144:I144"/>
    <mergeCell ref="F152:I152"/>
    <mergeCell ref="F145:I145"/>
    <mergeCell ref="F146:I146"/>
    <mergeCell ref="F149:I149"/>
    <mergeCell ref="F150:I150"/>
    <mergeCell ref="F151:I151"/>
    <mergeCell ref="F159:I159"/>
    <mergeCell ref="F160:I160"/>
    <mergeCell ref="F161:I161"/>
    <mergeCell ref="F245:I245"/>
    <mergeCell ref="F247:I247"/>
    <mergeCell ref="F246:I246"/>
    <mergeCell ref="F211:I211"/>
    <mergeCell ref="F176:I176"/>
    <mergeCell ref="N278:Q278"/>
    <mergeCell ref="F277:I277"/>
    <mergeCell ref="F298:I298"/>
    <mergeCell ref="F299:I299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81:I281"/>
    <mergeCell ref="F282:I282"/>
    <mergeCell ref="F283:I283"/>
    <mergeCell ref="N293:Q293"/>
    <mergeCell ref="N294:Q294"/>
    <mergeCell ref="N295:Q295"/>
    <mergeCell ref="N297:Q297"/>
    <mergeCell ref="N298:Q298"/>
    <mergeCell ref="N299:Q299"/>
    <mergeCell ref="N281:Q281"/>
    <mergeCell ref="N282:Q282"/>
    <mergeCell ref="F329:I329"/>
    <mergeCell ref="F335:I335"/>
    <mergeCell ref="F334:I334"/>
    <mergeCell ref="F333:I333"/>
    <mergeCell ref="F330:I330"/>
    <mergeCell ref="F331:I331"/>
    <mergeCell ref="F332:I332"/>
    <mergeCell ref="F128:I128"/>
    <mergeCell ref="F129:I129"/>
    <mergeCell ref="F295:I295"/>
    <mergeCell ref="F296:I296"/>
    <mergeCell ref="F297:I297"/>
    <mergeCell ref="F136:I136"/>
    <mergeCell ref="F137:I137"/>
    <mergeCell ref="F138:I138"/>
    <mergeCell ref="F139:I139"/>
    <mergeCell ref="F140:I140"/>
    <mergeCell ref="F141:I141"/>
    <mergeCell ref="F130:I130"/>
    <mergeCell ref="F131:I131"/>
    <mergeCell ref="F132:I132"/>
    <mergeCell ref="F133:I133"/>
    <mergeCell ref="F270:I270"/>
    <mergeCell ref="F262:I26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380"/>
  <sheetViews>
    <sheetView showGridLines="0" view="pageBreakPreview" zoomScaleSheetLayoutView="100" workbookViewId="0" topLeftCell="A1">
      <pane ySplit="1" topLeftCell="A235" activePane="bottomLeft" state="frozen"/>
      <selection pane="topLeft" activeCell="AE69" sqref="AE69"/>
      <selection pane="bottomLeft" activeCell="L115" sqref="L115:L249"/>
    </sheetView>
  </sheetViews>
  <sheetFormatPr defaultColWidth="9.33203125" defaultRowHeight="13.5"/>
  <cols>
    <col min="1" max="1" width="8.33203125" style="223" customWidth="1"/>
    <col min="2" max="2" width="1.66796875" style="223" customWidth="1"/>
    <col min="3" max="3" width="4.16015625" style="223" customWidth="1"/>
    <col min="4" max="4" width="4.33203125" style="223" customWidth="1"/>
    <col min="5" max="5" width="17.16015625" style="223" customWidth="1"/>
    <col min="6" max="7" width="11.16015625" style="223" customWidth="1"/>
    <col min="8" max="8" width="12.5" style="223" customWidth="1"/>
    <col min="9" max="9" width="7" style="223" customWidth="1"/>
    <col min="10" max="10" width="5.33203125" style="223" customWidth="1"/>
    <col min="11" max="11" width="11.5" style="223" customWidth="1"/>
    <col min="12" max="12" width="12" style="223" customWidth="1"/>
    <col min="13" max="14" width="6" style="223" customWidth="1"/>
    <col min="15" max="15" width="2" style="223" customWidth="1"/>
    <col min="16" max="16" width="12.5" style="223" customWidth="1"/>
    <col min="17" max="17" width="4.16015625" style="223" customWidth="1"/>
    <col min="18" max="18" width="1.66796875" style="223" customWidth="1"/>
    <col min="19" max="19" width="8.16015625" style="223" customWidth="1"/>
    <col min="20" max="20" width="29.66015625" style="223" hidden="1" customWidth="1"/>
    <col min="21" max="21" width="16.33203125" style="223" hidden="1" customWidth="1"/>
    <col min="22" max="22" width="12.33203125" style="223" hidden="1" customWidth="1"/>
    <col min="23" max="23" width="16.33203125" style="223" hidden="1" customWidth="1"/>
    <col min="24" max="24" width="12.16015625" style="223" hidden="1" customWidth="1"/>
    <col min="25" max="25" width="15" style="223" hidden="1" customWidth="1"/>
    <col min="26" max="26" width="11" style="223" hidden="1" customWidth="1"/>
    <col min="27" max="27" width="15" style="223" hidden="1" customWidth="1"/>
    <col min="28" max="28" width="16.33203125" style="223" hidden="1" customWidth="1"/>
    <col min="29" max="29" width="11" style="223" customWidth="1"/>
    <col min="30" max="30" width="15" style="223" customWidth="1"/>
    <col min="31" max="31" width="16.33203125" style="223" customWidth="1"/>
    <col min="32" max="16384" width="9.33203125" style="223" customWidth="1"/>
  </cols>
  <sheetData>
    <row r="1" spans="1:66" ht="21.75" customHeight="1">
      <c r="A1" s="2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00"/>
      <c r="U2" s="900"/>
      <c r="V2" s="900"/>
      <c r="W2" s="900"/>
      <c r="X2" s="900"/>
      <c r="Y2" s="900"/>
      <c r="Z2" s="900"/>
      <c r="AA2" s="900"/>
      <c r="AB2" s="900"/>
      <c r="AC2" s="900"/>
      <c r="AT2" s="240" t="s">
        <v>87</v>
      </c>
    </row>
    <row r="3" spans="2:46" ht="6.95" customHeigh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  <c r="AT3" s="240" t="s">
        <v>76</v>
      </c>
    </row>
    <row r="4" spans="2:46" ht="36.95" customHeight="1">
      <c r="B4" s="244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245"/>
      <c r="T4" s="246" t="s">
        <v>13</v>
      </c>
      <c r="AT4" s="240" t="s">
        <v>6</v>
      </c>
    </row>
    <row r="5" spans="2:18" ht="6.95" customHeight="1">
      <c r="B5" s="24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45"/>
    </row>
    <row r="6" spans="2:18" ht="25.35" customHeight="1">
      <c r="B6" s="244"/>
      <c r="C6" s="215"/>
      <c r="D6" s="158" t="s">
        <v>15</v>
      </c>
      <c r="E6" s="215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215"/>
      <c r="R6" s="245"/>
    </row>
    <row r="7" spans="2:18" ht="25.35" customHeight="1">
      <c r="B7" s="244"/>
      <c r="C7" s="215"/>
      <c r="D7" s="158" t="s">
        <v>101</v>
      </c>
      <c r="E7" s="215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215"/>
      <c r="R7" s="245"/>
    </row>
    <row r="8" spans="2:18" s="249" customFormat="1" ht="32.85" customHeight="1">
      <c r="B8" s="247"/>
      <c r="C8" s="87"/>
      <c r="D8" s="159" t="s">
        <v>102</v>
      </c>
      <c r="E8" s="87"/>
      <c r="F8" s="923" t="s">
        <v>250</v>
      </c>
      <c r="G8" s="1091"/>
      <c r="H8" s="1091"/>
      <c r="I8" s="1091"/>
      <c r="J8" s="1091"/>
      <c r="K8" s="1091"/>
      <c r="L8" s="1091"/>
      <c r="M8" s="1091"/>
      <c r="N8" s="1091"/>
      <c r="O8" s="1091"/>
      <c r="P8" s="1091"/>
      <c r="Q8" s="87"/>
      <c r="R8" s="248"/>
    </row>
    <row r="9" spans="2:18" s="249" customFormat="1" ht="14.45" customHeight="1">
      <c r="B9" s="247"/>
      <c r="C9" s="87"/>
      <c r="D9" s="158" t="s">
        <v>16</v>
      </c>
      <c r="E9" s="87"/>
      <c r="F9" s="160"/>
      <c r="G9" s="87"/>
      <c r="H9" s="87"/>
      <c r="I9" s="87"/>
      <c r="J9" s="87"/>
      <c r="K9" s="87"/>
      <c r="L9" s="87"/>
      <c r="M9" s="158" t="s">
        <v>17</v>
      </c>
      <c r="N9" s="87"/>
      <c r="O9" s="160" t="s">
        <v>5</v>
      </c>
      <c r="P9" s="87"/>
      <c r="Q9" s="87"/>
      <c r="R9" s="248"/>
    </row>
    <row r="10" spans="2:18" s="249" customFormat="1" ht="14.45" customHeight="1">
      <c r="B10" s="247"/>
      <c r="C10" s="87"/>
      <c r="D10" s="158" t="s">
        <v>18</v>
      </c>
      <c r="E10" s="87"/>
      <c r="F10" s="739" t="s">
        <v>282</v>
      </c>
      <c r="G10" s="87"/>
      <c r="H10" s="87"/>
      <c r="I10" s="87"/>
      <c r="J10" s="87"/>
      <c r="K10" s="87"/>
      <c r="L10" s="87"/>
      <c r="M10" s="158" t="s">
        <v>19</v>
      </c>
      <c r="N10" s="87"/>
      <c r="O10" s="909">
        <v>43363</v>
      </c>
      <c r="P10" s="909"/>
      <c r="Q10" s="87"/>
      <c r="R10" s="248"/>
    </row>
    <row r="11" spans="2:18" s="249" customFormat="1" ht="10.9" customHeight="1">
      <c r="B11" s="247"/>
      <c r="C11" s="87"/>
      <c r="D11" s="16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248"/>
    </row>
    <row r="12" spans="2:18" s="249" customFormat="1" ht="14.45" customHeight="1">
      <c r="B12" s="247"/>
      <c r="C12" s="87"/>
      <c r="D12" s="158" t="s">
        <v>20</v>
      </c>
      <c r="E12" s="87"/>
      <c r="F12" s="740" t="s">
        <v>527</v>
      </c>
      <c r="G12" s="87"/>
      <c r="H12" s="87"/>
      <c r="I12" s="87"/>
      <c r="J12" s="87"/>
      <c r="K12" s="87"/>
      <c r="L12" s="87"/>
      <c r="M12" s="158" t="s">
        <v>21</v>
      </c>
      <c r="N12" s="87"/>
      <c r="O12" s="883" t="s">
        <v>5</v>
      </c>
      <c r="P12" s="883"/>
      <c r="Q12" s="87"/>
      <c r="R12" s="248"/>
    </row>
    <row r="13" spans="2:18" s="249" customFormat="1" ht="18" customHeight="1">
      <c r="B13" s="247"/>
      <c r="C13" s="87"/>
      <c r="D13" s="87"/>
      <c r="F13" s="87"/>
      <c r="G13" s="87"/>
      <c r="H13" s="87"/>
      <c r="I13" s="87"/>
      <c r="J13" s="87"/>
      <c r="K13" s="87"/>
      <c r="L13" s="87"/>
      <c r="M13" s="158" t="s">
        <v>23</v>
      </c>
      <c r="N13" s="87"/>
      <c r="O13" s="883" t="s">
        <v>5</v>
      </c>
      <c r="P13" s="883"/>
      <c r="Q13" s="87"/>
      <c r="R13" s="248"/>
    </row>
    <row r="14" spans="2:18" s="249" customFormat="1" ht="6.95" customHeight="1">
      <c r="B14" s="24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248"/>
    </row>
    <row r="15" spans="2:18" s="249" customFormat="1" ht="14.45" customHeight="1">
      <c r="B15" s="247"/>
      <c r="C15" s="87"/>
      <c r="D15" s="158" t="s">
        <v>24</v>
      </c>
      <c r="E15" s="87"/>
      <c r="F15" s="8"/>
      <c r="G15" s="87"/>
      <c r="H15" s="87"/>
      <c r="I15" s="87"/>
      <c r="J15" s="87"/>
      <c r="K15" s="87"/>
      <c r="L15" s="87"/>
      <c r="M15" s="158" t="s">
        <v>21</v>
      </c>
      <c r="N15" s="87"/>
      <c r="O15" s="974">
        <f>IF('[3]Rekapitulace stavby'!AN13="","",'[3]Rekapitulace stavby'!AN13)</f>
        <v>0</v>
      </c>
      <c r="P15" s="974"/>
      <c r="Q15" s="87"/>
      <c r="R15" s="248"/>
    </row>
    <row r="16" spans="2:18" s="249" customFormat="1" ht="18" customHeight="1">
      <c r="B16" s="247"/>
      <c r="C16" s="87"/>
      <c r="D16" s="87"/>
      <c r="E16" s="160" t="str">
        <f>IF('[3]Rekapitulace stavby'!E14="","",'[3]Rekapitulace stavby'!E14)</f>
        <v xml:space="preserve"> </v>
      </c>
      <c r="F16" s="87"/>
      <c r="G16" s="87"/>
      <c r="H16" s="87"/>
      <c r="I16" s="87"/>
      <c r="J16" s="87"/>
      <c r="K16" s="87"/>
      <c r="L16" s="87"/>
      <c r="M16" s="158" t="s">
        <v>23</v>
      </c>
      <c r="N16" s="87"/>
      <c r="O16" s="974">
        <f>IF('[3]Rekapitulace stavby'!AN14="","",'[3]Rekapitulace stavby'!AN14)</f>
        <v>0</v>
      </c>
      <c r="P16" s="974"/>
      <c r="Q16" s="87"/>
      <c r="R16" s="248"/>
    </row>
    <row r="17" spans="2:18" s="249" customFormat="1" ht="6.95" customHeight="1">
      <c r="B17" s="24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248"/>
    </row>
    <row r="18" spans="2:18" s="249" customFormat="1" ht="14.45" customHeight="1">
      <c r="B18" s="247"/>
      <c r="C18" s="87"/>
      <c r="D18" s="158" t="s">
        <v>26</v>
      </c>
      <c r="E18" s="87"/>
      <c r="F18" s="87" t="s">
        <v>204</v>
      </c>
      <c r="G18" s="87"/>
      <c r="H18" s="87"/>
      <c r="I18" s="87"/>
      <c r="J18" s="87"/>
      <c r="K18" s="87"/>
      <c r="L18" s="87"/>
      <c r="M18" s="158" t="s">
        <v>21</v>
      </c>
      <c r="N18" s="87"/>
      <c r="O18" s="883">
        <v>24270857</v>
      </c>
      <c r="P18" s="883"/>
      <c r="Q18" s="87"/>
      <c r="R18" s="248"/>
    </row>
    <row r="19" spans="2:18" s="249" customFormat="1" ht="18" customHeight="1">
      <c r="B19" s="247"/>
      <c r="C19" s="87"/>
      <c r="D19" s="87"/>
      <c r="E19" s="160"/>
      <c r="F19" s="87"/>
      <c r="G19" s="87"/>
      <c r="H19" s="87"/>
      <c r="I19" s="87"/>
      <c r="J19" s="87"/>
      <c r="K19" s="87"/>
      <c r="L19" s="87"/>
      <c r="M19" s="158" t="s">
        <v>23</v>
      </c>
      <c r="N19" s="87"/>
      <c r="O19" s="883" t="s">
        <v>205</v>
      </c>
      <c r="P19" s="883"/>
      <c r="Q19" s="87"/>
      <c r="R19" s="248"/>
    </row>
    <row r="20" spans="2:18" s="249" customFormat="1" ht="6.95" customHeight="1">
      <c r="B20" s="24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248"/>
    </row>
    <row r="21" spans="2:18" s="249" customFormat="1" ht="14.45" customHeight="1">
      <c r="B21" s="247"/>
      <c r="C21" s="87"/>
      <c r="D21" s="158" t="s">
        <v>28</v>
      </c>
      <c r="E21" s="87"/>
      <c r="F21" s="87" t="s">
        <v>204</v>
      </c>
      <c r="G21" s="87"/>
      <c r="H21" s="87"/>
      <c r="I21" s="87"/>
      <c r="J21" s="87"/>
      <c r="K21" s="87"/>
      <c r="L21" s="87"/>
      <c r="M21" s="158" t="s">
        <v>21</v>
      </c>
      <c r="N21" s="87"/>
      <c r="O21" s="883">
        <v>24270857</v>
      </c>
      <c r="P21" s="883"/>
      <c r="Q21" s="87"/>
      <c r="R21" s="248"/>
    </row>
    <row r="22" spans="2:18" s="249" customFormat="1" ht="18" customHeight="1">
      <c r="B22" s="247"/>
      <c r="C22" s="87"/>
      <c r="D22" s="87"/>
      <c r="E22" s="160"/>
      <c r="F22" s="87"/>
      <c r="G22" s="87"/>
      <c r="H22" s="87"/>
      <c r="I22" s="87"/>
      <c r="J22" s="87"/>
      <c r="K22" s="87"/>
      <c r="L22" s="87"/>
      <c r="M22" s="158" t="s">
        <v>23</v>
      </c>
      <c r="N22" s="87"/>
      <c r="O22" s="883" t="s">
        <v>205</v>
      </c>
      <c r="P22" s="883"/>
      <c r="Q22" s="87"/>
      <c r="R22" s="248"/>
    </row>
    <row r="23" spans="2:18" s="249" customFormat="1" ht="6.95" customHeight="1">
      <c r="B23" s="24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248"/>
    </row>
    <row r="24" spans="2:18" s="249" customFormat="1" ht="14.45" customHeight="1">
      <c r="B24" s="247"/>
      <c r="C24" s="87"/>
      <c r="D24" s="158" t="s">
        <v>29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248"/>
    </row>
    <row r="25" spans="2:18" s="249" customFormat="1" ht="180" customHeight="1">
      <c r="B25" s="247"/>
      <c r="C25" s="87"/>
      <c r="D25" s="87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7"/>
      <c r="R25" s="248"/>
    </row>
    <row r="26" spans="2:18" s="249" customFormat="1" ht="6.95" customHeight="1">
      <c r="B26" s="24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248"/>
    </row>
    <row r="27" spans="2:18" s="249" customFormat="1" ht="6.95" customHeight="1">
      <c r="B27" s="247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7"/>
      <c r="R27" s="248"/>
    </row>
    <row r="28" spans="2:18" s="249" customFormat="1" ht="14.45" customHeight="1">
      <c r="B28" s="247"/>
      <c r="C28" s="87"/>
      <c r="D28" s="116" t="s">
        <v>103</v>
      </c>
      <c r="E28" s="87"/>
      <c r="F28" s="87"/>
      <c r="G28" s="87"/>
      <c r="H28" s="87"/>
      <c r="I28" s="87"/>
      <c r="J28" s="87"/>
      <c r="K28" s="87"/>
      <c r="L28" s="87"/>
      <c r="M28" s="906">
        <f>N89</f>
        <v>0</v>
      </c>
      <c r="N28" s="906"/>
      <c r="O28" s="906"/>
      <c r="P28" s="906"/>
      <c r="Q28" s="87"/>
      <c r="R28" s="248"/>
    </row>
    <row r="29" spans="2:18" s="249" customFormat="1" ht="14.45" customHeight="1">
      <c r="B29" s="247"/>
      <c r="C29" s="87"/>
      <c r="D29" s="117" t="s">
        <v>104</v>
      </c>
      <c r="E29" s="87"/>
      <c r="F29" s="87"/>
      <c r="G29" s="87"/>
      <c r="H29" s="87"/>
      <c r="I29" s="87"/>
      <c r="J29" s="87"/>
      <c r="K29" s="87"/>
      <c r="L29" s="87"/>
      <c r="M29" s="906">
        <f>N92</f>
        <v>0</v>
      </c>
      <c r="N29" s="906"/>
      <c r="O29" s="906"/>
      <c r="P29" s="906"/>
      <c r="Q29" s="87"/>
      <c r="R29" s="248"/>
    </row>
    <row r="30" spans="2:18" s="249" customFormat="1" ht="6.95" customHeight="1">
      <c r="B30" s="24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248"/>
    </row>
    <row r="31" spans="2:18" s="249" customFormat="1" ht="25.35" customHeight="1">
      <c r="B31" s="247"/>
      <c r="C31" s="87"/>
      <c r="D31" s="118" t="s">
        <v>32</v>
      </c>
      <c r="E31" s="87"/>
      <c r="F31" s="87"/>
      <c r="G31" s="87"/>
      <c r="H31" s="87"/>
      <c r="I31" s="87"/>
      <c r="J31" s="87"/>
      <c r="K31" s="87"/>
      <c r="L31" s="87"/>
      <c r="M31" s="979">
        <f>ROUND(M28+M29,2)</f>
        <v>0</v>
      </c>
      <c r="N31" s="1091"/>
      <c r="O31" s="1091"/>
      <c r="P31" s="1091"/>
      <c r="Q31" s="87"/>
      <c r="R31" s="248"/>
    </row>
    <row r="32" spans="2:18" s="249" customFormat="1" ht="6.95" customHeight="1">
      <c r="B32" s="24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7"/>
      <c r="R32" s="248"/>
    </row>
    <row r="33" spans="2:18" s="249" customFormat="1" ht="14.45" customHeight="1">
      <c r="B33" s="247"/>
      <c r="C33" s="87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1091"/>
      <c r="J33" s="1091"/>
      <c r="K33" s="87"/>
      <c r="L33" s="87"/>
      <c r="M33" s="975">
        <f>H33*F33</f>
        <v>0</v>
      </c>
      <c r="N33" s="1091"/>
      <c r="O33" s="1091"/>
      <c r="P33" s="1091"/>
      <c r="Q33" s="87"/>
      <c r="R33" s="248"/>
    </row>
    <row r="34" spans="2:18" s="249" customFormat="1" ht="14.45" customHeight="1">
      <c r="B34" s="247"/>
      <c r="C34" s="87"/>
      <c r="D34" s="87"/>
      <c r="E34" s="89" t="s">
        <v>36</v>
      </c>
      <c r="F34" s="86">
        <v>0.15</v>
      </c>
      <c r="G34" s="90" t="s">
        <v>35</v>
      </c>
      <c r="H34" s="975">
        <f>M31</f>
        <v>0</v>
      </c>
      <c r="I34" s="1091"/>
      <c r="J34" s="1091"/>
      <c r="K34" s="87"/>
      <c r="L34" s="87"/>
      <c r="M34" s="975">
        <f>H34*F34</f>
        <v>0</v>
      </c>
      <c r="N34" s="1091"/>
      <c r="O34" s="1091"/>
      <c r="P34" s="1091"/>
      <c r="Q34" s="87"/>
      <c r="R34" s="248"/>
    </row>
    <row r="35" spans="2:18" s="249" customFormat="1" ht="14.45" customHeight="1" hidden="1">
      <c r="B35" s="247"/>
      <c r="C35" s="87"/>
      <c r="D35" s="87"/>
      <c r="E35" s="89" t="s">
        <v>37</v>
      </c>
      <c r="F35" s="86">
        <v>0.21</v>
      </c>
      <c r="G35" s="90" t="s">
        <v>35</v>
      </c>
      <c r="H35" s="975">
        <f>ROUND((SUM(BG92:BG93)+SUM(BG112:BG348)),2)</f>
        <v>0</v>
      </c>
      <c r="I35" s="1091"/>
      <c r="J35" s="1091"/>
      <c r="K35" s="87"/>
      <c r="L35" s="87"/>
      <c r="M35" s="975">
        <v>0</v>
      </c>
      <c r="N35" s="1091"/>
      <c r="O35" s="1091"/>
      <c r="P35" s="1091"/>
      <c r="Q35" s="87"/>
      <c r="R35" s="248"/>
    </row>
    <row r="36" spans="2:18" s="249" customFormat="1" ht="14.45" customHeight="1" hidden="1">
      <c r="B36" s="247"/>
      <c r="C36" s="87"/>
      <c r="D36" s="87"/>
      <c r="E36" s="89" t="s">
        <v>38</v>
      </c>
      <c r="F36" s="86">
        <v>0.15</v>
      </c>
      <c r="G36" s="90" t="s">
        <v>35</v>
      </c>
      <c r="H36" s="975">
        <f>ROUND((SUM(BH92:BH93)+SUM(BH112:BH348)),2)</f>
        <v>0</v>
      </c>
      <c r="I36" s="1091"/>
      <c r="J36" s="1091"/>
      <c r="K36" s="87"/>
      <c r="L36" s="87"/>
      <c r="M36" s="975">
        <v>0</v>
      </c>
      <c r="N36" s="1091"/>
      <c r="O36" s="1091"/>
      <c r="P36" s="1091"/>
      <c r="Q36" s="87"/>
      <c r="R36" s="248"/>
    </row>
    <row r="37" spans="2:18" s="249" customFormat="1" ht="14.45" customHeight="1" hidden="1">
      <c r="B37" s="247"/>
      <c r="C37" s="87"/>
      <c r="D37" s="87"/>
      <c r="E37" s="89" t="s">
        <v>39</v>
      </c>
      <c r="F37" s="86">
        <v>0</v>
      </c>
      <c r="G37" s="90" t="s">
        <v>35</v>
      </c>
      <c r="H37" s="975">
        <f>ROUND((SUM(BI92:BI93)+SUM(BI112:BI348)),2)</f>
        <v>0</v>
      </c>
      <c r="I37" s="1091"/>
      <c r="J37" s="1091"/>
      <c r="K37" s="87"/>
      <c r="L37" s="87"/>
      <c r="M37" s="975">
        <v>0</v>
      </c>
      <c r="N37" s="1091"/>
      <c r="O37" s="1091"/>
      <c r="P37" s="1091"/>
      <c r="Q37" s="87"/>
      <c r="R37" s="248"/>
    </row>
    <row r="38" spans="2:18" s="249" customFormat="1" ht="6.95" customHeight="1">
      <c r="B38" s="24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248"/>
    </row>
    <row r="39" spans="2:18" s="249" customFormat="1" ht="25.35" customHeight="1">
      <c r="B39" s="247"/>
      <c r="C39" s="238"/>
      <c r="D39" s="119" t="s">
        <v>40</v>
      </c>
      <c r="E39" s="91"/>
      <c r="F39" s="91"/>
      <c r="G39" s="92" t="s">
        <v>41</v>
      </c>
      <c r="H39" s="93" t="s">
        <v>42</v>
      </c>
      <c r="I39" s="91"/>
      <c r="J39" s="91"/>
      <c r="K39" s="91"/>
      <c r="L39" s="907">
        <f>SUM(M31:M37)</f>
        <v>0</v>
      </c>
      <c r="M39" s="907"/>
      <c r="N39" s="907"/>
      <c r="O39" s="907"/>
      <c r="P39" s="981"/>
      <c r="Q39" s="238"/>
      <c r="R39" s="248"/>
    </row>
    <row r="40" spans="2:18" s="249" customFormat="1" ht="14.45" customHeight="1" hidden="1">
      <c r="B40" s="24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248"/>
    </row>
    <row r="41" spans="2:18" s="249" customFormat="1" ht="14.45" customHeight="1" hidden="1">
      <c r="B41" s="24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248"/>
    </row>
    <row r="42" spans="2:18" ht="13.5" hidden="1">
      <c r="B42" s="24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45"/>
    </row>
    <row r="43" spans="2:18" ht="13.5" hidden="1">
      <c r="B43" s="24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45"/>
    </row>
    <row r="44" spans="2:18" ht="13.5" hidden="1">
      <c r="B44" s="24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45"/>
    </row>
    <row r="45" spans="2:18" ht="13.5" hidden="1">
      <c r="B45" s="24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45"/>
    </row>
    <row r="46" spans="2:18" ht="13.5" hidden="1">
      <c r="B46" s="24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45"/>
    </row>
    <row r="47" spans="2:18" ht="13.5" hidden="1">
      <c r="B47" s="24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45"/>
    </row>
    <row r="48" spans="2:18" ht="13.5" hidden="1">
      <c r="B48" s="24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45"/>
    </row>
    <row r="49" spans="2:18" ht="13.5">
      <c r="B49" s="24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45"/>
    </row>
    <row r="50" spans="2:18" s="249" customFormat="1" ht="15">
      <c r="B50" s="247"/>
      <c r="C50" s="87"/>
      <c r="D50" s="164" t="s">
        <v>43</v>
      </c>
      <c r="E50" s="88"/>
      <c r="F50" s="88"/>
      <c r="G50" s="88"/>
      <c r="H50" s="256"/>
      <c r="I50" s="87"/>
      <c r="J50" s="164" t="s">
        <v>44</v>
      </c>
      <c r="K50" s="88"/>
      <c r="L50" s="88"/>
      <c r="M50" s="88"/>
      <c r="N50" s="88"/>
      <c r="O50" s="88"/>
      <c r="P50" s="256"/>
      <c r="Q50" s="87"/>
      <c r="R50" s="248"/>
    </row>
    <row r="51" spans="2:18" ht="13.5">
      <c r="B51" s="244"/>
      <c r="C51" s="215"/>
      <c r="D51" s="259"/>
      <c r="E51" s="215"/>
      <c r="F51" s="215"/>
      <c r="G51" s="215"/>
      <c r="H51" s="260"/>
      <c r="I51" s="215"/>
      <c r="J51" s="259"/>
      <c r="K51" s="215"/>
      <c r="L51" s="215"/>
      <c r="M51" s="215"/>
      <c r="N51" s="215"/>
      <c r="O51" s="215"/>
      <c r="P51" s="260"/>
      <c r="Q51" s="215"/>
      <c r="R51" s="245"/>
    </row>
    <row r="52" spans="2:18" ht="13.5">
      <c r="B52" s="244"/>
      <c r="C52" s="215"/>
      <c r="D52" s="259"/>
      <c r="E52" s="215"/>
      <c r="F52" s="215"/>
      <c r="G52" s="215"/>
      <c r="H52" s="260"/>
      <c r="I52" s="215"/>
      <c r="J52" s="259"/>
      <c r="K52" s="215"/>
      <c r="L52" s="215"/>
      <c r="M52" s="215"/>
      <c r="N52" s="215"/>
      <c r="O52" s="215"/>
      <c r="P52" s="260"/>
      <c r="Q52" s="215"/>
      <c r="R52" s="245"/>
    </row>
    <row r="53" spans="2:18" ht="13.5">
      <c r="B53" s="244"/>
      <c r="C53" s="215"/>
      <c r="D53" s="259"/>
      <c r="E53" s="215"/>
      <c r="F53" s="215"/>
      <c r="G53" s="215"/>
      <c r="H53" s="260"/>
      <c r="I53" s="215"/>
      <c r="J53" s="259"/>
      <c r="K53" s="215"/>
      <c r="L53" s="215"/>
      <c r="M53" s="215"/>
      <c r="N53" s="215"/>
      <c r="O53" s="215"/>
      <c r="P53" s="260"/>
      <c r="Q53" s="215"/>
      <c r="R53" s="245"/>
    </row>
    <row r="54" spans="2:18" ht="13.5">
      <c r="B54" s="244"/>
      <c r="C54" s="215"/>
      <c r="D54" s="259"/>
      <c r="E54" s="215"/>
      <c r="F54" s="215"/>
      <c r="G54" s="215"/>
      <c r="H54" s="260"/>
      <c r="I54" s="215"/>
      <c r="J54" s="259"/>
      <c r="K54" s="215"/>
      <c r="L54" s="215"/>
      <c r="M54" s="215"/>
      <c r="N54" s="215"/>
      <c r="O54" s="215"/>
      <c r="P54" s="260"/>
      <c r="Q54" s="215"/>
      <c r="R54" s="245"/>
    </row>
    <row r="55" spans="2:18" ht="13.5">
      <c r="B55" s="244"/>
      <c r="C55" s="215"/>
      <c r="D55" s="259"/>
      <c r="E55" s="215"/>
      <c r="F55" s="215"/>
      <c r="G55" s="215"/>
      <c r="H55" s="260"/>
      <c r="I55" s="215"/>
      <c r="J55" s="259"/>
      <c r="K55" s="215"/>
      <c r="L55" s="215"/>
      <c r="M55" s="215"/>
      <c r="N55" s="215"/>
      <c r="O55" s="215"/>
      <c r="P55" s="260"/>
      <c r="Q55" s="215"/>
      <c r="R55" s="245"/>
    </row>
    <row r="56" spans="2:18" ht="13.5">
      <c r="B56" s="244"/>
      <c r="C56" s="215"/>
      <c r="D56" s="259"/>
      <c r="E56" s="215"/>
      <c r="F56" s="215"/>
      <c r="G56" s="215"/>
      <c r="H56" s="260"/>
      <c r="I56" s="215"/>
      <c r="J56" s="259"/>
      <c r="K56" s="215"/>
      <c r="L56" s="215"/>
      <c r="M56" s="215"/>
      <c r="N56" s="215"/>
      <c r="O56" s="215"/>
      <c r="P56" s="260"/>
      <c r="Q56" s="215"/>
      <c r="R56" s="245"/>
    </row>
    <row r="57" spans="2:18" ht="13.5">
      <c r="B57" s="244"/>
      <c r="C57" s="215"/>
      <c r="D57" s="259"/>
      <c r="E57" s="215"/>
      <c r="F57" s="215"/>
      <c r="G57" s="215"/>
      <c r="H57" s="260"/>
      <c r="I57" s="215"/>
      <c r="J57" s="259"/>
      <c r="K57" s="215"/>
      <c r="L57" s="215"/>
      <c r="M57" s="215"/>
      <c r="N57" s="215"/>
      <c r="O57" s="215"/>
      <c r="P57" s="260"/>
      <c r="Q57" s="215"/>
      <c r="R57" s="245"/>
    </row>
    <row r="58" spans="2:18" ht="13.5">
      <c r="B58" s="244"/>
      <c r="C58" s="215"/>
      <c r="D58" s="259"/>
      <c r="E58" s="215"/>
      <c r="F58" s="215"/>
      <c r="G58" s="215"/>
      <c r="H58" s="260"/>
      <c r="I58" s="215"/>
      <c r="J58" s="259"/>
      <c r="K58" s="215"/>
      <c r="L58" s="215"/>
      <c r="M58" s="215"/>
      <c r="N58" s="215"/>
      <c r="O58" s="215"/>
      <c r="P58" s="260"/>
      <c r="Q58" s="215"/>
      <c r="R58" s="245"/>
    </row>
    <row r="59" spans="2:18" s="249" customFormat="1" ht="15">
      <c r="B59" s="247"/>
      <c r="C59" s="87"/>
      <c r="D59" s="168" t="s">
        <v>45</v>
      </c>
      <c r="E59" s="261"/>
      <c r="F59" s="261"/>
      <c r="G59" s="170" t="s">
        <v>46</v>
      </c>
      <c r="H59" s="262"/>
      <c r="I59" s="87"/>
      <c r="J59" s="168" t="s">
        <v>45</v>
      </c>
      <c r="K59" s="261"/>
      <c r="L59" s="261"/>
      <c r="M59" s="261"/>
      <c r="N59" s="170" t="s">
        <v>46</v>
      </c>
      <c r="O59" s="261"/>
      <c r="P59" s="262"/>
      <c r="Q59" s="87"/>
      <c r="R59" s="248"/>
    </row>
    <row r="60" spans="2:18" ht="13.5">
      <c r="B60" s="244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45"/>
    </row>
    <row r="61" spans="2:18" s="249" customFormat="1" ht="15">
      <c r="B61" s="247"/>
      <c r="C61" s="87"/>
      <c r="D61" s="164" t="s">
        <v>47</v>
      </c>
      <c r="E61" s="88"/>
      <c r="F61" s="88"/>
      <c r="G61" s="88"/>
      <c r="H61" s="256"/>
      <c r="I61" s="87"/>
      <c r="J61" s="310" t="s">
        <v>48</v>
      </c>
      <c r="K61" s="311"/>
      <c r="L61" s="311"/>
      <c r="M61" s="311"/>
      <c r="N61" s="311"/>
      <c r="O61" s="311"/>
      <c r="P61" s="312"/>
      <c r="Q61" s="87"/>
      <c r="R61" s="248"/>
    </row>
    <row r="62" spans="2:18" ht="13.5">
      <c r="B62" s="244"/>
      <c r="C62" s="215"/>
      <c r="D62" s="259"/>
      <c r="E62" s="215"/>
      <c r="F62" s="215"/>
      <c r="G62" s="215"/>
      <c r="H62" s="260"/>
      <c r="I62" s="215"/>
      <c r="J62" s="313"/>
      <c r="K62" s="314"/>
      <c r="L62" s="314"/>
      <c r="M62" s="314"/>
      <c r="N62" s="314"/>
      <c r="O62" s="314"/>
      <c r="P62" s="315"/>
      <c r="Q62" s="215"/>
      <c r="R62" s="245"/>
    </row>
    <row r="63" spans="2:18" ht="13.5">
      <c r="B63" s="244"/>
      <c r="C63" s="215"/>
      <c r="D63" s="259"/>
      <c r="E63" s="215"/>
      <c r="F63" s="215"/>
      <c r="G63" s="215"/>
      <c r="H63" s="260"/>
      <c r="I63" s="215"/>
      <c r="J63" s="313"/>
      <c r="K63" s="314"/>
      <c r="L63" s="314"/>
      <c r="M63" s="314"/>
      <c r="N63" s="314"/>
      <c r="O63" s="314"/>
      <c r="P63" s="315"/>
      <c r="Q63" s="215"/>
      <c r="R63" s="245"/>
    </row>
    <row r="64" spans="2:18" ht="13.5">
      <c r="B64" s="244"/>
      <c r="C64" s="215"/>
      <c r="D64" s="259"/>
      <c r="E64" s="215"/>
      <c r="F64" s="215"/>
      <c r="G64" s="215"/>
      <c r="H64" s="260"/>
      <c r="I64" s="215"/>
      <c r="J64" s="313"/>
      <c r="K64" s="314"/>
      <c r="L64" s="314"/>
      <c r="M64" s="314"/>
      <c r="N64" s="314"/>
      <c r="O64" s="314"/>
      <c r="P64" s="315"/>
      <c r="Q64" s="215"/>
      <c r="R64" s="245"/>
    </row>
    <row r="65" spans="2:18" ht="13.5">
      <c r="B65" s="244"/>
      <c r="C65" s="215"/>
      <c r="D65" s="259"/>
      <c r="E65" s="215"/>
      <c r="F65" s="215"/>
      <c r="G65" s="215"/>
      <c r="H65" s="260"/>
      <c r="I65" s="215"/>
      <c r="J65" s="313"/>
      <c r="K65" s="314"/>
      <c r="L65" s="314"/>
      <c r="M65" s="314"/>
      <c r="N65" s="314"/>
      <c r="O65" s="314"/>
      <c r="P65" s="315"/>
      <c r="Q65" s="215"/>
      <c r="R65" s="245"/>
    </row>
    <row r="66" spans="2:18" ht="13.5">
      <c r="B66" s="244"/>
      <c r="C66" s="215"/>
      <c r="D66" s="259"/>
      <c r="E66" s="215"/>
      <c r="F66" s="215"/>
      <c r="G66" s="215"/>
      <c r="H66" s="260"/>
      <c r="I66" s="215"/>
      <c r="J66" s="313"/>
      <c r="K66" s="314"/>
      <c r="L66" s="314"/>
      <c r="M66" s="314"/>
      <c r="N66" s="314"/>
      <c r="O66" s="314"/>
      <c r="P66" s="315"/>
      <c r="Q66" s="215"/>
      <c r="R66" s="245"/>
    </row>
    <row r="67" spans="2:18" ht="13.5">
      <c r="B67" s="244"/>
      <c r="C67" s="215"/>
      <c r="D67" s="259"/>
      <c r="E67" s="215"/>
      <c r="F67" s="215"/>
      <c r="G67" s="215"/>
      <c r="H67" s="260"/>
      <c r="I67" s="215"/>
      <c r="J67" s="313"/>
      <c r="K67" s="314"/>
      <c r="L67" s="314"/>
      <c r="M67" s="314"/>
      <c r="N67" s="314"/>
      <c r="O67" s="314"/>
      <c r="P67" s="315"/>
      <c r="Q67" s="215"/>
      <c r="R67" s="245"/>
    </row>
    <row r="68" spans="2:18" ht="13.5">
      <c r="B68" s="244"/>
      <c r="C68" s="215"/>
      <c r="D68" s="259"/>
      <c r="E68" s="215"/>
      <c r="F68" s="215"/>
      <c r="G68" s="215"/>
      <c r="H68" s="260"/>
      <c r="I68" s="215"/>
      <c r="J68" s="313"/>
      <c r="K68" s="314"/>
      <c r="L68" s="314"/>
      <c r="M68" s="314"/>
      <c r="N68" s="314"/>
      <c r="O68" s="314"/>
      <c r="P68" s="315"/>
      <c r="Q68" s="215"/>
      <c r="R68" s="245"/>
    </row>
    <row r="69" spans="2:18" ht="13.5">
      <c r="B69" s="244"/>
      <c r="C69" s="215"/>
      <c r="D69" s="259"/>
      <c r="E69" s="215"/>
      <c r="F69" s="215"/>
      <c r="G69" s="215"/>
      <c r="H69" s="260"/>
      <c r="I69" s="215"/>
      <c r="J69" s="313"/>
      <c r="K69" s="314"/>
      <c r="L69" s="314"/>
      <c r="M69" s="314"/>
      <c r="N69" s="314"/>
      <c r="O69" s="314"/>
      <c r="P69" s="315"/>
      <c r="Q69" s="215"/>
      <c r="R69" s="245"/>
    </row>
    <row r="70" spans="2:18" s="249" customFormat="1" ht="15">
      <c r="B70" s="247"/>
      <c r="C70" s="87"/>
      <c r="D70" s="168" t="s">
        <v>45</v>
      </c>
      <c r="E70" s="261"/>
      <c r="F70" s="261"/>
      <c r="G70" s="170" t="s">
        <v>46</v>
      </c>
      <c r="H70" s="262"/>
      <c r="I70" s="87"/>
      <c r="J70" s="316" t="s">
        <v>45</v>
      </c>
      <c r="K70" s="317"/>
      <c r="L70" s="317"/>
      <c r="M70" s="317"/>
      <c r="N70" s="318" t="s">
        <v>46</v>
      </c>
      <c r="O70" s="317"/>
      <c r="P70" s="319"/>
      <c r="Q70" s="87"/>
      <c r="R70" s="248"/>
    </row>
    <row r="71" spans="2:18" s="87" customFormat="1" ht="14.45" customHeight="1">
      <c r="B71" s="247"/>
      <c r="R71" s="248"/>
    </row>
    <row r="75" spans="2:18" s="249" customFormat="1" ht="6.9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8"/>
    </row>
    <row r="76" spans="2:18" s="249" customFormat="1" ht="36.95" customHeight="1">
      <c r="B76" s="247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248"/>
    </row>
    <row r="77" spans="2:18" s="249" customFormat="1" ht="6.95" customHeight="1">
      <c r="B77" s="24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248"/>
    </row>
    <row r="78" spans="2:18" s="249" customFormat="1" ht="30" customHeight="1">
      <c r="B78" s="247"/>
      <c r="C78" s="158" t="s">
        <v>15</v>
      </c>
      <c r="D78" s="87"/>
      <c r="E78" s="87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87"/>
      <c r="R78" s="248"/>
    </row>
    <row r="79" spans="2:18" ht="30" customHeight="1">
      <c r="B79" s="244"/>
      <c r="C79" s="158" t="s">
        <v>101</v>
      </c>
      <c r="D79" s="215"/>
      <c r="E79" s="215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215"/>
      <c r="R79" s="245"/>
    </row>
    <row r="80" spans="2:18" s="249" customFormat="1" ht="36.95" customHeight="1">
      <c r="B80" s="247"/>
      <c r="C80" s="174" t="s">
        <v>102</v>
      </c>
      <c r="D80" s="87"/>
      <c r="E80" s="87"/>
      <c r="F80" s="910" t="str">
        <f>F8</f>
        <v>04 - VNITŘNÍ VODOVOD</v>
      </c>
      <c r="G80" s="1091"/>
      <c r="H80" s="1091"/>
      <c r="I80" s="1091"/>
      <c r="J80" s="1091"/>
      <c r="K80" s="1091"/>
      <c r="L80" s="1091"/>
      <c r="M80" s="1091"/>
      <c r="N80" s="1091"/>
      <c r="O80" s="1091"/>
      <c r="P80" s="1091"/>
      <c r="Q80" s="87"/>
      <c r="R80" s="248"/>
    </row>
    <row r="81" spans="2:18" s="249" customFormat="1" ht="6.95" customHeight="1">
      <c r="B81" s="24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248"/>
    </row>
    <row r="82" spans="2:18" s="249" customFormat="1" ht="36.75" customHeight="1">
      <c r="B82" s="247"/>
      <c r="C82" s="158" t="s">
        <v>18</v>
      </c>
      <c r="D82" s="87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87"/>
      <c r="M82" s="909">
        <f>IF(O10="","",O10)</f>
        <v>43363</v>
      </c>
      <c r="N82" s="909"/>
      <c r="O82" s="909"/>
      <c r="P82" s="909"/>
      <c r="Q82" s="87"/>
      <c r="R82" s="248"/>
    </row>
    <row r="83" spans="2:18" s="249" customFormat="1" ht="13.5">
      <c r="B83" s="247"/>
      <c r="C83" s="739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248"/>
    </row>
    <row r="84" spans="2:18" s="249" customFormat="1" ht="26.45" customHeight="1">
      <c r="B84" s="247"/>
      <c r="C84" s="158" t="s">
        <v>20</v>
      </c>
      <c r="D84" s="87"/>
      <c r="E84" s="87"/>
      <c r="F84" s="1095" t="str">
        <f>F12</f>
        <v xml:space="preserve">R-MOSTY, Z.S.
</v>
      </c>
      <c r="G84" s="1095"/>
      <c r="H84" s="1095"/>
      <c r="I84" s="1095"/>
      <c r="J84" s="1095"/>
      <c r="K84" s="158" t="s">
        <v>26</v>
      </c>
      <c r="L84" s="87"/>
      <c r="M84" s="883" t="str">
        <f>F18</f>
        <v>Design&amp;Build s.r.o.</v>
      </c>
      <c r="N84" s="883"/>
      <c r="O84" s="883"/>
      <c r="P84" s="883"/>
      <c r="Q84" s="883"/>
      <c r="R84" s="248"/>
    </row>
    <row r="85" spans="2:18" s="249" customFormat="1" ht="14.45" customHeight="1">
      <c r="B85" s="247"/>
      <c r="C85" s="158" t="s">
        <v>24</v>
      </c>
      <c r="D85" s="87"/>
      <c r="E85" s="87"/>
      <c r="F85" s="533" t="str">
        <f>IF(E16="","",E16)</f>
        <v xml:space="preserve"> </v>
      </c>
      <c r="G85" s="87"/>
      <c r="H85" s="87"/>
      <c r="I85" s="87"/>
      <c r="J85" s="87"/>
      <c r="K85" s="158" t="s">
        <v>28</v>
      </c>
      <c r="L85" s="87"/>
      <c r="M85" s="883" t="str">
        <f>M84</f>
        <v>Design&amp;Build s.r.o.</v>
      </c>
      <c r="N85" s="883"/>
      <c r="O85" s="883"/>
      <c r="P85" s="883"/>
      <c r="Q85" s="883"/>
      <c r="R85" s="248"/>
    </row>
    <row r="86" spans="2:18" s="249" customFormat="1" ht="10.35" customHeight="1">
      <c r="B86" s="24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248"/>
    </row>
    <row r="87" spans="2:18" s="249" customFormat="1" ht="29.25" customHeight="1">
      <c r="B87" s="247"/>
      <c r="C87" s="976" t="s">
        <v>106</v>
      </c>
      <c r="D87" s="1096"/>
      <c r="E87" s="1096"/>
      <c r="F87" s="1096"/>
      <c r="G87" s="1096"/>
      <c r="H87" s="238"/>
      <c r="I87" s="238"/>
      <c r="J87" s="238"/>
      <c r="K87" s="238"/>
      <c r="L87" s="238"/>
      <c r="M87" s="238"/>
      <c r="N87" s="976" t="s">
        <v>107</v>
      </c>
      <c r="O87" s="1096"/>
      <c r="P87" s="1096"/>
      <c r="Q87" s="1096"/>
      <c r="R87" s="248"/>
    </row>
    <row r="88" spans="2:18" s="249" customFormat="1" ht="10.35" customHeight="1">
      <c r="B88" s="24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248"/>
    </row>
    <row r="89" spans="2:47" s="249" customFormat="1" ht="29.25" customHeight="1">
      <c r="B89" s="247"/>
      <c r="C89" s="460" t="s">
        <v>108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93">
        <f>N112</f>
        <v>0</v>
      </c>
      <c r="O89" s="982"/>
      <c r="P89" s="982"/>
      <c r="Q89" s="982"/>
      <c r="R89" s="248"/>
      <c r="AU89" s="240" t="s">
        <v>109</v>
      </c>
    </row>
    <row r="90" spans="2:18" s="464" customFormat="1" ht="24.95" customHeight="1">
      <c r="B90" s="462"/>
      <c r="C90" s="59"/>
      <c r="D90" s="176" t="str">
        <f>F80</f>
        <v>04 - VNITŘNÍ VODOVOD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2:18" s="249" customFormat="1" ht="21.75" customHeight="1">
      <c r="B91" s="24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248"/>
    </row>
    <row r="92" spans="2:21" s="249" customFormat="1" ht="29.25" customHeight="1">
      <c r="B92" s="247"/>
      <c r="C92" s="460" t="s">
        <v>110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982">
        <v>0</v>
      </c>
      <c r="O92" s="983"/>
      <c r="P92" s="983"/>
      <c r="Q92" s="983"/>
      <c r="R92" s="248"/>
      <c r="T92" s="741"/>
      <c r="U92" s="466" t="s">
        <v>33</v>
      </c>
    </row>
    <row r="93" spans="2:18" s="249" customFormat="1" ht="18" customHeight="1">
      <c r="B93" s="24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248"/>
    </row>
    <row r="94" spans="2:18" s="249" customFormat="1" ht="29.25" customHeight="1">
      <c r="B94" s="247"/>
      <c r="C94" s="177" t="s">
        <v>94</v>
      </c>
      <c r="D94" s="238"/>
      <c r="E94" s="238"/>
      <c r="F94" s="238"/>
      <c r="G94" s="238"/>
      <c r="H94" s="238"/>
      <c r="I94" s="238"/>
      <c r="J94" s="238"/>
      <c r="K94" s="238"/>
      <c r="L94" s="913">
        <f>ROUND(SUM(N89+N92),2)</f>
        <v>0</v>
      </c>
      <c r="M94" s="913"/>
      <c r="N94" s="913"/>
      <c r="O94" s="913"/>
      <c r="P94" s="913"/>
      <c r="Q94" s="913"/>
      <c r="R94" s="248"/>
    </row>
    <row r="95" spans="2:18" s="249" customFormat="1" ht="6.95" customHeight="1">
      <c r="B95" s="263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5"/>
    </row>
    <row r="99" spans="2:18" s="249" customFormat="1" ht="6.9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8"/>
    </row>
    <row r="100" spans="2:18" s="249" customFormat="1" ht="36.95" customHeight="1">
      <c r="B100" s="247"/>
      <c r="C100" s="881" t="s">
        <v>111</v>
      </c>
      <c r="D100" s="1091"/>
      <c r="E100" s="1091"/>
      <c r="F100" s="1091"/>
      <c r="G100" s="1091"/>
      <c r="H100" s="1091"/>
      <c r="I100" s="1091"/>
      <c r="J100" s="1091"/>
      <c r="K100" s="1091"/>
      <c r="L100" s="1091"/>
      <c r="M100" s="1091"/>
      <c r="N100" s="1091"/>
      <c r="O100" s="1091"/>
      <c r="P100" s="1091"/>
      <c r="Q100" s="1091"/>
      <c r="R100" s="248"/>
    </row>
    <row r="101" spans="2:18" s="249" customFormat="1" ht="6.95" customHeight="1">
      <c r="B101" s="24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248"/>
    </row>
    <row r="102" spans="2:18" s="249" customFormat="1" ht="30" customHeight="1">
      <c r="B102" s="247"/>
      <c r="C102" s="158" t="s">
        <v>15</v>
      </c>
      <c r="D102" s="87"/>
      <c r="E102" s="87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87"/>
      <c r="R102" s="248"/>
    </row>
    <row r="103" spans="2:18" ht="30" customHeight="1">
      <c r="B103" s="244"/>
      <c r="C103" s="158" t="s">
        <v>101</v>
      </c>
      <c r="D103" s="215"/>
      <c r="E103" s="215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215"/>
      <c r="R103" s="245"/>
    </row>
    <row r="104" spans="2:18" s="249" customFormat="1" ht="36.95" customHeight="1">
      <c r="B104" s="247"/>
      <c r="C104" s="174" t="s">
        <v>102</v>
      </c>
      <c r="D104" s="87"/>
      <c r="E104" s="87"/>
      <c r="F104" s="910" t="str">
        <f>F8</f>
        <v>04 - VNITŘNÍ VODOVOD</v>
      </c>
      <c r="G104" s="1091"/>
      <c r="H104" s="1091"/>
      <c r="I104" s="1091"/>
      <c r="J104" s="1091"/>
      <c r="K104" s="1091"/>
      <c r="L104" s="1091"/>
      <c r="M104" s="1091"/>
      <c r="N104" s="1091"/>
      <c r="O104" s="1091"/>
      <c r="P104" s="1091"/>
      <c r="Q104" s="87"/>
      <c r="R104" s="248"/>
    </row>
    <row r="105" spans="2:18" s="249" customFormat="1" ht="6.95" customHeight="1">
      <c r="B105" s="24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248"/>
    </row>
    <row r="106" spans="2:18" s="249" customFormat="1" ht="18" customHeight="1">
      <c r="B106" s="247"/>
      <c r="C106" s="158" t="s">
        <v>18</v>
      </c>
      <c r="D106" s="87"/>
      <c r="E106" s="87"/>
      <c r="F106" s="160" t="str">
        <f>F82</f>
        <v>NÁDRAŽNÍ ULICE č.p.43, Mladá Boleslav</v>
      </c>
      <c r="G106" s="87"/>
      <c r="H106" s="87"/>
      <c r="I106" s="87"/>
      <c r="J106" s="87"/>
      <c r="K106" s="158" t="s">
        <v>19</v>
      </c>
      <c r="L106" s="87"/>
      <c r="M106" s="909">
        <f>IF(O10="","",O10)</f>
        <v>43363</v>
      </c>
      <c r="N106" s="909"/>
      <c r="O106" s="909"/>
      <c r="P106" s="909"/>
      <c r="Q106" s="87"/>
      <c r="R106" s="248"/>
    </row>
    <row r="107" spans="2:18" s="249" customFormat="1" ht="6.95" customHeight="1">
      <c r="B107" s="24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248"/>
    </row>
    <row r="108" spans="2:18" s="249" customFormat="1" ht="15">
      <c r="B108" s="247"/>
      <c r="C108" s="158" t="s">
        <v>20</v>
      </c>
      <c r="D108" s="87"/>
      <c r="E108" s="87"/>
      <c r="F108" s="160" t="str">
        <f>F12</f>
        <v xml:space="preserve">R-MOSTY, Z.S.
</v>
      </c>
      <c r="G108" s="87"/>
      <c r="H108" s="87"/>
      <c r="I108" s="87"/>
      <c r="J108" s="87"/>
      <c r="K108" s="158" t="s">
        <v>26</v>
      </c>
      <c r="L108" s="87"/>
      <c r="M108" s="883" t="str">
        <f>M84</f>
        <v>Design&amp;Build s.r.o.</v>
      </c>
      <c r="N108" s="883"/>
      <c r="O108" s="883"/>
      <c r="P108" s="883"/>
      <c r="Q108" s="883"/>
      <c r="R108" s="248"/>
    </row>
    <row r="109" spans="2:18" s="249" customFormat="1" ht="14.45" customHeight="1">
      <c r="B109" s="247"/>
      <c r="C109" s="158" t="s">
        <v>24</v>
      </c>
      <c r="D109" s="87"/>
      <c r="E109" s="87"/>
      <c r="F109" s="533" t="str">
        <f>IF(E16="","",E16)</f>
        <v xml:space="preserve"> </v>
      </c>
      <c r="G109" s="87"/>
      <c r="H109" s="87"/>
      <c r="I109" s="87"/>
      <c r="J109" s="87"/>
      <c r="K109" s="158" t="s">
        <v>28</v>
      </c>
      <c r="L109" s="87"/>
      <c r="M109" s="883" t="str">
        <f>M108</f>
        <v>Design&amp;Build s.r.o.</v>
      </c>
      <c r="N109" s="883"/>
      <c r="O109" s="883"/>
      <c r="P109" s="883"/>
      <c r="Q109" s="883"/>
      <c r="R109" s="248"/>
    </row>
    <row r="110" spans="2:18" s="249" customFormat="1" ht="10.35" customHeight="1">
      <c r="B110" s="24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248"/>
    </row>
    <row r="111" spans="2:27" s="744" customFormat="1" ht="29.25" customHeight="1">
      <c r="B111" s="742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743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2:63" s="249" customFormat="1" ht="29.25" customHeight="1">
      <c r="B112" s="247"/>
      <c r="C112" s="175" t="s">
        <v>103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969">
        <f>SUM(N113)</f>
        <v>0</v>
      </c>
      <c r="O112" s="970"/>
      <c r="P112" s="970"/>
      <c r="Q112" s="970"/>
      <c r="R112" s="248"/>
      <c r="T112" s="279"/>
      <c r="U112" s="88"/>
      <c r="V112" s="88"/>
      <c r="W112" s="474" t="e">
        <f>W113+#REF!+#REF!+#REF!+#REF!+W262+W293+W302+W327+W332+W341</f>
        <v>#REF!</v>
      </c>
      <c r="X112" s="88"/>
      <c r="Y112" s="474" t="e">
        <f>Y113+#REF!+#REF!+#REF!+#REF!+Y262+Y293+Y302+Y327+Y332+Y341</f>
        <v>#REF!</v>
      </c>
      <c r="Z112" s="88"/>
      <c r="AA112" s="475" t="e">
        <f>AA113+#REF!+#REF!+#REF!+#REF!+AA262+AA293+AA302+AA327+AA332+AA341</f>
        <v>#REF!</v>
      </c>
      <c r="AU112" s="240" t="s">
        <v>109</v>
      </c>
      <c r="BK112" s="476" t="e">
        <f>BK113+#REF!+#REF!+#REF!+#REF!+BK262+BK293+BK302+BK327+BK332+BK341</f>
        <v>#REF!</v>
      </c>
    </row>
    <row r="113" spans="1:63" s="398" customFormat="1" ht="37.35" customHeight="1">
      <c r="A113" s="181"/>
      <c r="B113" s="399"/>
      <c r="C113" s="181"/>
      <c r="D113" s="105" t="str">
        <f>F104</f>
        <v>04 - VNITŘNÍ VODOVOD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71">
        <f>SUM(N115:Q249)</f>
        <v>0</v>
      </c>
      <c r="O113" s="926"/>
      <c r="P113" s="926"/>
      <c r="Q113" s="926"/>
      <c r="R113" s="400"/>
      <c r="S113" s="181"/>
      <c r="T113" s="181"/>
      <c r="U113" s="181"/>
      <c r="V113" s="181"/>
      <c r="W113" s="402" t="e">
        <f>SUM(W115:W246)</f>
        <v>#REF!</v>
      </c>
      <c r="X113" s="181"/>
      <c r="Y113" s="402" t="e">
        <f>SUM(Y115:Y246)</f>
        <v>#REF!</v>
      </c>
      <c r="Z113" s="181"/>
      <c r="AA113" s="403" t="e">
        <f>SUM(AA115:AA246)</f>
        <v>#REF!</v>
      </c>
      <c r="AC113" s="249"/>
      <c r="AU113" s="405" t="s">
        <v>69</v>
      </c>
      <c r="AY113" s="404" t="s">
        <v>125</v>
      </c>
      <c r="BK113" s="406" t="e">
        <f>SUM(BK115:BK246)</f>
        <v>#REF!</v>
      </c>
    </row>
    <row r="114" spans="1:63" s="398" customFormat="1" ht="37.35" customHeight="1">
      <c r="A114" s="181"/>
      <c r="B114" s="399"/>
      <c r="C114" s="181"/>
      <c r="D114" s="105" t="s">
        <v>618</v>
      </c>
      <c r="E114" s="105"/>
      <c r="F114" s="105"/>
      <c r="G114" s="105"/>
      <c r="H114" s="105"/>
      <c r="I114" s="105"/>
      <c r="J114" s="105"/>
      <c r="K114" s="105"/>
      <c r="L114" s="105"/>
      <c r="M114" s="87"/>
      <c r="N114" s="481"/>
      <c r="O114" s="482"/>
      <c r="P114" s="482"/>
      <c r="Q114" s="482"/>
      <c r="R114" s="400"/>
      <c r="S114" s="181"/>
      <c r="T114" s="181"/>
      <c r="U114" s="181"/>
      <c r="V114" s="181"/>
      <c r="W114" s="402"/>
      <c r="X114" s="181"/>
      <c r="Y114" s="402"/>
      <c r="Z114" s="181"/>
      <c r="AA114" s="403"/>
      <c r="AC114" s="249"/>
      <c r="AU114" s="405"/>
      <c r="AY114" s="404"/>
      <c r="BK114" s="406"/>
    </row>
    <row r="115" spans="1:65" s="249" customFormat="1" ht="30" customHeight="1">
      <c r="A115" s="87"/>
      <c r="B115" s="247"/>
      <c r="C115" s="195" t="s">
        <v>207</v>
      </c>
      <c r="D115" s="195"/>
      <c r="E115" s="195" t="s">
        <v>1272</v>
      </c>
      <c r="F115" s="999" t="s">
        <v>249</v>
      </c>
      <c r="G115" s="999"/>
      <c r="H115" s="999"/>
      <c r="I115" s="999"/>
      <c r="J115" s="94" t="s">
        <v>131</v>
      </c>
      <c r="K115" s="95">
        <v>1</v>
      </c>
      <c r="L115" s="11"/>
      <c r="M115" s="87"/>
      <c r="N115" s="948">
        <f>ROUND(L115*K115,2)</f>
        <v>0</v>
      </c>
      <c r="O115" s="948"/>
      <c r="P115" s="948"/>
      <c r="Q115" s="948"/>
      <c r="R115" s="248"/>
      <c r="S115" s="87"/>
      <c r="T115" s="483" t="s">
        <v>5</v>
      </c>
      <c r="U115" s="221" t="s">
        <v>36</v>
      </c>
      <c r="V115" s="408">
        <v>0</v>
      </c>
      <c r="W115" s="408" t="e">
        <f>V115*#REF!</f>
        <v>#REF!</v>
      </c>
      <c r="X115" s="408">
        <v>0</v>
      </c>
      <c r="Y115" s="408" t="e">
        <f>X115*#REF!</f>
        <v>#REF!</v>
      </c>
      <c r="Z115" s="408">
        <v>0</v>
      </c>
      <c r="AA115" s="409" t="e">
        <f>Z115*#REF!</f>
        <v>#REF!</v>
      </c>
      <c r="AD115" s="398"/>
      <c r="AU115" s="240" t="s">
        <v>76</v>
      </c>
      <c r="AY115" s="240" t="s">
        <v>125</v>
      </c>
      <c r="BE115" s="250">
        <f>IF(U115="základní",#REF!,0)</f>
        <v>0</v>
      </c>
      <c r="BF115" s="250" t="e">
        <f>IF(U115="snížená",#REF!,0)</f>
        <v>#REF!</v>
      </c>
      <c r="BG115" s="250">
        <f>IF(U115="zákl. přenesená",#REF!,0)</f>
        <v>0</v>
      </c>
      <c r="BH115" s="250">
        <f>IF(U115="sníž. přenesená",#REF!,0)</f>
        <v>0</v>
      </c>
      <c r="BI115" s="250">
        <f>IF(U115="nulová",#REF!,0)</f>
        <v>0</v>
      </c>
      <c r="BJ115" s="240" t="s">
        <v>80</v>
      </c>
      <c r="BK115" s="250" t="e">
        <f>ROUND(#REF!*#REF!,2)</f>
        <v>#REF!</v>
      </c>
      <c r="BL115" s="240" t="s">
        <v>128</v>
      </c>
      <c r="BM115" s="240" t="s">
        <v>80</v>
      </c>
    </row>
    <row r="116" spans="1:65" s="249" customFormat="1" ht="30" customHeight="1">
      <c r="A116" s="87"/>
      <c r="B116" s="247"/>
      <c r="C116" s="195" t="s">
        <v>208</v>
      </c>
      <c r="D116" s="195"/>
      <c r="E116" s="195" t="s">
        <v>1273</v>
      </c>
      <c r="F116" s="1054" t="s">
        <v>619</v>
      </c>
      <c r="G116" s="1055"/>
      <c r="H116" s="1055"/>
      <c r="I116" s="1056"/>
      <c r="J116" s="96" t="s">
        <v>133</v>
      </c>
      <c r="K116" s="95">
        <f>(0.2+2.88+0.27+0.1+0.22+0.26+1.35+2.18+1.3+0.3+1.1)*3+(0.52+0.15+0.35+1.11)*3</f>
        <v>36.870000000000005</v>
      </c>
      <c r="L116" s="11"/>
      <c r="M116" s="87"/>
      <c r="N116" s="948">
        <f aca="true" t="shared" si="0" ref="N116:N122">ROUND(L116*K116,2)</f>
        <v>0</v>
      </c>
      <c r="O116" s="948"/>
      <c r="P116" s="948"/>
      <c r="Q116" s="948"/>
      <c r="R116" s="248"/>
      <c r="S116" s="87"/>
      <c r="T116" s="483"/>
      <c r="U116" s="221"/>
      <c r="V116" s="408"/>
      <c r="W116" s="408"/>
      <c r="X116" s="408"/>
      <c r="Y116" s="408"/>
      <c r="Z116" s="408"/>
      <c r="AA116" s="409"/>
      <c r="AD116" s="398"/>
      <c r="AU116" s="240"/>
      <c r="AY116" s="240"/>
      <c r="BE116" s="250"/>
      <c r="BF116" s="250"/>
      <c r="BG116" s="250"/>
      <c r="BH116" s="250"/>
      <c r="BI116" s="250"/>
      <c r="BJ116" s="240"/>
      <c r="BK116" s="250"/>
      <c r="BL116" s="240"/>
      <c r="BM116" s="240"/>
    </row>
    <row r="117" spans="1:65" s="191" customFormat="1" ht="30" customHeight="1">
      <c r="A117" s="617"/>
      <c r="B117" s="618"/>
      <c r="C117" s="195" t="s">
        <v>209</v>
      </c>
      <c r="D117" s="556"/>
      <c r="E117" s="195" t="s">
        <v>1275</v>
      </c>
      <c r="F117" s="1000" t="s">
        <v>620</v>
      </c>
      <c r="G117" s="1000"/>
      <c r="H117" s="1000"/>
      <c r="I117" s="1000"/>
      <c r="J117" s="97" t="s">
        <v>133</v>
      </c>
      <c r="K117" s="60">
        <f>((0.2+2.88+0.27+0.1+0.22+0.26+1.35+2.18+1.3+0.3+1.1)*3+1+1.8)*1.1</f>
        <v>36.608000000000004</v>
      </c>
      <c r="L117" s="27"/>
      <c r="M117" s="87"/>
      <c r="N117" s="998">
        <f t="shared" si="0"/>
        <v>0</v>
      </c>
      <c r="O117" s="998"/>
      <c r="P117" s="998"/>
      <c r="Q117" s="998"/>
      <c r="R117" s="619"/>
      <c r="S117" s="617"/>
      <c r="T117" s="620"/>
      <c r="U117" s="621"/>
      <c r="V117" s="622"/>
      <c r="W117" s="622"/>
      <c r="X117" s="622"/>
      <c r="Y117" s="622"/>
      <c r="Z117" s="622"/>
      <c r="AA117" s="623"/>
      <c r="AC117" s="249"/>
      <c r="AD117" s="398"/>
      <c r="AU117" s="624"/>
      <c r="AY117" s="624"/>
      <c r="BE117" s="625"/>
      <c r="BF117" s="625"/>
      <c r="BG117" s="625"/>
      <c r="BH117" s="625"/>
      <c r="BI117" s="625"/>
      <c r="BJ117" s="624"/>
      <c r="BK117" s="625"/>
      <c r="BL117" s="624"/>
      <c r="BM117" s="624"/>
    </row>
    <row r="118" spans="1:65" s="191" customFormat="1" ht="30" customHeight="1">
      <c r="A118" s="617"/>
      <c r="B118" s="618"/>
      <c r="C118" s="195" t="s">
        <v>210</v>
      </c>
      <c r="D118" s="556"/>
      <c r="E118" s="195" t="s">
        <v>1276</v>
      </c>
      <c r="F118" s="1000" t="s">
        <v>621</v>
      </c>
      <c r="G118" s="1000"/>
      <c r="H118" s="1000"/>
      <c r="I118" s="1000"/>
      <c r="J118" s="97" t="s">
        <v>133</v>
      </c>
      <c r="K118" s="60">
        <f>((0.52+0.15+0.35+1.11)*3)*1.1</f>
        <v>7.029</v>
      </c>
      <c r="L118" s="27"/>
      <c r="M118" s="87"/>
      <c r="N118" s="998">
        <f t="shared" si="0"/>
        <v>0</v>
      </c>
      <c r="O118" s="998"/>
      <c r="P118" s="998"/>
      <c r="Q118" s="998"/>
      <c r="R118" s="619"/>
      <c r="S118" s="617"/>
      <c r="T118" s="620"/>
      <c r="U118" s="621"/>
      <c r="V118" s="622"/>
      <c r="W118" s="622"/>
      <c r="X118" s="622"/>
      <c r="Y118" s="622"/>
      <c r="Z118" s="622"/>
      <c r="AA118" s="623"/>
      <c r="AC118" s="249"/>
      <c r="AD118" s="398"/>
      <c r="AU118" s="624"/>
      <c r="AY118" s="624"/>
      <c r="BE118" s="625"/>
      <c r="BF118" s="625"/>
      <c r="BG118" s="625"/>
      <c r="BH118" s="625"/>
      <c r="BI118" s="625"/>
      <c r="BJ118" s="624"/>
      <c r="BK118" s="625"/>
      <c r="BL118" s="624"/>
      <c r="BM118" s="624"/>
    </row>
    <row r="119" spans="1:65" s="249" customFormat="1" ht="30" customHeight="1">
      <c r="A119" s="87"/>
      <c r="B119" s="247"/>
      <c r="C119" s="195" t="s">
        <v>211</v>
      </c>
      <c r="D119" s="195"/>
      <c r="E119" s="195" t="s">
        <v>1277</v>
      </c>
      <c r="F119" s="960" t="s">
        <v>622</v>
      </c>
      <c r="G119" s="960"/>
      <c r="H119" s="960"/>
      <c r="I119" s="960"/>
      <c r="J119" s="96" t="s">
        <v>198</v>
      </c>
      <c r="K119" s="95">
        <v>6</v>
      </c>
      <c r="L119" s="11"/>
      <c r="M119" s="87"/>
      <c r="N119" s="948">
        <f t="shared" si="0"/>
        <v>0</v>
      </c>
      <c r="O119" s="948"/>
      <c r="P119" s="948"/>
      <c r="Q119" s="948"/>
      <c r="R119" s="248"/>
      <c r="S119" s="87"/>
      <c r="T119" s="483"/>
      <c r="U119" s="221"/>
      <c r="V119" s="408"/>
      <c r="W119" s="408"/>
      <c r="X119" s="408"/>
      <c r="Y119" s="408"/>
      <c r="Z119" s="408"/>
      <c r="AA119" s="409"/>
      <c r="AD119" s="398"/>
      <c r="AU119" s="240"/>
      <c r="AY119" s="240"/>
      <c r="BE119" s="250"/>
      <c r="BF119" s="250"/>
      <c r="BG119" s="250"/>
      <c r="BH119" s="250"/>
      <c r="BI119" s="250"/>
      <c r="BJ119" s="240"/>
      <c r="BK119" s="250"/>
      <c r="BL119" s="240"/>
      <c r="BM119" s="240"/>
    </row>
    <row r="120" spans="1:65" s="191" customFormat="1" ht="30" customHeight="1">
      <c r="A120" s="617"/>
      <c r="B120" s="618"/>
      <c r="C120" s="195" t="s">
        <v>212</v>
      </c>
      <c r="D120" s="556"/>
      <c r="E120" s="195" t="s">
        <v>1278</v>
      </c>
      <c r="F120" s="1001" t="s">
        <v>623</v>
      </c>
      <c r="G120" s="1002"/>
      <c r="H120" s="1002"/>
      <c r="I120" s="1003"/>
      <c r="J120" s="97" t="s">
        <v>198</v>
      </c>
      <c r="K120" s="60">
        <v>6</v>
      </c>
      <c r="L120" s="27"/>
      <c r="M120" s="87"/>
      <c r="N120" s="998">
        <f t="shared" si="0"/>
        <v>0</v>
      </c>
      <c r="O120" s="998"/>
      <c r="P120" s="998"/>
      <c r="Q120" s="998"/>
      <c r="R120" s="619"/>
      <c r="S120" s="617"/>
      <c r="T120" s="620"/>
      <c r="U120" s="621"/>
      <c r="V120" s="622"/>
      <c r="W120" s="622"/>
      <c r="X120" s="622"/>
      <c r="Y120" s="622"/>
      <c r="Z120" s="622"/>
      <c r="AA120" s="623"/>
      <c r="AC120" s="249"/>
      <c r="AD120" s="398"/>
      <c r="AU120" s="624"/>
      <c r="AY120" s="624"/>
      <c r="BE120" s="625"/>
      <c r="BF120" s="625"/>
      <c r="BG120" s="625"/>
      <c r="BH120" s="625"/>
      <c r="BI120" s="625"/>
      <c r="BJ120" s="624"/>
      <c r="BK120" s="625"/>
      <c r="BL120" s="624"/>
      <c r="BM120" s="624"/>
    </row>
    <row r="121" spans="1:65" s="249" customFormat="1" ht="30" customHeight="1">
      <c r="A121" s="87"/>
      <c r="B121" s="247"/>
      <c r="C121" s="195" t="s">
        <v>213</v>
      </c>
      <c r="D121" s="195"/>
      <c r="E121" s="195" t="s">
        <v>1279</v>
      </c>
      <c r="F121" s="1054" t="s">
        <v>624</v>
      </c>
      <c r="G121" s="1055"/>
      <c r="H121" s="1055"/>
      <c r="I121" s="1056"/>
      <c r="J121" s="96" t="s">
        <v>198</v>
      </c>
      <c r="K121" s="98">
        <v>8</v>
      </c>
      <c r="L121" s="11"/>
      <c r="M121" s="87"/>
      <c r="N121" s="948">
        <f t="shared" si="0"/>
        <v>0</v>
      </c>
      <c r="O121" s="948"/>
      <c r="P121" s="948"/>
      <c r="Q121" s="948"/>
      <c r="R121" s="248"/>
      <c r="S121" s="87"/>
      <c r="T121" s="483"/>
      <c r="U121" s="221"/>
      <c r="V121" s="408"/>
      <c r="W121" s="408"/>
      <c r="X121" s="408"/>
      <c r="Y121" s="408"/>
      <c r="Z121" s="408"/>
      <c r="AA121" s="409"/>
      <c r="AD121" s="398"/>
      <c r="AU121" s="240"/>
      <c r="AY121" s="240"/>
      <c r="BE121" s="250"/>
      <c r="BF121" s="250"/>
      <c r="BG121" s="250"/>
      <c r="BH121" s="250"/>
      <c r="BI121" s="250"/>
      <c r="BJ121" s="240"/>
      <c r="BK121" s="250"/>
      <c r="BL121" s="240"/>
      <c r="BM121" s="240"/>
    </row>
    <row r="122" spans="1:65" s="191" customFormat="1" ht="30" customHeight="1">
      <c r="A122" s="617"/>
      <c r="B122" s="618"/>
      <c r="C122" s="195" t="s">
        <v>214</v>
      </c>
      <c r="D122" s="556"/>
      <c r="E122" s="195" t="s">
        <v>1280</v>
      </c>
      <c r="F122" s="1001" t="s">
        <v>625</v>
      </c>
      <c r="G122" s="1002"/>
      <c r="H122" s="1002"/>
      <c r="I122" s="1003"/>
      <c r="J122" s="97" t="s">
        <v>198</v>
      </c>
      <c r="K122" s="60">
        <v>8</v>
      </c>
      <c r="L122" s="27"/>
      <c r="M122" s="87"/>
      <c r="N122" s="998">
        <f t="shared" si="0"/>
        <v>0</v>
      </c>
      <c r="O122" s="998"/>
      <c r="P122" s="998"/>
      <c r="Q122" s="998"/>
      <c r="R122" s="619"/>
      <c r="S122" s="617"/>
      <c r="T122" s="620"/>
      <c r="U122" s="621"/>
      <c r="V122" s="622"/>
      <c r="W122" s="622"/>
      <c r="X122" s="622"/>
      <c r="Y122" s="622"/>
      <c r="Z122" s="622"/>
      <c r="AA122" s="623"/>
      <c r="AC122" s="249"/>
      <c r="AD122" s="398"/>
      <c r="AU122" s="624"/>
      <c r="AY122" s="624"/>
      <c r="BE122" s="625"/>
      <c r="BF122" s="625"/>
      <c r="BG122" s="625"/>
      <c r="BH122" s="625"/>
      <c r="BI122" s="625"/>
      <c r="BJ122" s="624"/>
      <c r="BK122" s="625"/>
      <c r="BL122" s="624"/>
      <c r="BM122" s="624"/>
    </row>
    <row r="123" spans="1:65" s="249" customFormat="1" ht="30" customHeight="1">
      <c r="A123" s="87"/>
      <c r="B123" s="247"/>
      <c r="C123" s="195" t="s">
        <v>215</v>
      </c>
      <c r="D123" s="195"/>
      <c r="E123" s="195" t="s">
        <v>1281</v>
      </c>
      <c r="F123" s="1054" t="s">
        <v>626</v>
      </c>
      <c r="G123" s="1055"/>
      <c r="H123" s="1055"/>
      <c r="I123" s="1056"/>
      <c r="J123" s="96" t="s">
        <v>198</v>
      </c>
      <c r="K123" s="95">
        <v>3</v>
      </c>
      <c r="L123" s="11"/>
      <c r="M123" s="87"/>
      <c r="N123" s="948">
        <f>ROUND(L123*K123,2)</f>
        <v>0</v>
      </c>
      <c r="O123" s="948"/>
      <c r="P123" s="948"/>
      <c r="Q123" s="948"/>
      <c r="R123" s="248"/>
      <c r="S123" s="87"/>
      <c r="T123" s="483"/>
      <c r="U123" s="221"/>
      <c r="V123" s="408"/>
      <c r="W123" s="408"/>
      <c r="X123" s="408"/>
      <c r="Y123" s="408"/>
      <c r="Z123" s="408"/>
      <c r="AA123" s="409"/>
      <c r="AD123" s="398"/>
      <c r="AU123" s="240"/>
      <c r="AY123" s="240"/>
      <c r="BE123" s="250"/>
      <c r="BF123" s="250"/>
      <c r="BG123" s="250"/>
      <c r="BH123" s="250"/>
      <c r="BI123" s="250"/>
      <c r="BJ123" s="240"/>
      <c r="BK123" s="250"/>
      <c r="BL123" s="240"/>
      <c r="BM123" s="240"/>
    </row>
    <row r="124" spans="1:65" s="191" customFormat="1" ht="30" customHeight="1">
      <c r="A124" s="617"/>
      <c r="B124" s="618"/>
      <c r="C124" s="195" t="s">
        <v>216</v>
      </c>
      <c r="D124" s="556"/>
      <c r="E124" s="195" t="s">
        <v>1282</v>
      </c>
      <c r="F124" s="1001" t="s">
        <v>627</v>
      </c>
      <c r="G124" s="1002"/>
      <c r="H124" s="1002"/>
      <c r="I124" s="1003"/>
      <c r="J124" s="97" t="s">
        <v>198</v>
      </c>
      <c r="K124" s="60">
        <v>3</v>
      </c>
      <c r="L124" s="27"/>
      <c r="M124" s="87"/>
      <c r="N124" s="998">
        <f>ROUND(L124*K124,2)</f>
        <v>0</v>
      </c>
      <c r="O124" s="998"/>
      <c r="P124" s="998"/>
      <c r="Q124" s="998"/>
      <c r="R124" s="619"/>
      <c r="S124" s="617"/>
      <c r="T124" s="620"/>
      <c r="U124" s="621"/>
      <c r="V124" s="622"/>
      <c r="W124" s="622"/>
      <c r="X124" s="622"/>
      <c r="Y124" s="622"/>
      <c r="Z124" s="622"/>
      <c r="AA124" s="623"/>
      <c r="AC124" s="249"/>
      <c r="AD124" s="398"/>
      <c r="AU124" s="624"/>
      <c r="AY124" s="624"/>
      <c r="BE124" s="625"/>
      <c r="BF124" s="625"/>
      <c r="BG124" s="625"/>
      <c r="BH124" s="625"/>
      <c r="BI124" s="625"/>
      <c r="BJ124" s="624"/>
      <c r="BK124" s="625"/>
      <c r="BL124" s="624"/>
      <c r="BM124" s="624"/>
    </row>
    <row r="125" spans="1:65" s="249" customFormat="1" ht="30" customHeight="1">
      <c r="A125" s="87"/>
      <c r="B125" s="247"/>
      <c r="C125" s="195" t="s">
        <v>217</v>
      </c>
      <c r="D125" s="195"/>
      <c r="E125" s="195" t="s">
        <v>1283</v>
      </c>
      <c r="F125" s="1054" t="s">
        <v>628</v>
      </c>
      <c r="G125" s="1055"/>
      <c r="H125" s="1055"/>
      <c r="I125" s="1056"/>
      <c r="J125" s="96" t="s">
        <v>198</v>
      </c>
      <c r="K125" s="98">
        <v>3</v>
      </c>
      <c r="L125" s="11"/>
      <c r="M125" s="87"/>
      <c r="N125" s="948">
        <f aca="true" t="shared" si="1" ref="N125:N129">ROUND(L125*K125,2)</f>
        <v>0</v>
      </c>
      <c r="O125" s="948"/>
      <c r="P125" s="948"/>
      <c r="Q125" s="948"/>
      <c r="R125" s="248"/>
      <c r="S125" s="87"/>
      <c r="T125" s="483"/>
      <c r="U125" s="221"/>
      <c r="V125" s="408"/>
      <c r="W125" s="408"/>
      <c r="X125" s="408"/>
      <c r="Y125" s="408"/>
      <c r="Z125" s="408"/>
      <c r="AA125" s="409"/>
      <c r="AD125" s="398"/>
      <c r="AU125" s="240"/>
      <c r="AY125" s="240"/>
      <c r="BE125" s="250"/>
      <c r="BF125" s="250"/>
      <c r="BG125" s="250"/>
      <c r="BH125" s="250"/>
      <c r="BI125" s="250"/>
      <c r="BJ125" s="240"/>
      <c r="BK125" s="250"/>
      <c r="BL125" s="240"/>
      <c r="BM125" s="240"/>
    </row>
    <row r="126" spans="1:65" s="191" customFormat="1" ht="30" customHeight="1">
      <c r="A126" s="617"/>
      <c r="B126" s="618"/>
      <c r="C126" s="195" t="s">
        <v>218</v>
      </c>
      <c r="D126" s="556"/>
      <c r="E126" s="195" t="s">
        <v>1284</v>
      </c>
      <c r="F126" s="1001" t="s">
        <v>629</v>
      </c>
      <c r="G126" s="1002"/>
      <c r="H126" s="1002"/>
      <c r="I126" s="1003"/>
      <c r="J126" s="99" t="s">
        <v>198</v>
      </c>
      <c r="K126" s="100">
        <v>3</v>
      </c>
      <c r="L126" s="27"/>
      <c r="M126" s="87"/>
      <c r="N126" s="998">
        <f t="shared" si="1"/>
        <v>0</v>
      </c>
      <c r="O126" s="998"/>
      <c r="P126" s="998"/>
      <c r="Q126" s="998"/>
      <c r="R126" s="619"/>
      <c r="S126" s="617"/>
      <c r="T126" s="620"/>
      <c r="U126" s="621"/>
      <c r="V126" s="622"/>
      <c r="W126" s="622"/>
      <c r="X126" s="622"/>
      <c r="Y126" s="622"/>
      <c r="Z126" s="622"/>
      <c r="AA126" s="623"/>
      <c r="AC126" s="249"/>
      <c r="AD126" s="398"/>
      <c r="AU126" s="624"/>
      <c r="AY126" s="624"/>
      <c r="BE126" s="625"/>
      <c r="BF126" s="625"/>
      <c r="BG126" s="625"/>
      <c r="BH126" s="625"/>
      <c r="BI126" s="625"/>
      <c r="BJ126" s="624"/>
      <c r="BK126" s="625"/>
      <c r="BL126" s="624"/>
      <c r="BM126" s="624"/>
    </row>
    <row r="127" spans="1:65" s="249" customFormat="1" ht="30" customHeight="1">
      <c r="A127" s="87"/>
      <c r="B127" s="247"/>
      <c r="C127" s="195" t="s">
        <v>219</v>
      </c>
      <c r="D127" s="195"/>
      <c r="E127" s="195" t="s">
        <v>1285</v>
      </c>
      <c r="F127" s="1054" t="s">
        <v>630</v>
      </c>
      <c r="G127" s="1055"/>
      <c r="H127" s="1055"/>
      <c r="I127" s="1056"/>
      <c r="J127" s="96" t="s">
        <v>198</v>
      </c>
      <c r="K127" s="98">
        <v>1</v>
      </c>
      <c r="L127" s="11"/>
      <c r="M127" s="87"/>
      <c r="N127" s="948">
        <f t="shared" si="1"/>
        <v>0</v>
      </c>
      <c r="O127" s="948"/>
      <c r="P127" s="948"/>
      <c r="Q127" s="948"/>
      <c r="R127" s="248"/>
      <c r="S127" s="87"/>
      <c r="T127" s="483"/>
      <c r="U127" s="221"/>
      <c r="V127" s="408"/>
      <c r="W127" s="408"/>
      <c r="X127" s="408"/>
      <c r="Y127" s="408"/>
      <c r="Z127" s="408"/>
      <c r="AA127" s="409"/>
      <c r="AD127" s="398"/>
      <c r="AU127" s="240"/>
      <c r="AY127" s="240"/>
      <c r="BE127" s="250"/>
      <c r="BF127" s="250"/>
      <c r="BG127" s="250"/>
      <c r="BH127" s="250"/>
      <c r="BI127" s="250"/>
      <c r="BJ127" s="240"/>
      <c r="BK127" s="250"/>
      <c r="BL127" s="240"/>
      <c r="BM127" s="240"/>
    </row>
    <row r="128" spans="1:65" s="191" customFormat="1" ht="30" customHeight="1">
      <c r="A128" s="617"/>
      <c r="B128" s="618"/>
      <c r="C128" s="195" t="s">
        <v>220</v>
      </c>
      <c r="D128" s="556"/>
      <c r="E128" s="195" t="s">
        <v>1286</v>
      </c>
      <c r="F128" s="1001" t="s">
        <v>631</v>
      </c>
      <c r="G128" s="1002"/>
      <c r="H128" s="1002"/>
      <c r="I128" s="1003"/>
      <c r="J128" s="97" t="s">
        <v>198</v>
      </c>
      <c r="K128" s="60">
        <v>1</v>
      </c>
      <c r="L128" s="27"/>
      <c r="M128" s="87"/>
      <c r="N128" s="998">
        <f t="shared" si="1"/>
        <v>0</v>
      </c>
      <c r="O128" s="998"/>
      <c r="P128" s="998"/>
      <c r="Q128" s="998"/>
      <c r="R128" s="619"/>
      <c r="S128" s="617"/>
      <c r="T128" s="620"/>
      <c r="U128" s="621"/>
      <c r="V128" s="622"/>
      <c r="W128" s="622"/>
      <c r="X128" s="622"/>
      <c r="Y128" s="622"/>
      <c r="Z128" s="622"/>
      <c r="AA128" s="623"/>
      <c r="AC128" s="249"/>
      <c r="AD128" s="398"/>
      <c r="AU128" s="624"/>
      <c r="AY128" s="624"/>
      <c r="BE128" s="625"/>
      <c r="BF128" s="625"/>
      <c r="BG128" s="625"/>
      <c r="BH128" s="625"/>
      <c r="BI128" s="625"/>
      <c r="BJ128" s="624"/>
      <c r="BK128" s="625"/>
      <c r="BL128" s="624"/>
      <c r="BM128" s="624"/>
    </row>
    <row r="129" spans="1:65" s="191" customFormat="1" ht="39.6" customHeight="1">
      <c r="A129" s="745"/>
      <c r="B129" s="746"/>
      <c r="C129" s="718" t="s">
        <v>221</v>
      </c>
      <c r="D129" s="747"/>
      <c r="E129" s="718" t="s">
        <v>1290</v>
      </c>
      <c r="F129" s="1094" t="s">
        <v>1288</v>
      </c>
      <c r="G129" s="1094"/>
      <c r="H129" s="1094"/>
      <c r="I129" s="1094"/>
      <c r="J129" s="113" t="s">
        <v>2227</v>
      </c>
      <c r="K129" s="114">
        <v>1</v>
      </c>
      <c r="L129" s="115"/>
      <c r="M129" s="721"/>
      <c r="N129" s="1105">
        <f t="shared" si="1"/>
        <v>0</v>
      </c>
      <c r="O129" s="1105"/>
      <c r="P129" s="1105"/>
      <c r="Q129" s="1105"/>
      <c r="R129" s="619"/>
      <c r="S129" s="617"/>
      <c r="T129" s="679"/>
      <c r="U129" s="621"/>
      <c r="V129" s="622"/>
      <c r="W129" s="622"/>
      <c r="X129" s="622"/>
      <c r="Y129" s="622"/>
      <c r="Z129" s="622"/>
      <c r="AA129" s="623"/>
      <c r="AC129" s="250"/>
      <c r="AD129" s="398"/>
      <c r="AU129" s="624"/>
      <c r="AY129" s="624"/>
      <c r="BE129" s="625"/>
      <c r="BF129" s="625"/>
      <c r="BG129" s="625"/>
      <c r="BH129" s="625"/>
      <c r="BI129" s="625"/>
      <c r="BJ129" s="624"/>
      <c r="BK129" s="625"/>
      <c r="BL129" s="624"/>
      <c r="BM129" s="624"/>
    </row>
    <row r="130" spans="1:65" s="249" customFormat="1" ht="39.6" customHeight="1">
      <c r="A130" s="87"/>
      <c r="B130" s="247"/>
      <c r="C130" s="195" t="s">
        <v>222</v>
      </c>
      <c r="D130" s="195"/>
      <c r="E130" s="195" t="s">
        <v>1289</v>
      </c>
      <c r="F130" s="965" t="s">
        <v>248</v>
      </c>
      <c r="G130" s="965"/>
      <c r="H130" s="965"/>
      <c r="I130" s="965"/>
      <c r="J130" s="94" t="s">
        <v>133</v>
      </c>
      <c r="K130" s="95">
        <f>K116</f>
        <v>36.870000000000005</v>
      </c>
      <c r="L130" s="11"/>
      <c r="M130" s="87"/>
      <c r="N130" s="948">
        <f>ROUND(L130*K130,2)</f>
        <v>0</v>
      </c>
      <c r="O130" s="948"/>
      <c r="P130" s="948"/>
      <c r="Q130" s="948"/>
      <c r="R130" s="248"/>
      <c r="S130" s="87"/>
      <c r="T130" s="89"/>
      <c r="U130" s="221"/>
      <c r="V130" s="408"/>
      <c r="W130" s="408"/>
      <c r="X130" s="408"/>
      <c r="Y130" s="408"/>
      <c r="Z130" s="408"/>
      <c r="AA130" s="409"/>
      <c r="AD130" s="398"/>
      <c r="AU130" s="240"/>
      <c r="AY130" s="240"/>
      <c r="BE130" s="250"/>
      <c r="BF130" s="250"/>
      <c r="BG130" s="250"/>
      <c r="BH130" s="250"/>
      <c r="BI130" s="250"/>
      <c r="BJ130" s="240"/>
      <c r="BK130" s="250"/>
      <c r="BL130" s="240"/>
      <c r="BM130" s="240"/>
    </row>
    <row r="131" spans="1:65" s="191" customFormat="1" ht="39.6" customHeight="1">
      <c r="A131" s="617"/>
      <c r="B131" s="618"/>
      <c r="C131" s="195" t="s">
        <v>223</v>
      </c>
      <c r="D131" s="556"/>
      <c r="E131" s="195" t="s">
        <v>1291</v>
      </c>
      <c r="F131" s="1000" t="s">
        <v>651</v>
      </c>
      <c r="G131" s="1000"/>
      <c r="H131" s="1000"/>
      <c r="I131" s="1000"/>
      <c r="J131" s="101" t="s">
        <v>133</v>
      </c>
      <c r="K131" s="60">
        <f>K117+K118</f>
        <v>43.637</v>
      </c>
      <c r="L131" s="27"/>
      <c r="M131" s="87"/>
      <c r="N131" s="998">
        <f>ROUND(L131*K131,2)</f>
        <v>0</v>
      </c>
      <c r="O131" s="998"/>
      <c r="P131" s="998"/>
      <c r="Q131" s="998"/>
      <c r="R131" s="619"/>
      <c r="S131" s="617"/>
      <c r="T131" s="679"/>
      <c r="U131" s="621"/>
      <c r="V131" s="622"/>
      <c r="W131" s="622"/>
      <c r="X131" s="622"/>
      <c r="Y131" s="622"/>
      <c r="Z131" s="622"/>
      <c r="AA131" s="623"/>
      <c r="AC131" s="249"/>
      <c r="AD131" s="398"/>
      <c r="AU131" s="624"/>
      <c r="AY131" s="624"/>
      <c r="BE131" s="625"/>
      <c r="BF131" s="625"/>
      <c r="BG131" s="625"/>
      <c r="BH131" s="625"/>
      <c r="BI131" s="625"/>
      <c r="BJ131" s="624"/>
      <c r="BK131" s="625"/>
      <c r="BL131" s="624"/>
      <c r="BM131" s="624"/>
    </row>
    <row r="132" spans="1:65" s="249" customFormat="1" ht="39.6" customHeight="1">
      <c r="A132" s="87"/>
      <c r="B132" s="247"/>
      <c r="C132" s="195" t="s">
        <v>225</v>
      </c>
      <c r="D132" s="195"/>
      <c r="E132" s="195" t="s">
        <v>1292</v>
      </c>
      <c r="F132" s="999" t="s">
        <v>247</v>
      </c>
      <c r="G132" s="999"/>
      <c r="H132" s="999"/>
      <c r="I132" s="999"/>
      <c r="J132" s="102" t="s">
        <v>131</v>
      </c>
      <c r="K132" s="43">
        <v>1</v>
      </c>
      <c r="L132" s="21"/>
      <c r="M132" s="87"/>
      <c r="N132" s="948">
        <f>ROUND(L132*K132,2)</f>
        <v>0</v>
      </c>
      <c r="O132" s="948"/>
      <c r="P132" s="948"/>
      <c r="Q132" s="948"/>
      <c r="R132" s="248"/>
      <c r="S132" s="87"/>
      <c r="T132" s="89"/>
      <c r="U132" s="221"/>
      <c r="V132" s="408"/>
      <c r="W132" s="408"/>
      <c r="X132" s="408"/>
      <c r="Y132" s="408"/>
      <c r="Z132" s="408"/>
      <c r="AA132" s="409"/>
      <c r="AD132" s="398"/>
      <c r="AU132" s="240"/>
      <c r="AY132" s="240"/>
      <c r="BE132" s="250"/>
      <c r="BF132" s="250"/>
      <c r="BG132" s="250"/>
      <c r="BH132" s="250"/>
      <c r="BI132" s="250"/>
      <c r="BJ132" s="240"/>
      <c r="BK132" s="250"/>
      <c r="BL132" s="240"/>
      <c r="BM132" s="240"/>
    </row>
    <row r="133" spans="1:65" s="716" customFormat="1" ht="39.6" customHeight="1">
      <c r="A133" s="721"/>
      <c r="B133" s="717"/>
      <c r="C133" s="718" t="s">
        <v>226</v>
      </c>
      <c r="D133" s="718"/>
      <c r="E133" s="718" t="s">
        <v>1293</v>
      </c>
      <c r="F133" s="954" t="s">
        <v>206</v>
      </c>
      <c r="G133" s="954"/>
      <c r="H133" s="954"/>
      <c r="I133" s="954"/>
      <c r="J133" s="103" t="s">
        <v>2227</v>
      </c>
      <c r="K133" s="104">
        <v>1</v>
      </c>
      <c r="L133" s="36"/>
      <c r="M133" s="87"/>
      <c r="N133" s="1009">
        <f aca="true" t="shared" si="2" ref="N133:N134">ROUND(L133*K133,2)</f>
        <v>0</v>
      </c>
      <c r="O133" s="1009"/>
      <c r="P133" s="1009"/>
      <c r="Q133" s="1009"/>
      <c r="R133" s="719"/>
      <c r="S133" s="721"/>
      <c r="T133" s="748"/>
      <c r="U133" s="726"/>
      <c r="V133" s="727"/>
      <c r="W133" s="727"/>
      <c r="X133" s="727"/>
      <c r="Y133" s="727"/>
      <c r="Z133" s="727"/>
      <c r="AA133" s="728"/>
      <c r="AD133" s="749"/>
      <c r="AU133" s="724"/>
      <c r="AY133" s="724"/>
      <c r="BE133" s="729"/>
      <c r="BF133" s="729"/>
      <c r="BG133" s="729"/>
      <c r="BH133" s="729"/>
      <c r="BI133" s="729"/>
      <c r="BJ133" s="724"/>
      <c r="BK133" s="729"/>
      <c r="BL133" s="724"/>
      <c r="BM133" s="724"/>
    </row>
    <row r="134" spans="1:65" s="716" customFormat="1" ht="39.6" customHeight="1">
      <c r="A134" s="721"/>
      <c r="B134" s="717"/>
      <c r="C134" s="718" t="s">
        <v>227</v>
      </c>
      <c r="D134" s="718"/>
      <c r="E134" s="718" t="s">
        <v>1294</v>
      </c>
      <c r="F134" s="954" t="s">
        <v>2226</v>
      </c>
      <c r="G134" s="954"/>
      <c r="H134" s="954"/>
      <c r="I134" s="954"/>
      <c r="J134" s="103" t="s">
        <v>2227</v>
      </c>
      <c r="K134" s="104">
        <v>1</v>
      </c>
      <c r="L134" s="36"/>
      <c r="M134" s="87"/>
      <c r="N134" s="1009">
        <f t="shared" si="2"/>
        <v>0</v>
      </c>
      <c r="O134" s="1009"/>
      <c r="P134" s="1009"/>
      <c r="Q134" s="1009"/>
      <c r="R134" s="719"/>
      <c r="S134" s="721"/>
      <c r="T134" s="748"/>
      <c r="U134" s="726"/>
      <c r="V134" s="727"/>
      <c r="W134" s="727"/>
      <c r="X134" s="727"/>
      <c r="Y134" s="727"/>
      <c r="Z134" s="727"/>
      <c r="AA134" s="728"/>
      <c r="AD134" s="749"/>
      <c r="AU134" s="724"/>
      <c r="AY134" s="724"/>
      <c r="BE134" s="729"/>
      <c r="BF134" s="729"/>
      <c r="BG134" s="729"/>
      <c r="BH134" s="729"/>
      <c r="BI134" s="729"/>
      <c r="BJ134" s="724"/>
      <c r="BK134" s="729"/>
      <c r="BL134" s="724"/>
      <c r="BM134" s="724"/>
    </row>
    <row r="135" spans="1:63" s="398" customFormat="1" ht="37.35" customHeight="1">
      <c r="A135" s="181"/>
      <c r="B135" s="399"/>
      <c r="C135" s="181"/>
      <c r="D135" s="105" t="s">
        <v>632</v>
      </c>
      <c r="E135" s="105"/>
      <c r="F135" s="105"/>
      <c r="G135" s="105"/>
      <c r="H135" s="105"/>
      <c r="I135" s="105"/>
      <c r="J135" s="105"/>
      <c r="K135" s="106"/>
      <c r="L135" s="532"/>
      <c r="M135" s="87"/>
      <c r="N135" s="481"/>
      <c r="O135" s="482"/>
      <c r="P135" s="482"/>
      <c r="Q135" s="482"/>
      <c r="R135" s="400"/>
      <c r="S135" s="181"/>
      <c r="T135" s="181"/>
      <c r="U135" s="181"/>
      <c r="V135" s="181"/>
      <c r="W135" s="402"/>
      <c r="X135" s="181"/>
      <c r="Y135" s="402"/>
      <c r="Z135" s="181"/>
      <c r="AA135" s="403"/>
      <c r="AC135" s="249"/>
      <c r="AU135" s="405"/>
      <c r="AY135" s="404"/>
      <c r="BK135" s="406"/>
    </row>
    <row r="136" spans="1:65" s="249" customFormat="1" ht="30" customHeight="1">
      <c r="A136" s="87"/>
      <c r="B136" s="247"/>
      <c r="C136" s="195" t="s">
        <v>228</v>
      </c>
      <c r="D136" s="195"/>
      <c r="E136" s="195" t="s">
        <v>1274</v>
      </c>
      <c r="F136" s="999" t="s">
        <v>249</v>
      </c>
      <c r="G136" s="999"/>
      <c r="H136" s="999"/>
      <c r="I136" s="999"/>
      <c r="J136" s="94" t="s">
        <v>131</v>
      </c>
      <c r="K136" s="95">
        <v>1</v>
      </c>
      <c r="L136" s="11"/>
      <c r="M136" s="87"/>
      <c r="N136" s="948">
        <f>ROUND(L136*K136,2)</f>
        <v>0</v>
      </c>
      <c r="O136" s="948"/>
      <c r="P136" s="948"/>
      <c r="Q136" s="948"/>
      <c r="R136" s="248"/>
      <c r="S136" s="87"/>
      <c r="T136" s="483"/>
      <c r="U136" s="221"/>
      <c r="V136" s="408"/>
      <c r="W136" s="408"/>
      <c r="X136" s="408"/>
      <c r="Y136" s="408"/>
      <c r="Z136" s="408"/>
      <c r="AA136" s="409"/>
      <c r="AD136" s="398"/>
      <c r="AU136" s="240"/>
      <c r="AY136" s="240"/>
      <c r="BE136" s="250"/>
      <c r="BF136" s="250"/>
      <c r="BG136" s="250"/>
      <c r="BH136" s="250"/>
      <c r="BI136" s="250"/>
      <c r="BJ136" s="240"/>
      <c r="BK136" s="250"/>
      <c r="BL136" s="240"/>
      <c r="BM136" s="240"/>
    </row>
    <row r="137" spans="1:65" s="249" customFormat="1" ht="30" customHeight="1">
      <c r="A137" s="87"/>
      <c r="B137" s="247"/>
      <c r="C137" s="195" t="s">
        <v>229</v>
      </c>
      <c r="D137" s="195"/>
      <c r="E137" s="195" t="s">
        <v>1273</v>
      </c>
      <c r="F137" s="1054" t="s">
        <v>619</v>
      </c>
      <c r="G137" s="1055"/>
      <c r="H137" s="1055"/>
      <c r="I137" s="1056"/>
      <c r="J137" s="96" t="s">
        <v>133</v>
      </c>
      <c r="K137" s="95">
        <f>(1.77+2.15+0.3+1.77+1.07+0.2+1.7+0.3*5)*3+(1.7+0.6+1.7+0.3*5+5.1)*3</f>
        <v>63.18</v>
      </c>
      <c r="L137" s="11"/>
      <c r="M137" s="87"/>
      <c r="N137" s="948">
        <f>ROUND(L137*K137,2)</f>
        <v>0</v>
      </c>
      <c r="O137" s="948"/>
      <c r="P137" s="948"/>
      <c r="Q137" s="948"/>
      <c r="R137" s="248"/>
      <c r="S137" s="87"/>
      <c r="T137" s="483"/>
      <c r="U137" s="221"/>
      <c r="V137" s="408"/>
      <c r="W137" s="408"/>
      <c r="X137" s="408"/>
      <c r="Y137" s="408"/>
      <c r="Z137" s="408"/>
      <c r="AA137" s="409"/>
      <c r="AD137" s="398"/>
      <c r="AU137" s="240"/>
      <c r="AY137" s="240"/>
      <c r="BE137" s="250"/>
      <c r="BF137" s="250"/>
      <c r="BG137" s="250"/>
      <c r="BH137" s="250"/>
      <c r="BI137" s="250"/>
      <c r="BJ137" s="240"/>
      <c r="BK137" s="250"/>
      <c r="BL137" s="240"/>
      <c r="BM137" s="240"/>
    </row>
    <row r="138" spans="1:65" s="191" customFormat="1" ht="30" customHeight="1">
      <c r="A138" s="617"/>
      <c r="B138" s="618"/>
      <c r="C138" s="195" t="s">
        <v>230</v>
      </c>
      <c r="D138" s="556"/>
      <c r="E138" s="195" t="s">
        <v>1275</v>
      </c>
      <c r="F138" s="1000" t="s">
        <v>620</v>
      </c>
      <c r="G138" s="1000"/>
      <c r="H138" s="1000"/>
      <c r="I138" s="1000"/>
      <c r="J138" s="97" t="s">
        <v>133</v>
      </c>
      <c r="K138" s="60">
        <f>((1.77+2.15+0.3+1.77+1.07+0.2+1.7+0.3*5)*3)*1.1</f>
        <v>34.51800000000001</v>
      </c>
      <c r="L138" s="27"/>
      <c r="M138" s="87"/>
      <c r="N138" s="998">
        <f aca="true" t="shared" si="3" ref="N138:N143">ROUND(L138*K138,2)</f>
        <v>0</v>
      </c>
      <c r="O138" s="998"/>
      <c r="P138" s="998"/>
      <c r="Q138" s="998"/>
      <c r="R138" s="619"/>
      <c r="S138" s="617"/>
      <c r="T138" s="620"/>
      <c r="U138" s="621"/>
      <c r="V138" s="622"/>
      <c r="W138" s="622"/>
      <c r="X138" s="622"/>
      <c r="Y138" s="622"/>
      <c r="Z138" s="622"/>
      <c r="AA138" s="623"/>
      <c r="AC138" s="249"/>
      <c r="AD138" s="398"/>
      <c r="AU138" s="624"/>
      <c r="AY138" s="624"/>
      <c r="BE138" s="625"/>
      <c r="BF138" s="625"/>
      <c r="BG138" s="625"/>
      <c r="BH138" s="625"/>
      <c r="BI138" s="625"/>
      <c r="BJ138" s="624"/>
      <c r="BK138" s="625"/>
      <c r="BL138" s="624"/>
      <c r="BM138" s="624"/>
    </row>
    <row r="139" spans="1:65" s="191" customFormat="1" ht="30" customHeight="1">
      <c r="A139" s="617"/>
      <c r="B139" s="618"/>
      <c r="C139" s="195" t="s">
        <v>231</v>
      </c>
      <c r="D139" s="556"/>
      <c r="E139" s="195" t="s">
        <v>1276</v>
      </c>
      <c r="F139" s="1000" t="s">
        <v>621</v>
      </c>
      <c r="G139" s="1000"/>
      <c r="H139" s="1000"/>
      <c r="I139" s="1000"/>
      <c r="J139" s="97" t="s">
        <v>133</v>
      </c>
      <c r="K139" s="60">
        <f>((1.7+0.6+1.7+0.3*5+5.1)*3)*1.1</f>
        <v>34.98</v>
      </c>
      <c r="L139" s="27"/>
      <c r="M139" s="87"/>
      <c r="N139" s="998">
        <f t="shared" si="3"/>
        <v>0</v>
      </c>
      <c r="O139" s="998"/>
      <c r="P139" s="998"/>
      <c r="Q139" s="998"/>
      <c r="R139" s="619"/>
      <c r="S139" s="617"/>
      <c r="T139" s="620"/>
      <c r="U139" s="621"/>
      <c r="V139" s="622"/>
      <c r="W139" s="622"/>
      <c r="X139" s="622"/>
      <c r="Y139" s="622"/>
      <c r="Z139" s="622"/>
      <c r="AA139" s="623"/>
      <c r="AC139" s="249"/>
      <c r="AD139" s="398"/>
      <c r="AU139" s="624"/>
      <c r="AY139" s="624"/>
      <c r="BE139" s="625"/>
      <c r="BF139" s="625"/>
      <c r="BG139" s="625"/>
      <c r="BH139" s="625"/>
      <c r="BI139" s="625"/>
      <c r="BJ139" s="624"/>
      <c r="BK139" s="625"/>
      <c r="BL139" s="624"/>
      <c r="BM139" s="624"/>
    </row>
    <row r="140" spans="1:65" s="249" customFormat="1" ht="30" customHeight="1">
      <c r="A140" s="87"/>
      <c r="B140" s="247"/>
      <c r="C140" s="195" t="s">
        <v>232</v>
      </c>
      <c r="D140" s="195"/>
      <c r="E140" s="195" t="s">
        <v>1277</v>
      </c>
      <c r="F140" s="960" t="s">
        <v>622</v>
      </c>
      <c r="G140" s="960"/>
      <c r="H140" s="960"/>
      <c r="I140" s="960"/>
      <c r="J140" s="96" t="s">
        <v>198</v>
      </c>
      <c r="K140" s="95">
        <v>9</v>
      </c>
      <c r="L140" s="11"/>
      <c r="M140" s="87"/>
      <c r="N140" s="948">
        <f t="shared" si="3"/>
        <v>0</v>
      </c>
      <c r="O140" s="948"/>
      <c r="P140" s="948"/>
      <c r="Q140" s="948"/>
      <c r="R140" s="248"/>
      <c r="S140" s="87"/>
      <c r="T140" s="483"/>
      <c r="U140" s="221"/>
      <c r="V140" s="408"/>
      <c r="W140" s="408"/>
      <c r="X140" s="408"/>
      <c r="Y140" s="408"/>
      <c r="Z140" s="408"/>
      <c r="AA140" s="409"/>
      <c r="AD140" s="398"/>
      <c r="AU140" s="240"/>
      <c r="AY140" s="240"/>
      <c r="BE140" s="250"/>
      <c r="BF140" s="250"/>
      <c r="BG140" s="250"/>
      <c r="BH140" s="250"/>
      <c r="BI140" s="250"/>
      <c r="BJ140" s="240"/>
      <c r="BK140" s="250"/>
      <c r="BL140" s="240"/>
      <c r="BM140" s="240"/>
    </row>
    <row r="141" spans="1:65" s="191" customFormat="1" ht="30" customHeight="1">
      <c r="A141" s="617"/>
      <c r="B141" s="618"/>
      <c r="C141" s="195" t="s">
        <v>233</v>
      </c>
      <c r="D141" s="556"/>
      <c r="E141" s="195" t="s">
        <v>1278</v>
      </c>
      <c r="F141" s="1001" t="s">
        <v>623</v>
      </c>
      <c r="G141" s="1002"/>
      <c r="H141" s="1002"/>
      <c r="I141" s="1003"/>
      <c r="J141" s="97" t="s">
        <v>198</v>
      </c>
      <c r="K141" s="60">
        <v>9</v>
      </c>
      <c r="L141" s="27"/>
      <c r="M141" s="87"/>
      <c r="N141" s="998">
        <f t="shared" si="3"/>
        <v>0</v>
      </c>
      <c r="O141" s="998"/>
      <c r="P141" s="998"/>
      <c r="Q141" s="998"/>
      <c r="R141" s="619"/>
      <c r="S141" s="617"/>
      <c r="T141" s="620"/>
      <c r="U141" s="621"/>
      <c r="V141" s="622"/>
      <c r="W141" s="622"/>
      <c r="X141" s="622"/>
      <c r="Y141" s="622"/>
      <c r="Z141" s="622"/>
      <c r="AA141" s="623"/>
      <c r="AC141" s="249"/>
      <c r="AD141" s="398"/>
      <c r="AU141" s="624"/>
      <c r="AY141" s="624"/>
      <c r="BE141" s="625"/>
      <c r="BF141" s="625"/>
      <c r="BG141" s="625"/>
      <c r="BH141" s="625"/>
      <c r="BI141" s="625"/>
      <c r="BJ141" s="624"/>
      <c r="BK141" s="625"/>
      <c r="BL141" s="624"/>
      <c r="BM141" s="624"/>
    </row>
    <row r="142" spans="1:65" s="249" customFormat="1" ht="30" customHeight="1">
      <c r="A142" s="87"/>
      <c r="B142" s="247"/>
      <c r="C142" s="195" t="s">
        <v>234</v>
      </c>
      <c r="D142" s="195"/>
      <c r="E142" s="195" t="s">
        <v>1279</v>
      </c>
      <c r="F142" s="1054" t="s">
        <v>624</v>
      </c>
      <c r="G142" s="1055"/>
      <c r="H142" s="1055"/>
      <c r="I142" s="1056"/>
      <c r="J142" s="96" t="s">
        <v>198</v>
      </c>
      <c r="K142" s="95">
        <v>12</v>
      </c>
      <c r="L142" s="11"/>
      <c r="M142" s="87"/>
      <c r="N142" s="948">
        <f t="shared" si="3"/>
        <v>0</v>
      </c>
      <c r="O142" s="948"/>
      <c r="P142" s="948"/>
      <c r="Q142" s="948"/>
      <c r="R142" s="248"/>
      <c r="S142" s="87"/>
      <c r="T142" s="483"/>
      <c r="U142" s="221"/>
      <c r="V142" s="408"/>
      <c r="W142" s="408"/>
      <c r="X142" s="408"/>
      <c r="Y142" s="408"/>
      <c r="Z142" s="408"/>
      <c r="AA142" s="409"/>
      <c r="AD142" s="398"/>
      <c r="AU142" s="240"/>
      <c r="AY142" s="240"/>
      <c r="BE142" s="250"/>
      <c r="BF142" s="250"/>
      <c r="BG142" s="250"/>
      <c r="BH142" s="250"/>
      <c r="BI142" s="250"/>
      <c r="BJ142" s="240"/>
      <c r="BK142" s="250"/>
      <c r="BL142" s="240"/>
      <c r="BM142" s="240"/>
    </row>
    <row r="143" spans="1:65" s="191" customFormat="1" ht="30" customHeight="1">
      <c r="A143" s="617"/>
      <c r="B143" s="618"/>
      <c r="C143" s="195" t="s">
        <v>235</v>
      </c>
      <c r="D143" s="556"/>
      <c r="E143" s="195" t="s">
        <v>1280</v>
      </c>
      <c r="F143" s="1001" t="s">
        <v>625</v>
      </c>
      <c r="G143" s="1002"/>
      <c r="H143" s="1002"/>
      <c r="I143" s="1003"/>
      <c r="J143" s="97" t="s">
        <v>198</v>
      </c>
      <c r="K143" s="60">
        <v>12</v>
      </c>
      <c r="L143" s="27"/>
      <c r="M143" s="87"/>
      <c r="N143" s="998">
        <f t="shared" si="3"/>
        <v>0</v>
      </c>
      <c r="O143" s="998"/>
      <c r="P143" s="998"/>
      <c r="Q143" s="998"/>
      <c r="R143" s="619"/>
      <c r="S143" s="617"/>
      <c r="T143" s="620"/>
      <c r="U143" s="621"/>
      <c r="V143" s="622"/>
      <c r="W143" s="622"/>
      <c r="X143" s="622"/>
      <c r="Y143" s="622"/>
      <c r="Z143" s="622"/>
      <c r="AA143" s="623"/>
      <c r="AC143" s="249"/>
      <c r="AD143" s="398"/>
      <c r="AU143" s="624"/>
      <c r="AY143" s="624"/>
      <c r="BE143" s="625"/>
      <c r="BF143" s="625"/>
      <c r="BG143" s="625"/>
      <c r="BH143" s="625"/>
      <c r="BI143" s="625"/>
      <c r="BJ143" s="624"/>
      <c r="BK143" s="625"/>
      <c r="BL143" s="624"/>
      <c r="BM143" s="624"/>
    </row>
    <row r="144" spans="1:65" s="249" customFormat="1" ht="30" customHeight="1">
      <c r="A144" s="87"/>
      <c r="B144" s="247"/>
      <c r="C144" s="195" t="s">
        <v>769</v>
      </c>
      <c r="D144" s="195"/>
      <c r="E144" s="195" t="s">
        <v>1281</v>
      </c>
      <c r="F144" s="1054" t="s">
        <v>626</v>
      </c>
      <c r="G144" s="1055"/>
      <c r="H144" s="1055"/>
      <c r="I144" s="1056"/>
      <c r="J144" s="96" t="s">
        <v>198</v>
      </c>
      <c r="K144" s="95">
        <v>4</v>
      </c>
      <c r="L144" s="11"/>
      <c r="M144" s="87"/>
      <c r="N144" s="948">
        <f aca="true" t="shared" si="4" ref="N144:N155">ROUND(L144*K144,2)</f>
        <v>0</v>
      </c>
      <c r="O144" s="948"/>
      <c r="P144" s="948"/>
      <c r="Q144" s="948"/>
      <c r="R144" s="248"/>
      <c r="S144" s="87"/>
      <c r="T144" s="483"/>
      <c r="U144" s="221"/>
      <c r="V144" s="408"/>
      <c r="W144" s="408"/>
      <c r="X144" s="408"/>
      <c r="Y144" s="408"/>
      <c r="Z144" s="408"/>
      <c r="AA144" s="409"/>
      <c r="AD144" s="398"/>
      <c r="AU144" s="240"/>
      <c r="AY144" s="240"/>
      <c r="BE144" s="250"/>
      <c r="BF144" s="250"/>
      <c r="BG144" s="250"/>
      <c r="BH144" s="250"/>
      <c r="BI144" s="250"/>
      <c r="BJ144" s="240"/>
      <c r="BK144" s="250"/>
      <c r="BL144" s="240"/>
      <c r="BM144" s="240"/>
    </row>
    <row r="145" spans="1:65" s="191" customFormat="1" ht="30" customHeight="1">
      <c r="A145" s="617"/>
      <c r="B145" s="618"/>
      <c r="C145" s="195" t="s">
        <v>770</v>
      </c>
      <c r="D145" s="556"/>
      <c r="E145" s="195" t="s">
        <v>1282</v>
      </c>
      <c r="F145" s="1001" t="s">
        <v>627</v>
      </c>
      <c r="G145" s="1002"/>
      <c r="H145" s="1002"/>
      <c r="I145" s="1003"/>
      <c r="J145" s="97" t="s">
        <v>198</v>
      </c>
      <c r="K145" s="60">
        <v>4</v>
      </c>
      <c r="L145" s="27"/>
      <c r="M145" s="87"/>
      <c r="N145" s="998">
        <f t="shared" si="4"/>
        <v>0</v>
      </c>
      <c r="O145" s="998"/>
      <c r="P145" s="998"/>
      <c r="Q145" s="998"/>
      <c r="R145" s="619"/>
      <c r="S145" s="617"/>
      <c r="T145" s="620"/>
      <c r="U145" s="621"/>
      <c r="V145" s="622"/>
      <c r="W145" s="622"/>
      <c r="X145" s="622"/>
      <c r="Y145" s="622"/>
      <c r="Z145" s="622"/>
      <c r="AA145" s="623"/>
      <c r="AC145" s="249"/>
      <c r="AD145" s="398"/>
      <c r="AU145" s="624"/>
      <c r="AY145" s="624"/>
      <c r="BE145" s="625"/>
      <c r="BF145" s="625"/>
      <c r="BG145" s="625"/>
      <c r="BH145" s="625"/>
      <c r="BI145" s="625"/>
      <c r="BJ145" s="624"/>
      <c r="BK145" s="625"/>
      <c r="BL145" s="624"/>
      <c r="BM145" s="624"/>
    </row>
    <row r="146" spans="1:65" s="249" customFormat="1" ht="30" customHeight="1">
      <c r="A146" s="87"/>
      <c r="B146" s="247"/>
      <c r="C146" s="195" t="s">
        <v>771</v>
      </c>
      <c r="D146" s="195"/>
      <c r="E146" s="195" t="s">
        <v>1283</v>
      </c>
      <c r="F146" s="1054" t="s">
        <v>628</v>
      </c>
      <c r="G146" s="1055"/>
      <c r="H146" s="1055"/>
      <c r="I146" s="1056"/>
      <c r="J146" s="96" t="s">
        <v>198</v>
      </c>
      <c r="K146" s="95">
        <v>4</v>
      </c>
      <c r="L146" s="11"/>
      <c r="M146" s="87"/>
      <c r="N146" s="948">
        <f t="shared" si="4"/>
        <v>0</v>
      </c>
      <c r="O146" s="948"/>
      <c r="P146" s="948"/>
      <c r="Q146" s="948"/>
      <c r="R146" s="248"/>
      <c r="S146" s="87"/>
      <c r="T146" s="483"/>
      <c r="U146" s="221"/>
      <c r="V146" s="408"/>
      <c r="W146" s="408"/>
      <c r="X146" s="408"/>
      <c r="Y146" s="408"/>
      <c r="Z146" s="408"/>
      <c r="AA146" s="409"/>
      <c r="AD146" s="398"/>
      <c r="AU146" s="240"/>
      <c r="AY146" s="240"/>
      <c r="BE146" s="250"/>
      <c r="BF146" s="250"/>
      <c r="BG146" s="250"/>
      <c r="BH146" s="250"/>
      <c r="BI146" s="250"/>
      <c r="BJ146" s="240"/>
      <c r="BK146" s="250"/>
      <c r="BL146" s="240"/>
      <c r="BM146" s="240"/>
    </row>
    <row r="147" spans="1:65" s="191" customFormat="1" ht="30" customHeight="1">
      <c r="A147" s="617"/>
      <c r="B147" s="618"/>
      <c r="C147" s="195" t="s">
        <v>772</v>
      </c>
      <c r="D147" s="556"/>
      <c r="E147" s="195" t="s">
        <v>1284</v>
      </c>
      <c r="F147" s="1001" t="s">
        <v>629</v>
      </c>
      <c r="G147" s="1002"/>
      <c r="H147" s="1002"/>
      <c r="I147" s="1003"/>
      <c r="J147" s="99" t="s">
        <v>198</v>
      </c>
      <c r="K147" s="60">
        <v>4</v>
      </c>
      <c r="L147" s="27"/>
      <c r="M147" s="87"/>
      <c r="N147" s="998">
        <f t="shared" si="4"/>
        <v>0</v>
      </c>
      <c r="O147" s="998"/>
      <c r="P147" s="998"/>
      <c r="Q147" s="998"/>
      <c r="R147" s="619"/>
      <c r="S147" s="617"/>
      <c r="T147" s="620"/>
      <c r="U147" s="621"/>
      <c r="V147" s="622"/>
      <c r="W147" s="622"/>
      <c r="X147" s="622"/>
      <c r="Y147" s="622"/>
      <c r="Z147" s="622"/>
      <c r="AA147" s="623"/>
      <c r="AC147" s="249"/>
      <c r="AD147" s="398"/>
      <c r="AU147" s="624"/>
      <c r="AY147" s="624"/>
      <c r="BE147" s="625"/>
      <c r="BF147" s="625"/>
      <c r="BG147" s="625"/>
      <c r="BH147" s="625"/>
      <c r="BI147" s="625"/>
      <c r="BJ147" s="624"/>
      <c r="BK147" s="625"/>
      <c r="BL147" s="624"/>
      <c r="BM147" s="624"/>
    </row>
    <row r="148" spans="1:65" s="249" customFormat="1" ht="30" customHeight="1">
      <c r="A148" s="87"/>
      <c r="B148" s="247"/>
      <c r="C148" s="195" t="s">
        <v>773</v>
      </c>
      <c r="D148" s="195"/>
      <c r="E148" s="195" t="s">
        <v>1285</v>
      </c>
      <c r="F148" s="1054" t="s">
        <v>630</v>
      </c>
      <c r="G148" s="1055"/>
      <c r="H148" s="1055"/>
      <c r="I148" s="1056"/>
      <c r="J148" s="96" t="s">
        <v>198</v>
      </c>
      <c r="K148" s="95">
        <v>2</v>
      </c>
      <c r="L148" s="11"/>
      <c r="M148" s="87"/>
      <c r="N148" s="948">
        <f t="shared" si="4"/>
        <v>0</v>
      </c>
      <c r="O148" s="948"/>
      <c r="P148" s="948"/>
      <c r="Q148" s="948"/>
      <c r="R148" s="248"/>
      <c r="S148" s="87"/>
      <c r="T148" s="483"/>
      <c r="U148" s="221"/>
      <c r="V148" s="408"/>
      <c r="W148" s="408"/>
      <c r="X148" s="408"/>
      <c r="Y148" s="408"/>
      <c r="Z148" s="408"/>
      <c r="AA148" s="409"/>
      <c r="AD148" s="398"/>
      <c r="AU148" s="240"/>
      <c r="AY148" s="240"/>
      <c r="BE148" s="250"/>
      <c r="BF148" s="250"/>
      <c r="BG148" s="250"/>
      <c r="BH148" s="250"/>
      <c r="BI148" s="250"/>
      <c r="BJ148" s="240"/>
      <c r="BK148" s="250"/>
      <c r="BL148" s="240"/>
      <c r="BM148" s="240"/>
    </row>
    <row r="149" spans="1:65" s="191" customFormat="1" ht="30" customHeight="1">
      <c r="A149" s="617"/>
      <c r="B149" s="618"/>
      <c r="C149" s="195" t="s">
        <v>774</v>
      </c>
      <c r="D149" s="556"/>
      <c r="E149" s="195" t="s">
        <v>1286</v>
      </c>
      <c r="F149" s="1001" t="s">
        <v>631</v>
      </c>
      <c r="G149" s="1002"/>
      <c r="H149" s="1002"/>
      <c r="I149" s="1003"/>
      <c r="J149" s="97" t="s">
        <v>198</v>
      </c>
      <c r="K149" s="60">
        <v>2</v>
      </c>
      <c r="L149" s="27"/>
      <c r="M149" s="87"/>
      <c r="N149" s="998">
        <f t="shared" si="4"/>
        <v>0</v>
      </c>
      <c r="O149" s="998"/>
      <c r="P149" s="998"/>
      <c r="Q149" s="998"/>
      <c r="R149" s="619"/>
      <c r="S149" s="617"/>
      <c r="T149" s="620"/>
      <c r="U149" s="621"/>
      <c r="V149" s="622"/>
      <c r="W149" s="622"/>
      <c r="X149" s="622"/>
      <c r="Y149" s="622"/>
      <c r="Z149" s="622"/>
      <c r="AA149" s="623"/>
      <c r="AC149" s="249"/>
      <c r="AD149" s="398"/>
      <c r="AU149" s="624"/>
      <c r="AY149" s="624"/>
      <c r="BE149" s="625"/>
      <c r="BF149" s="625"/>
      <c r="BG149" s="625"/>
      <c r="BH149" s="625"/>
      <c r="BI149" s="625"/>
      <c r="BJ149" s="624"/>
      <c r="BK149" s="625"/>
      <c r="BL149" s="624"/>
      <c r="BM149" s="624"/>
    </row>
    <row r="150" spans="1:65" s="755" customFormat="1" ht="40.15" customHeight="1">
      <c r="A150" s="745"/>
      <c r="B150" s="746"/>
      <c r="C150" s="718" t="s">
        <v>775</v>
      </c>
      <c r="D150" s="747"/>
      <c r="E150" s="718" t="s">
        <v>1287</v>
      </c>
      <c r="F150" s="1094" t="s">
        <v>1288</v>
      </c>
      <c r="G150" s="1094"/>
      <c r="H150" s="1094"/>
      <c r="I150" s="1094"/>
      <c r="J150" s="113" t="s">
        <v>2227</v>
      </c>
      <c r="K150" s="114">
        <v>1</v>
      </c>
      <c r="L150" s="115"/>
      <c r="M150" s="721"/>
      <c r="N150" s="1105">
        <f t="shared" si="4"/>
        <v>0</v>
      </c>
      <c r="O150" s="1105"/>
      <c r="P150" s="1105"/>
      <c r="Q150" s="1105"/>
      <c r="R150" s="750"/>
      <c r="S150" s="745"/>
      <c r="T150" s="751"/>
      <c r="U150" s="752"/>
      <c r="V150" s="753"/>
      <c r="W150" s="753"/>
      <c r="X150" s="753"/>
      <c r="Y150" s="753"/>
      <c r="Z150" s="753"/>
      <c r="AA150" s="754"/>
      <c r="AC150" s="729"/>
      <c r="AD150" s="749"/>
      <c r="AU150" s="756"/>
      <c r="AY150" s="756"/>
      <c r="BE150" s="757"/>
      <c r="BF150" s="757"/>
      <c r="BG150" s="757"/>
      <c r="BH150" s="757"/>
      <c r="BI150" s="757"/>
      <c r="BJ150" s="756"/>
      <c r="BK150" s="757"/>
      <c r="BL150" s="756"/>
      <c r="BM150" s="756"/>
    </row>
    <row r="151" spans="1:65" s="249" customFormat="1" ht="40.15" customHeight="1">
      <c r="A151" s="87"/>
      <c r="B151" s="247"/>
      <c r="C151" s="195" t="s">
        <v>776</v>
      </c>
      <c r="D151" s="195"/>
      <c r="E151" s="195" t="s">
        <v>1289</v>
      </c>
      <c r="F151" s="965" t="s">
        <v>248</v>
      </c>
      <c r="G151" s="965"/>
      <c r="H151" s="965"/>
      <c r="I151" s="965"/>
      <c r="J151" s="94" t="s">
        <v>133</v>
      </c>
      <c r="K151" s="95">
        <f>K137</f>
        <v>63.18</v>
      </c>
      <c r="L151" s="11"/>
      <c r="M151" s="87"/>
      <c r="N151" s="948">
        <f t="shared" si="4"/>
        <v>0</v>
      </c>
      <c r="O151" s="948"/>
      <c r="P151" s="948"/>
      <c r="Q151" s="948"/>
      <c r="R151" s="248"/>
      <c r="S151" s="87"/>
      <c r="T151" s="89"/>
      <c r="U151" s="221"/>
      <c r="V151" s="408"/>
      <c r="W151" s="408"/>
      <c r="X151" s="408"/>
      <c r="Y151" s="408"/>
      <c r="Z151" s="408"/>
      <c r="AA151" s="409"/>
      <c r="AD151" s="398"/>
      <c r="AU151" s="240"/>
      <c r="AY151" s="240"/>
      <c r="BE151" s="250"/>
      <c r="BF151" s="250"/>
      <c r="BG151" s="250"/>
      <c r="BH151" s="250"/>
      <c r="BI151" s="250"/>
      <c r="BJ151" s="240"/>
      <c r="BK151" s="250"/>
      <c r="BL151" s="240"/>
      <c r="BM151" s="240"/>
    </row>
    <row r="152" spans="1:65" s="191" customFormat="1" ht="40.15" customHeight="1">
      <c r="A152" s="617"/>
      <c r="B152" s="618"/>
      <c r="C152" s="195" t="s">
        <v>777</v>
      </c>
      <c r="D152" s="556"/>
      <c r="E152" s="195" t="s">
        <v>1291</v>
      </c>
      <c r="F152" s="1000" t="s">
        <v>651</v>
      </c>
      <c r="G152" s="1000"/>
      <c r="H152" s="1000"/>
      <c r="I152" s="1000"/>
      <c r="J152" s="101" t="s">
        <v>133</v>
      </c>
      <c r="K152" s="60">
        <f>K138+K139</f>
        <v>69.498</v>
      </c>
      <c r="L152" s="27"/>
      <c r="M152" s="87"/>
      <c r="N152" s="998">
        <f t="shared" si="4"/>
        <v>0</v>
      </c>
      <c r="O152" s="998"/>
      <c r="P152" s="998"/>
      <c r="Q152" s="998"/>
      <c r="R152" s="619"/>
      <c r="S152" s="617"/>
      <c r="T152" s="679"/>
      <c r="U152" s="621"/>
      <c r="V152" s="622"/>
      <c r="W152" s="622"/>
      <c r="X152" s="622"/>
      <c r="Y152" s="622"/>
      <c r="Z152" s="622"/>
      <c r="AA152" s="623"/>
      <c r="AC152" s="249"/>
      <c r="AD152" s="398"/>
      <c r="AU152" s="624"/>
      <c r="AY152" s="624"/>
      <c r="BE152" s="625"/>
      <c r="BF152" s="625"/>
      <c r="BG152" s="625"/>
      <c r="BH152" s="625"/>
      <c r="BI152" s="625"/>
      <c r="BJ152" s="624"/>
      <c r="BK152" s="625"/>
      <c r="BL152" s="624"/>
      <c r="BM152" s="624"/>
    </row>
    <row r="153" spans="1:65" s="249" customFormat="1" ht="39.6" customHeight="1">
      <c r="A153" s="87"/>
      <c r="B153" s="247"/>
      <c r="C153" s="195" t="s">
        <v>778</v>
      </c>
      <c r="D153" s="195"/>
      <c r="E153" s="195" t="s">
        <v>1295</v>
      </c>
      <c r="F153" s="999" t="s">
        <v>247</v>
      </c>
      <c r="G153" s="999"/>
      <c r="H153" s="999"/>
      <c r="I153" s="999"/>
      <c r="J153" s="102" t="s">
        <v>131</v>
      </c>
      <c r="K153" s="43">
        <v>1</v>
      </c>
      <c r="L153" s="21"/>
      <c r="M153" s="87"/>
      <c r="N153" s="948">
        <f t="shared" si="4"/>
        <v>0</v>
      </c>
      <c r="O153" s="948"/>
      <c r="P153" s="948"/>
      <c r="Q153" s="948"/>
      <c r="R153" s="248"/>
      <c r="S153" s="87"/>
      <c r="T153" s="89"/>
      <c r="U153" s="221"/>
      <c r="V153" s="408"/>
      <c r="W153" s="408"/>
      <c r="X153" s="408"/>
      <c r="Y153" s="408"/>
      <c r="Z153" s="408"/>
      <c r="AA153" s="409"/>
      <c r="AD153" s="398"/>
      <c r="AU153" s="240"/>
      <c r="AY153" s="240"/>
      <c r="BE153" s="250"/>
      <c r="BF153" s="250"/>
      <c r="BG153" s="250"/>
      <c r="BH153" s="250"/>
      <c r="BI153" s="250"/>
      <c r="BJ153" s="240"/>
      <c r="BK153" s="250"/>
      <c r="BL153" s="240"/>
      <c r="BM153" s="240"/>
    </row>
    <row r="154" spans="1:65" s="249" customFormat="1" ht="39.6" customHeight="1">
      <c r="A154" s="87"/>
      <c r="B154" s="247"/>
      <c r="C154" s="718" t="s">
        <v>779</v>
      </c>
      <c r="D154" s="718"/>
      <c r="E154" s="718" t="s">
        <v>1293</v>
      </c>
      <c r="F154" s="954" t="s">
        <v>206</v>
      </c>
      <c r="G154" s="954"/>
      <c r="H154" s="954"/>
      <c r="I154" s="954"/>
      <c r="J154" s="103" t="s">
        <v>2227</v>
      </c>
      <c r="K154" s="104">
        <v>1</v>
      </c>
      <c r="L154" s="36"/>
      <c r="M154" s="87"/>
      <c r="N154" s="1009">
        <f t="shared" si="4"/>
        <v>0</v>
      </c>
      <c r="O154" s="1009"/>
      <c r="P154" s="1009"/>
      <c r="Q154" s="1009"/>
      <c r="R154" s="248"/>
      <c r="S154" s="87"/>
      <c r="T154" s="89"/>
      <c r="U154" s="221"/>
      <c r="V154" s="408"/>
      <c r="W154" s="408"/>
      <c r="X154" s="408"/>
      <c r="Y154" s="408"/>
      <c r="Z154" s="408"/>
      <c r="AA154" s="409"/>
      <c r="AD154" s="398"/>
      <c r="AU154" s="240"/>
      <c r="AY154" s="240"/>
      <c r="BE154" s="250"/>
      <c r="BF154" s="250"/>
      <c r="BG154" s="250"/>
      <c r="BH154" s="250"/>
      <c r="BI154" s="250"/>
      <c r="BJ154" s="240"/>
      <c r="BK154" s="250"/>
      <c r="BL154" s="240"/>
      <c r="BM154" s="240"/>
    </row>
    <row r="155" spans="1:65" s="249" customFormat="1" ht="39.6" customHeight="1">
      <c r="A155" s="87"/>
      <c r="B155" s="247"/>
      <c r="C155" s="718" t="s">
        <v>780</v>
      </c>
      <c r="D155" s="718"/>
      <c r="E155" s="718" t="s">
        <v>1294</v>
      </c>
      <c r="F155" s="954" t="s">
        <v>2226</v>
      </c>
      <c r="G155" s="954"/>
      <c r="H155" s="954"/>
      <c r="I155" s="954"/>
      <c r="J155" s="103" t="s">
        <v>2227</v>
      </c>
      <c r="K155" s="104">
        <v>1</v>
      </c>
      <c r="L155" s="36"/>
      <c r="M155" s="87"/>
      <c r="N155" s="1009">
        <f t="shared" si="4"/>
        <v>0</v>
      </c>
      <c r="O155" s="1009"/>
      <c r="P155" s="1009"/>
      <c r="Q155" s="1009"/>
      <c r="R155" s="248"/>
      <c r="S155" s="87"/>
      <c r="T155" s="89"/>
      <c r="U155" s="221"/>
      <c r="V155" s="408"/>
      <c r="W155" s="408"/>
      <c r="X155" s="408"/>
      <c r="Y155" s="408"/>
      <c r="Z155" s="408"/>
      <c r="AA155" s="409"/>
      <c r="AD155" s="398"/>
      <c r="AU155" s="240"/>
      <c r="AY155" s="240"/>
      <c r="BE155" s="250"/>
      <c r="BF155" s="250"/>
      <c r="BG155" s="250"/>
      <c r="BH155" s="250"/>
      <c r="BI155" s="250"/>
      <c r="BJ155" s="240"/>
      <c r="BK155" s="250"/>
      <c r="BL155" s="240"/>
      <c r="BM155" s="240"/>
    </row>
    <row r="156" spans="1:63" s="398" customFormat="1" ht="37.35" customHeight="1">
      <c r="A156" s="181"/>
      <c r="B156" s="399"/>
      <c r="C156" s="181"/>
      <c r="D156" s="105" t="s">
        <v>633</v>
      </c>
      <c r="E156" s="105"/>
      <c r="F156" s="105"/>
      <c r="G156" s="105"/>
      <c r="H156" s="105"/>
      <c r="I156" s="105"/>
      <c r="J156" s="105"/>
      <c r="K156" s="106"/>
      <c r="L156" s="532"/>
      <c r="M156" s="87"/>
      <c r="N156" s="481"/>
      <c r="O156" s="482"/>
      <c r="P156" s="482"/>
      <c r="Q156" s="482"/>
      <c r="R156" s="400"/>
      <c r="S156" s="181"/>
      <c r="T156" s="181"/>
      <c r="U156" s="181"/>
      <c r="V156" s="181"/>
      <c r="W156" s="402"/>
      <c r="X156" s="181"/>
      <c r="Y156" s="402"/>
      <c r="Z156" s="181"/>
      <c r="AA156" s="403"/>
      <c r="AC156" s="249"/>
      <c r="AU156" s="405"/>
      <c r="AY156" s="404"/>
      <c r="BK156" s="406"/>
    </row>
    <row r="157" spans="1:63" s="398" customFormat="1" ht="37.35" customHeight="1">
      <c r="A157" s="181"/>
      <c r="B157" s="399"/>
      <c r="C157" s="149" t="s">
        <v>781</v>
      </c>
      <c r="D157" s="486"/>
      <c r="E157" s="195" t="s">
        <v>1274</v>
      </c>
      <c r="F157" s="999" t="s">
        <v>249</v>
      </c>
      <c r="G157" s="999"/>
      <c r="H157" s="999"/>
      <c r="I157" s="999"/>
      <c r="J157" s="94" t="s">
        <v>131</v>
      </c>
      <c r="K157" s="95">
        <v>1</v>
      </c>
      <c r="L157" s="11"/>
      <c r="M157" s="87"/>
      <c r="N157" s="948">
        <f aca="true" t="shared" si="5" ref="N157:N162">ROUND(L157*K157,2)</f>
        <v>0</v>
      </c>
      <c r="O157" s="948"/>
      <c r="P157" s="948"/>
      <c r="Q157" s="948"/>
      <c r="R157" s="400"/>
      <c r="S157" s="181"/>
      <c r="T157" s="181"/>
      <c r="U157" s="181"/>
      <c r="V157" s="181"/>
      <c r="W157" s="402"/>
      <c r="X157" s="181"/>
      <c r="Y157" s="402"/>
      <c r="Z157" s="181"/>
      <c r="AA157" s="403"/>
      <c r="AC157" s="249"/>
      <c r="AU157" s="405"/>
      <c r="AY157" s="404"/>
      <c r="BK157" s="406"/>
    </row>
    <row r="158" spans="1:63" s="398" customFormat="1" ht="37.35" customHeight="1">
      <c r="A158" s="181"/>
      <c r="B158" s="399"/>
      <c r="C158" s="149" t="s">
        <v>782</v>
      </c>
      <c r="D158" s="486"/>
      <c r="E158" s="195" t="s">
        <v>1273</v>
      </c>
      <c r="F158" s="1054" t="s">
        <v>619</v>
      </c>
      <c r="G158" s="1055"/>
      <c r="H158" s="1055"/>
      <c r="I158" s="1056"/>
      <c r="J158" s="96" t="s">
        <v>133</v>
      </c>
      <c r="K158" s="95">
        <f>(1.77+2.15+0.3+1.77+1.07+0.2+1.7+0.3*5)*3+(1.7+0.6+1.7+0.3*5)*3+5.1</f>
        <v>52.980000000000004</v>
      </c>
      <c r="L158" s="11"/>
      <c r="M158" s="87"/>
      <c r="N158" s="948">
        <f t="shared" si="5"/>
        <v>0</v>
      </c>
      <c r="O158" s="948"/>
      <c r="P158" s="948"/>
      <c r="Q158" s="948"/>
      <c r="R158" s="400"/>
      <c r="S158" s="181"/>
      <c r="T158" s="181"/>
      <c r="U158" s="181"/>
      <c r="V158" s="181"/>
      <c r="W158" s="402"/>
      <c r="X158" s="181"/>
      <c r="Y158" s="402"/>
      <c r="Z158" s="181"/>
      <c r="AA158" s="403"/>
      <c r="AC158" s="249"/>
      <c r="AU158" s="405"/>
      <c r="AY158" s="404"/>
      <c r="BK158" s="406"/>
    </row>
    <row r="159" spans="1:63" s="77" customFormat="1" ht="37.35" customHeight="1">
      <c r="A159" s="674"/>
      <c r="B159" s="758"/>
      <c r="C159" s="149" t="s">
        <v>783</v>
      </c>
      <c r="D159" s="551"/>
      <c r="E159" s="195" t="s">
        <v>1275</v>
      </c>
      <c r="F159" s="1000" t="s">
        <v>620</v>
      </c>
      <c r="G159" s="1000"/>
      <c r="H159" s="1000"/>
      <c r="I159" s="1000"/>
      <c r="J159" s="97" t="s">
        <v>133</v>
      </c>
      <c r="K159" s="60">
        <f>((1.77+2.15+0.3+1.77+1.07+0.2+1.7+0.3*5)*3)*1.1</f>
        <v>34.51800000000001</v>
      </c>
      <c r="L159" s="27"/>
      <c r="M159" s="87"/>
      <c r="N159" s="998">
        <f t="shared" si="5"/>
        <v>0</v>
      </c>
      <c r="O159" s="998"/>
      <c r="P159" s="998"/>
      <c r="Q159" s="998"/>
      <c r="R159" s="759"/>
      <c r="S159" s="674"/>
      <c r="T159" s="674"/>
      <c r="U159" s="674"/>
      <c r="V159" s="674"/>
      <c r="W159" s="675"/>
      <c r="X159" s="674"/>
      <c r="Y159" s="675"/>
      <c r="Z159" s="674"/>
      <c r="AA159" s="676"/>
      <c r="AC159" s="249"/>
      <c r="AD159" s="398"/>
      <c r="AU159" s="677"/>
      <c r="AY159" s="678"/>
      <c r="BK159" s="625"/>
    </row>
    <row r="160" spans="1:63" s="77" customFormat="1" ht="37.35" customHeight="1">
      <c r="A160" s="674"/>
      <c r="B160" s="758"/>
      <c r="C160" s="149" t="s">
        <v>784</v>
      </c>
      <c r="D160" s="551"/>
      <c r="E160" s="195" t="s">
        <v>1276</v>
      </c>
      <c r="F160" s="1000" t="s">
        <v>621</v>
      </c>
      <c r="G160" s="1000"/>
      <c r="H160" s="1000"/>
      <c r="I160" s="1000"/>
      <c r="J160" s="97" t="s">
        <v>133</v>
      </c>
      <c r="K160" s="60">
        <f>((1.7+0.6+1.7+0.3*5)*3)*1.1+5.1</f>
        <v>23.25</v>
      </c>
      <c r="L160" s="27"/>
      <c r="M160" s="87"/>
      <c r="N160" s="998">
        <f t="shared" si="5"/>
        <v>0</v>
      </c>
      <c r="O160" s="998"/>
      <c r="P160" s="998"/>
      <c r="Q160" s="998"/>
      <c r="R160" s="759"/>
      <c r="S160" s="674"/>
      <c r="T160" s="674"/>
      <c r="U160" s="674"/>
      <c r="V160" s="674"/>
      <c r="W160" s="675"/>
      <c r="X160" s="674"/>
      <c r="Y160" s="675"/>
      <c r="Z160" s="674"/>
      <c r="AA160" s="676"/>
      <c r="AC160" s="249"/>
      <c r="AD160" s="398"/>
      <c r="AU160" s="677"/>
      <c r="AY160" s="678"/>
      <c r="BK160" s="625"/>
    </row>
    <row r="161" spans="1:63" s="77" customFormat="1" ht="37.35" customHeight="1">
      <c r="A161" s="674"/>
      <c r="B161" s="758"/>
      <c r="C161" s="149" t="s">
        <v>785</v>
      </c>
      <c r="D161" s="551"/>
      <c r="E161" s="195" t="s">
        <v>1293</v>
      </c>
      <c r="F161" s="1000" t="s">
        <v>634</v>
      </c>
      <c r="G161" s="1000"/>
      <c r="H161" s="1000"/>
      <c r="I161" s="1000"/>
      <c r="J161" s="97" t="s">
        <v>133</v>
      </c>
      <c r="K161" s="60">
        <f>5.1*3*2*1.1</f>
        <v>33.660000000000004</v>
      </c>
      <c r="L161" s="27"/>
      <c r="M161" s="87"/>
      <c r="N161" s="998">
        <f t="shared" si="5"/>
        <v>0</v>
      </c>
      <c r="O161" s="998"/>
      <c r="P161" s="998"/>
      <c r="Q161" s="998"/>
      <c r="R161" s="759"/>
      <c r="S161" s="674"/>
      <c r="T161" s="674"/>
      <c r="U161" s="674"/>
      <c r="V161" s="674"/>
      <c r="W161" s="675"/>
      <c r="X161" s="674"/>
      <c r="Y161" s="675"/>
      <c r="Z161" s="674"/>
      <c r="AA161" s="676"/>
      <c r="AC161" s="249"/>
      <c r="AD161" s="398"/>
      <c r="AU161" s="677"/>
      <c r="AY161" s="678"/>
      <c r="BK161" s="625"/>
    </row>
    <row r="162" spans="1:63" s="398" customFormat="1" ht="37.35" customHeight="1">
      <c r="A162" s="181"/>
      <c r="B162" s="399"/>
      <c r="C162" s="149" t="s">
        <v>786</v>
      </c>
      <c r="D162" s="486"/>
      <c r="E162" s="195" t="s">
        <v>1277</v>
      </c>
      <c r="F162" s="960" t="s">
        <v>622</v>
      </c>
      <c r="G162" s="960"/>
      <c r="H162" s="960"/>
      <c r="I162" s="960"/>
      <c r="J162" s="96" t="s">
        <v>198</v>
      </c>
      <c r="K162" s="95">
        <v>9</v>
      </c>
      <c r="L162" s="11"/>
      <c r="M162" s="87"/>
      <c r="N162" s="948">
        <f t="shared" si="5"/>
        <v>0</v>
      </c>
      <c r="O162" s="948"/>
      <c r="P162" s="948"/>
      <c r="Q162" s="948"/>
      <c r="R162" s="400"/>
      <c r="S162" s="181"/>
      <c r="T162" s="181"/>
      <c r="U162" s="181"/>
      <c r="V162" s="181"/>
      <c r="W162" s="402"/>
      <c r="X162" s="181"/>
      <c r="Y162" s="402"/>
      <c r="Z162" s="181"/>
      <c r="AA162" s="403"/>
      <c r="AC162" s="249"/>
      <c r="AU162" s="405"/>
      <c r="AY162" s="404"/>
      <c r="BK162" s="406"/>
    </row>
    <row r="163" spans="1:63" s="77" customFormat="1" ht="37.35" customHeight="1">
      <c r="A163" s="674"/>
      <c r="B163" s="758"/>
      <c r="C163" s="149" t="s">
        <v>787</v>
      </c>
      <c r="D163" s="551"/>
      <c r="E163" s="195" t="s">
        <v>1278</v>
      </c>
      <c r="F163" s="1001" t="s">
        <v>623</v>
      </c>
      <c r="G163" s="1002"/>
      <c r="H163" s="1002"/>
      <c r="I163" s="1003"/>
      <c r="J163" s="97" t="s">
        <v>198</v>
      </c>
      <c r="K163" s="60">
        <v>9</v>
      </c>
      <c r="L163" s="27"/>
      <c r="M163" s="87"/>
      <c r="N163" s="998">
        <f aca="true" t="shared" si="6" ref="N163:N177">ROUND(L163*K163,2)</f>
        <v>0</v>
      </c>
      <c r="O163" s="998"/>
      <c r="P163" s="998"/>
      <c r="Q163" s="998"/>
      <c r="R163" s="759"/>
      <c r="S163" s="674"/>
      <c r="T163" s="674"/>
      <c r="U163" s="674"/>
      <c r="V163" s="674"/>
      <c r="W163" s="675"/>
      <c r="X163" s="674"/>
      <c r="Y163" s="675"/>
      <c r="Z163" s="674"/>
      <c r="AA163" s="676"/>
      <c r="AC163" s="249"/>
      <c r="AD163" s="398"/>
      <c r="AU163" s="677"/>
      <c r="AY163" s="678"/>
      <c r="BK163" s="625"/>
    </row>
    <row r="164" spans="1:63" s="398" customFormat="1" ht="37.35" customHeight="1">
      <c r="A164" s="181"/>
      <c r="B164" s="399"/>
      <c r="C164" s="149" t="s">
        <v>788</v>
      </c>
      <c r="D164" s="486"/>
      <c r="E164" s="195" t="s">
        <v>1279</v>
      </c>
      <c r="F164" s="1054" t="s">
        <v>624</v>
      </c>
      <c r="G164" s="1055"/>
      <c r="H164" s="1055"/>
      <c r="I164" s="1056"/>
      <c r="J164" s="96" t="s">
        <v>198</v>
      </c>
      <c r="K164" s="95">
        <v>12</v>
      </c>
      <c r="L164" s="11"/>
      <c r="M164" s="87"/>
      <c r="N164" s="948">
        <f t="shared" si="6"/>
        <v>0</v>
      </c>
      <c r="O164" s="948"/>
      <c r="P164" s="948"/>
      <c r="Q164" s="948"/>
      <c r="R164" s="400"/>
      <c r="S164" s="181"/>
      <c r="T164" s="181"/>
      <c r="U164" s="181"/>
      <c r="V164" s="181"/>
      <c r="W164" s="402"/>
      <c r="X164" s="181"/>
      <c r="Y164" s="402"/>
      <c r="Z164" s="181"/>
      <c r="AA164" s="403"/>
      <c r="AC164" s="249"/>
      <c r="AU164" s="405"/>
      <c r="AY164" s="404"/>
      <c r="BK164" s="406"/>
    </row>
    <row r="165" spans="1:63" s="77" customFormat="1" ht="37.35" customHeight="1">
      <c r="A165" s="674"/>
      <c r="B165" s="758"/>
      <c r="C165" s="149" t="s">
        <v>789</v>
      </c>
      <c r="D165" s="551"/>
      <c r="E165" s="195" t="s">
        <v>1280</v>
      </c>
      <c r="F165" s="1001" t="s">
        <v>625</v>
      </c>
      <c r="G165" s="1002"/>
      <c r="H165" s="1002"/>
      <c r="I165" s="1003"/>
      <c r="J165" s="97" t="s">
        <v>198</v>
      </c>
      <c r="K165" s="60">
        <v>12</v>
      </c>
      <c r="L165" s="27"/>
      <c r="M165" s="87"/>
      <c r="N165" s="998">
        <f t="shared" si="6"/>
        <v>0</v>
      </c>
      <c r="O165" s="998"/>
      <c r="P165" s="998"/>
      <c r="Q165" s="998"/>
      <c r="R165" s="759"/>
      <c r="S165" s="674"/>
      <c r="T165" s="674"/>
      <c r="U165" s="674"/>
      <c r="V165" s="674"/>
      <c r="W165" s="675"/>
      <c r="X165" s="674"/>
      <c r="Y165" s="675"/>
      <c r="Z165" s="674"/>
      <c r="AA165" s="676"/>
      <c r="AC165" s="249"/>
      <c r="AD165" s="398"/>
      <c r="AU165" s="677"/>
      <c r="AY165" s="678"/>
      <c r="BK165" s="625"/>
    </row>
    <row r="166" spans="1:63" s="398" customFormat="1" ht="37.35" customHeight="1">
      <c r="A166" s="181"/>
      <c r="B166" s="399"/>
      <c r="C166" s="149" t="s">
        <v>790</v>
      </c>
      <c r="D166" s="486"/>
      <c r="E166" s="195" t="s">
        <v>1281</v>
      </c>
      <c r="F166" s="1054" t="s">
        <v>626</v>
      </c>
      <c r="G166" s="1055"/>
      <c r="H166" s="1055"/>
      <c r="I166" s="1056"/>
      <c r="J166" s="96" t="s">
        <v>198</v>
      </c>
      <c r="K166" s="95">
        <v>4</v>
      </c>
      <c r="L166" s="11"/>
      <c r="M166" s="87"/>
      <c r="N166" s="948">
        <f t="shared" si="6"/>
        <v>0</v>
      </c>
      <c r="O166" s="948"/>
      <c r="P166" s="948"/>
      <c r="Q166" s="948"/>
      <c r="R166" s="400"/>
      <c r="S166" s="181"/>
      <c r="T166" s="181"/>
      <c r="U166" s="181"/>
      <c r="V166" s="181"/>
      <c r="W166" s="402"/>
      <c r="X166" s="181"/>
      <c r="Y166" s="402"/>
      <c r="Z166" s="181"/>
      <c r="AA166" s="403"/>
      <c r="AC166" s="249"/>
      <c r="AU166" s="405"/>
      <c r="AY166" s="404"/>
      <c r="BK166" s="406"/>
    </row>
    <row r="167" spans="1:63" s="77" customFormat="1" ht="37.35" customHeight="1">
      <c r="A167" s="674"/>
      <c r="B167" s="758"/>
      <c r="C167" s="149" t="s">
        <v>791</v>
      </c>
      <c r="D167" s="551"/>
      <c r="E167" s="195" t="s">
        <v>1282</v>
      </c>
      <c r="F167" s="1001" t="s">
        <v>627</v>
      </c>
      <c r="G167" s="1002"/>
      <c r="H167" s="1002"/>
      <c r="I167" s="1003"/>
      <c r="J167" s="97" t="s">
        <v>198</v>
      </c>
      <c r="K167" s="60">
        <v>4</v>
      </c>
      <c r="L167" s="27"/>
      <c r="M167" s="87"/>
      <c r="N167" s="998">
        <f t="shared" si="6"/>
        <v>0</v>
      </c>
      <c r="O167" s="998"/>
      <c r="P167" s="998"/>
      <c r="Q167" s="998"/>
      <c r="R167" s="759"/>
      <c r="S167" s="674"/>
      <c r="T167" s="674"/>
      <c r="U167" s="674"/>
      <c r="V167" s="674"/>
      <c r="W167" s="675"/>
      <c r="X167" s="674"/>
      <c r="Y167" s="675"/>
      <c r="Z167" s="674"/>
      <c r="AA167" s="676"/>
      <c r="AC167" s="249"/>
      <c r="AD167" s="398"/>
      <c r="AU167" s="677"/>
      <c r="AY167" s="678"/>
      <c r="BK167" s="625"/>
    </row>
    <row r="168" spans="1:63" s="398" customFormat="1" ht="37.35" customHeight="1">
      <c r="A168" s="181"/>
      <c r="B168" s="399"/>
      <c r="C168" s="149" t="s">
        <v>792</v>
      </c>
      <c r="D168" s="486"/>
      <c r="E168" s="195" t="s">
        <v>1283</v>
      </c>
      <c r="F168" s="1054" t="s">
        <v>628</v>
      </c>
      <c r="G168" s="1055"/>
      <c r="H168" s="1055"/>
      <c r="I168" s="1056"/>
      <c r="J168" s="96" t="s">
        <v>198</v>
      </c>
      <c r="K168" s="95">
        <v>4</v>
      </c>
      <c r="L168" s="11"/>
      <c r="M168" s="87"/>
      <c r="N168" s="948">
        <f t="shared" si="6"/>
        <v>0</v>
      </c>
      <c r="O168" s="948"/>
      <c r="P168" s="948"/>
      <c r="Q168" s="948"/>
      <c r="R168" s="400"/>
      <c r="S168" s="181"/>
      <c r="T168" s="181"/>
      <c r="U168" s="181"/>
      <c r="V168" s="181"/>
      <c r="W168" s="402"/>
      <c r="X168" s="181"/>
      <c r="Y168" s="402"/>
      <c r="Z168" s="181"/>
      <c r="AA168" s="403"/>
      <c r="AC168" s="249"/>
      <c r="AU168" s="405"/>
      <c r="AY168" s="404"/>
      <c r="BK168" s="406"/>
    </row>
    <row r="169" spans="1:63" s="77" customFormat="1" ht="37.35" customHeight="1">
      <c r="A169" s="674"/>
      <c r="B169" s="758"/>
      <c r="C169" s="149" t="s">
        <v>793</v>
      </c>
      <c r="D169" s="551"/>
      <c r="E169" s="195" t="s">
        <v>1284</v>
      </c>
      <c r="F169" s="1001" t="s">
        <v>629</v>
      </c>
      <c r="G169" s="1002"/>
      <c r="H169" s="1002"/>
      <c r="I169" s="1003"/>
      <c r="J169" s="99" t="s">
        <v>198</v>
      </c>
      <c r="K169" s="60">
        <v>4</v>
      </c>
      <c r="L169" s="27"/>
      <c r="M169" s="87"/>
      <c r="N169" s="998">
        <f t="shared" si="6"/>
        <v>0</v>
      </c>
      <c r="O169" s="998"/>
      <c r="P169" s="998"/>
      <c r="Q169" s="998"/>
      <c r="R169" s="759"/>
      <c r="S169" s="674"/>
      <c r="T169" s="674"/>
      <c r="U169" s="674"/>
      <c r="V169" s="674"/>
      <c r="W169" s="675"/>
      <c r="X169" s="674"/>
      <c r="Y169" s="675"/>
      <c r="Z169" s="674"/>
      <c r="AA169" s="676"/>
      <c r="AC169" s="249"/>
      <c r="AD169" s="398"/>
      <c r="AU169" s="677"/>
      <c r="AY169" s="678"/>
      <c r="BK169" s="625"/>
    </row>
    <row r="170" spans="1:63" s="398" customFormat="1" ht="37.35" customHeight="1">
      <c r="A170" s="181"/>
      <c r="B170" s="399"/>
      <c r="C170" s="149" t="s">
        <v>794</v>
      </c>
      <c r="D170" s="486"/>
      <c r="E170" s="195" t="s">
        <v>1285</v>
      </c>
      <c r="F170" s="1054" t="s">
        <v>630</v>
      </c>
      <c r="G170" s="1055"/>
      <c r="H170" s="1055"/>
      <c r="I170" s="1056"/>
      <c r="J170" s="96" t="s">
        <v>198</v>
      </c>
      <c r="K170" s="95">
        <v>2</v>
      </c>
      <c r="L170" s="11"/>
      <c r="M170" s="87"/>
      <c r="N170" s="948">
        <f t="shared" si="6"/>
        <v>0</v>
      </c>
      <c r="O170" s="948"/>
      <c r="P170" s="948"/>
      <c r="Q170" s="948"/>
      <c r="R170" s="400"/>
      <c r="S170" s="181"/>
      <c r="T170" s="181"/>
      <c r="U170" s="181"/>
      <c r="V170" s="181"/>
      <c r="W170" s="402"/>
      <c r="X170" s="181"/>
      <c r="Y170" s="402"/>
      <c r="Z170" s="181"/>
      <c r="AA170" s="403"/>
      <c r="AC170" s="249"/>
      <c r="AU170" s="405"/>
      <c r="AY170" s="404"/>
      <c r="BK170" s="406"/>
    </row>
    <row r="171" spans="1:63" s="77" customFormat="1" ht="37.35" customHeight="1">
      <c r="A171" s="674"/>
      <c r="B171" s="758"/>
      <c r="C171" s="149" t="s">
        <v>795</v>
      </c>
      <c r="D171" s="551"/>
      <c r="E171" s="195" t="s">
        <v>1286</v>
      </c>
      <c r="F171" s="1001" t="s">
        <v>631</v>
      </c>
      <c r="G171" s="1002"/>
      <c r="H171" s="1002"/>
      <c r="I171" s="1003"/>
      <c r="J171" s="97" t="s">
        <v>198</v>
      </c>
      <c r="K171" s="60">
        <v>2</v>
      </c>
      <c r="L171" s="27"/>
      <c r="M171" s="87"/>
      <c r="N171" s="998">
        <f t="shared" si="6"/>
        <v>0</v>
      </c>
      <c r="O171" s="998"/>
      <c r="P171" s="998"/>
      <c r="Q171" s="998"/>
      <c r="R171" s="759"/>
      <c r="S171" s="674"/>
      <c r="T171" s="674"/>
      <c r="U171" s="674"/>
      <c r="V171" s="674"/>
      <c r="W171" s="675"/>
      <c r="X171" s="674"/>
      <c r="Y171" s="675"/>
      <c r="Z171" s="674"/>
      <c r="AA171" s="676"/>
      <c r="AC171" s="249"/>
      <c r="AD171" s="398"/>
      <c r="AU171" s="677"/>
      <c r="AY171" s="678"/>
      <c r="BK171" s="625"/>
    </row>
    <row r="172" spans="1:63" s="77" customFormat="1" ht="37.35" customHeight="1">
      <c r="A172" s="674"/>
      <c r="B172" s="758"/>
      <c r="C172" s="149" t="s">
        <v>796</v>
      </c>
      <c r="D172" s="551"/>
      <c r="E172" s="195" t="s">
        <v>1296</v>
      </c>
      <c r="F172" s="1000" t="s">
        <v>1288</v>
      </c>
      <c r="G172" s="1000"/>
      <c r="H172" s="1000"/>
      <c r="I172" s="1000"/>
      <c r="J172" s="96" t="s">
        <v>236</v>
      </c>
      <c r="K172" s="60">
        <v>5</v>
      </c>
      <c r="L172" s="27"/>
      <c r="M172" s="87"/>
      <c r="N172" s="998">
        <f t="shared" si="6"/>
        <v>0</v>
      </c>
      <c r="O172" s="998"/>
      <c r="P172" s="998"/>
      <c r="Q172" s="998"/>
      <c r="R172" s="759"/>
      <c r="S172" s="674"/>
      <c r="T172" s="674"/>
      <c r="U172" s="674"/>
      <c r="V172" s="674"/>
      <c r="W172" s="675"/>
      <c r="X172" s="674"/>
      <c r="Y172" s="675"/>
      <c r="Z172" s="674"/>
      <c r="AA172" s="676"/>
      <c r="AC172" s="249"/>
      <c r="AD172" s="398"/>
      <c r="AU172" s="677"/>
      <c r="AY172" s="678"/>
      <c r="BK172" s="625"/>
    </row>
    <row r="173" spans="1:63" s="398" customFormat="1" ht="37.35" customHeight="1">
      <c r="A173" s="181"/>
      <c r="B173" s="399"/>
      <c r="C173" s="149" t="s">
        <v>797</v>
      </c>
      <c r="D173" s="486"/>
      <c r="E173" s="195" t="s">
        <v>1289</v>
      </c>
      <c r="F173" s="965" t="s">
        <v>248</v>
      </c>
      <c r="G173" s="965"/>
      <c r="H173" s="965"/>
      <c r="I173" s="965"/>
      <c r="J173" s="94" t="s">
        <v>133</v>
      </c>
      <c r="K173" s="95">
        <f>K158</f>
        <v>52.980000000000004</v>
      </c>
      <c r="L173" s="11"/>
      <c r="M173" s="87"/>
      <c r="N173" s="948">
        <f t="shared" si="6"/>
        <v>0</v>
      </c>
      <c r="O173" s="948"/>
      <c r="P173" s="948"/>
      <c r="Q173" s="948"/>
      <c r="R173" s="400"/>
      <c r="S173" s="181"/>
      <c r="T173" s="181"/>
      <c r="U173" s="181"/>
      <c r="V173" s="181"/>
      <c r="W173" s="402"/>
      <c r="X173" s="181"/>
      <c r="Y173" s="402"/>
      <c r="Z173" s="181"/>
      <c r="AA173" s="403"/>
      <c r="AC173" s="249"/>
      <c r="AU173" s="405"/>
      <c r="AY173" s="404"/>
      <c r="BK173" s="406"/>
    </row>
    <row r="174" spans="1:63" s="77" customFormat="1" ht="37.35" customHeight="1">
      <c r="A174" s="674"/>
      <c r="B174" s="758"/>
      <c r="C174" s="149" t="s">
        <v>798</v>
      </c>
      <c r="D174" s="551"/>
      <c r="E174" s="195" t="s">
        <v>1291</v>
      </c>
      <c r="F174" s="1000" t="s">
        <v>651</v>
      </c>
      <c r="G174" s="1000"/>
      <c r="H174" s="1000"/>
      <c r="I174" s="1000"/>
      <c r="J174" s="101" t="s">
        <v>133</v>
      </c>
      <c r="K174" s="60">
        <f>K159+K160</f>
        <v>57.76800000000001</v>
      </c>
      <c r="L174" s="27"/>
      <c r="M174" s="87"/>
      <c r="N174" s="998">
        <f t="shared" si="6"/>
        <v>0</v>
      </c>
      <c r="O174" s="998"/>
      <c r="P174" s="998"/>
      <c r="Q174" s="998"/>
      <c r="R174" s="759"/>
      <c r="S174" s="674"/>
      <c r="T174" s="674"/>
      <c r="U174" s="674"/>
      <c r="V174" s="674"/>
      <c r="W174" s="675"/>
      <c r="X174" s="674"/>
      <c r="Y174" s="675"/>
      <c r="Z174" s="674"/>
      <c r="AA174" s="676"/>
      <c r="AC174" s="249"/>
      <c r="AD174" s="398"/>
      <c r="AU174" s="677"/>
      <c r="AY174" s="678"/>
      <c r="BK174" s="625"/>
    </row>
    <row r="175" spans="1:63" s="77" customFormat="1" ht="37.35" customHeight="1">
      <c r="A175" s="674"/>
      <c r="B175" s="758"/>
      <c r="C175" s="149" t="s">
        <v>799</v>
      </c>
      <c r="D175" s="551"/>
      <c r="E175" s="195" t="s">
        <v>1292</v>
      </c>
      <c r="F175" s="1000" t="s">
        <v>652</v>
      </c>
      <c r="G175" s="1000"/>
      <c r="H175" s="1000"/>
      <c r="I175" s="1000"/>
      <c r="J175" s="101" t="s">
        <v>133</v>
      </c>
      <c r="K175" s="60">
        <f>K161</f>
        <v>33.660000000000004</v>
      </c>
      <c r="L175" s="27"/>
      <c r="M175" s="87"/>
      <c r="N175" s="998">
        <f t="shared" si="6"/>
        <v>0</v>
      </c>
      <c r="O175" s="998"/>
      <c r="P175" s="998"/>
      <c r="Q175" s="998"/>
      <c r="R175" s="759"/>
      <c r="S175" s="674"/>
      <c r="T175" s="674"/>
      <c r="U175" s="674"/>
      <c r="V175" s="674"/>
      <c r="W175" s="675"/>
      <c r="X175" s="674"/>
      <c r="Y175" s="675"/>
      <c r="Z175" s="674"/>
      <c r="AA175" s="676"/>
      <c r="AC175" s="249"/>
      <c r="AD175" s="398"/>
      <c r="AU175" s="677"/>
      <c r="AY175" s="678"/>
      <c r="BK175" s="625"/>
    </row>
    <row r="176" spans="1:65" s="249" customFormat="1" ht="39.6" customHeight="1">
      <c r="A176" s="87"/>
      <c r="B176" s="247"/>
      <c r="C176" s="149" t="s">
        <v>800</v>
      </c>
      <c r="D176" s="195"/>
      <c r="E176" s="195" t="s">
        <v>1297</v>
      </c>
      <c r="F176" s="999" t="s">
        <v>247</v>
      </c>
      <c r="G176" s="999"/>
      <c r="H176" s="999"/>
      <c r="I176" s="999"/>
      <c r="J176" s="102" t="s">
        <v>131</v>
      </c>
      <c r="K176" s="43">
        <v>1</v>
      </c>
      <c r="L176" s="21"/>
      <c r="M176" s="87"/>
      <c r="N176" s="948">
        <f t="shared" si="6"/>
        <v>0</v>
      </c>
      <c r="O176" s="948"/>
      <c r="P176" s="948"/>
      <c r="Q176" s="948"/>
      <c r="R176" s="248"/>
      <c r="S176" s="87"/>
      <c r="T176" s="89"/>
      <c r="U176" s="221"/>
      <c r="V176" s="408"/>
      <c r="W176" s="408"/>
      <c r="X176" s="408"/>
      <c r="Y176" s="408"/>
      <c r="Z176" s="408"/>
      <c r="AA176" s="409"/>
      <c r="AD176" s="398"/>
      <c r="AU176" s="240"/>
      <c r="AY176" s="240"/>
      <c r="BE176" s="250"/>
      <c r="BF176" s="250"/>
      <c r="BG176" s="250"/>
      <c r="BH176" s="250"/>
      <c r="BI176" s="250"/>
      <c r="BJ176" s="240"/>
      <c r="BK176" s="250"/>
      <c r="BL176" s="240"/>
      <c r="BM176" s="240"/>
    </row>
    <row r="177" spans="1:65" s="249" customFormat="1" ht="39.6" customHeight="1">
      <c r="A177" s="87"/>
      <c r="B177" s="247"/>
      <c r="C177" s="760" t="s">
        <v>801</v>
      </c>
      <c r="D177" s="718"/>
      <c r="E177" s="718" t="s">
        <v>1293</v>
      </c>
      <c r="F177" s="954" t="s">
        <v>206</v>
      </c>
      <c r="G177" s="954"/>
      <c r="H177" s="954"/>
      <c r="I177" s="954"/>
      <c r="J177" s="103" t="s">
        <v>2227</v>
      </c>
      <c r="K177" s="104">
        <v>1</v>
      </c>
      <c r="L177" s="36"/>
      <c r="M177" s="87"/>
      <c r="N177" s="1009">
        <f t="shared" si="6"/>
        <v>0</v>
      </c>
      <c r="O177" s="1009"/>
      <c r="P177" s="1009"/>
      <c r="Q177" s="1009"/>
      <c r="R177" s="248"/>
      <c r="S177" s="87"/>
      <c r="T177" s="89"/>
      <c r="U177" s="221"/>
      <c r="V177" s="408"/>
      <c r="W177" s="408"/>
      <c r="X177" s="408"/>
      <c r="Y177" s="408"/>
      <c r="Z177" s="408"/>
      <c r="AA177" s="409"/>
      <c r="AD177" s="398"/>
      <c r="AU177" s="240"/>
      <c r="AY177" s="240"/>
      <c r="BE177" s="250"/>
      <c r="BF177" s="250"/>
      <c r="BG177" s="250"/>
      <c r="BH177" s="250"/>
      <c r="BI177" s="250"/>
      <c r="BJ177" s="240"/>
      <c r="BK177" s="250"/>
      <c r="BL177" s="240"/>
      <c r="BM177" s="240"/>
    </row>
    <row r="178" spans="1:65" s="249" customFormat="1" ht="39.6" customHeight="1">
      <c r="A178" s="87"/>
      <c r="B178" s="247"/>
      <c r="C178" s="760" t="s">
        <v>802</v>
      </c>
      <c r="D178" s="718"/>
      <c r="E178" s="718" t="s">
        <v>1294</v>
      </c>
      <c r="F178" s="954" t="s">
        <v>2226</v>
      </c>
      <c r="G178" s="954"/>
      <c r="H178" s="954"/>
      <c r="I178" s="954"/>
      <c r="J178" s="103" t="s">
        <v>2227</v>
      </c>
      <c r="K178" s="104">
        <v>1</v>
      </c>
      <c r="L178" s="36"/>
      <c r="M178" s="87"/>
      <c r="N178" s="1009">
        <f>ROUND(L178*K178,2)</f>
        <v>0</v>
      </c>
      <c r="O178" s="1009"/>
      <c r="P178" s="1009"/>
      <c r="Q178" s="1009"/>
      <c r="R178" s="248"/>
      <c r="S178" s="87"/>
      <c r="T178" s="89"/>
      <c r="U178" s="221"/>
      <c r="V178" s="408"/>
      <c r="W178" s="408"/>
      <c r="X178" s="408"/>
      <c r="Y178" s="408"/>
      <c r="Z178" s="408"/>
      <c r="AA178" s="409"/>
      <c r="AD178" s="398"/>
      <c r="AU178" s="240"/>
      <c r="AY178" s="240"/>
      <c r="BE178" s="250"/>
      <c r="BF178" s="250"/>
      <c r="BG178" s="250"/>
      <c r="BH178" s="250"/>
      <c r="BI178" s="250"/>
      <c r="BJ178" s="240"/>
      <c r="BK178" s="250"/>
      <c r="BL178" s="240"/>
      <c r="BM178" s="240"/>
    </row>
    <row r="179" spans="1:63" s="398" customFormat="1" ht="37.35" customHeight="1">
      <c r="A179" s="181"/>
      <c r="B179" s="399"/>
      <c r="C179" s="181"/>
      <c r="D179" s="105" t="s">
        <v>635</v>
      </c>
      <c r="E179" s="105"/>
      <c r="F179" s="105"/>
      <c r="G179" s="105"/>
      <c r="H179" s="105"/>
      <c r="I179" s="105"/>
      <c r="J179" s="105"/>
      <c r="K179" s="106"/>
      <c r="L179" s="532"/>
      <c r="M179" s="87"/>
      <c r="N179" s="481"/>
      <c r="O179" s="482"/>
      <c r="P179" s="482"/>
      <c r="Q179" s="482"/>
      <c r="R179" s="400"/>
      <c r="S179" s="181"/>
      <c r="T179" s="181"/>
      <c r="U179" s="181"/>
      <c r="V179" s="181"/>
      <c r="W179" s="402"/>
      <c r="X179" s="181"/>
      <c r="Y179" s="402"/>
      <c r="Z179" s="181"/>
      <c r="AA179" s="403"/>
      <c r="AC179" s="249"/>
      <c r="AU179" s="405"/>
      <c r="AY179" s="404"/>
      <c r="BK179" s="406"/>
    </row>
    <row r="180" spans="1:63" s="398" customFormat="1" ht="37.35" customHeight="1">
      <c r="A180" s="181"/>
      <c r="B180" s="399"/>
      <c r="C180" s="149" t="s">
        <v>803</v>
      </c>
      <c r="D180" s="486"/>
      <c r="E180" s="195" t="s">
        <v>1274</v>
      </c>
      <c r="F180" s="1015" t="s">
        <v>249</v>
      </c>
      <c r="G180" s="1016"/>
      <c r="H180" s="1016"/>
      <c r="I180" s="1017"/>
      <c r="J180" s="94" t="s">
        <v>131</v>
      </c>
      <c r="K180" s="107">
        <v>1</v>
      </c>
      <c r="L180" s="11"/>
      <c r="M180" s="87"/>
      <c r="N180" s="948">
        <f aca="true" t="shared" si="7" ref="N180:N185">ROUND(L180*K180,2)</f>
        <v>0</v>
      </c>
      <c r="O180" s="948"/>
      <c r="P180" s="948"/>
      <c r="Q180" s="948"/>
      <c r="R180" s="400"/>
      <c r="S180" s="181"/>
      <c r="T180" s="181"/>
      <c r="U180" s="181"/>
      <c r="V180" s="181"/>
      <c r="W180" s="402"/>
      <c r="X180" s="181"/>
      <c r="Y180" s="402"/>
      <c r="Z180" s="181"/>
      <c r="AA180" s="403"/>
      <c r="AC180" s="249"/>
      <c r="AU180" s="405"/>
      <c r="AY180" s="404"/>
      <c r="BK180" s="406"/>
    </row>
    <row r="181" spans="1:63" s="398" customFormat="1" ht="37.35" customHeight="1">
      <c r="A181" s="181"/>
      <c r="B181" s="399"/>
      <c r="C181" s="149" t="s">
        <v>804</v>
      </c>
      <c r="D181" s="486"/>
      <c r="E181" s="195" t="s">
        <v>1273</v>
      </c>
      <c r="F181" s="1054" t="s">
        <v>619</v>
      </c>
      <c r="G181" s="1055"/>
      <c r="H181" s="1055"/>
      <c r="I181" s="1056"/>
      <c r="J181" s="96" t="s">
        <v>133</v>
      </c>
      <c r="K181" s="95">
        <f>((0.92+1.6+1.95+0.3*4*3+1.13)*3+3.5*3+0.7*15)*1+(4.48*3+5.1*3)*1+(2.25*3+5.1*6+10.6*2)*1+(10.6*1+(4.7+0.6+2.5+0.53+0.94+1.2+0.6+0.75+0.5+1.6)*3)*1</f>
        <v>188.24999999999997</v>
      </c>
      <c r="L181" s="11"/>
      <c r="M181" s="87"/>
      <c r="N181" s="948">
        <f t="shared" si="7"/>
        <v>0</v>
      </c>
      <c r="O181" s="948"/>
      <c r="P181" s="948"/>
      <c r="Q181" s="948"/>
      <c r="R181" s="400"/>
      <c r="S181" s="181"/>
      <c r="T181" s="181"/>
      <c r="U181" s="181"/>
      <c r="V181" s="181"/>
      <c r="W181" s="402"/>
      <c r="X181" s="181"/>
      <c r="Y181" s="402"/>
      <c r="Z181" s="181"/>
      <c r="AA181" s="403"/>
      <c r="AC181" s="249"/>
      <c r="AU181" s="405"/>
      <c r="AY181" s="404"/>
      <c r="BK181" s="406"/>
    </row>
    <row r="182" spans="1:63" s="77" customFormat="1" ht="37.35" customHeight="1">
      <c r="A182" s="674"/>
      <c r="B182" s="758"/>
      <c r="C182" s="149" t="s">
        <v>805</v>
      </c>
      <c r="D182" s="551"/>
      <c r="E182" s="195" t="s">
        <v>1275</v>
      </c>
      <c r="F182" s="1005" t="s">
        <v>620</v>
      </c>
      <c r="G182" s="1006"/>
      <c r="H182" s="1006"/>
      <c r="I182" s="1007"/>
      <c r="J182" s="97" t="s">
        <v>133</v>
      </c>
      <c r="K182" s="60">
        <f>((0.92+1.6+1.95+0.3*4*3+1.13)*3+3.5*3+0.7*15)*1.1</f>
        <v>53.46</v>
      </c>
      <c r="L182" s="27"/>
      <c r="M182" s="87"/>
      <c r="N182" s="998">
        <f t="shared" si="7"/>
        <v>0</v>
      </c>
      <c r="O182" s="998"/>
      <c r="P182" s="998"/>
      <c r="Q182" s="998"/>
      <c r="R182" s="759"/>
      <c r="S182" s="674"/>
      <c r="T182" s="674"/>
      <c r="U182" s="674"/>
      <c r="V182" s="674"/>
      <c r="W182" s="675"/>
      <c r="X182" s="674"/>
      <c r="Y182" s="675"/>
      <c r="Z182" s="674"/>
      <c r="AA182" s="676"/>
      <c r="AC182" s="249"/>
      <c r="AD182" s="398"/>
      <c r="AU182" s="677"/>
      <c r="AY182" s="678"/>
      <c r="BK182" s="625"/>
    </row>
    <row r="183" spans="1:63" s="77" customFormat="1" ht="37.35" customHeight="1">
      <c r="A183" s="674"/>
      <c r="B183" s="758"/>
      <c r="C183" s="149" t="s">
        <v>806</v>
      </c>
      <c r="D183" s="551"/>
      <c r="E183" s="195" t="s">
        <v>1276</v>
      </c>
      <c r="F183" s="1005" t="s">
        <v>621</v>
      </c>
      <c r="G183" s="1006"/>
      <c r="H183" s="1006"/>
      <c r="I183" s="1007"/>
      <c r="J183" s="97" t="s">
        <v>133</v>
      </c>
      <c r="K183" s="60">
        <f>(4.48*3+5.1*3)*1.1</f>
        <v>31.614000000000004</v>
      </c>
      <c r="L183" s="27"/>
      <c r="M183" s="87"/>
      <c r="N183" s="998">
        <f t="shared" si="7"/>
        <v>0</v>
      </c>
      <c r="O183" s="998"/>
      <c r="P183" s="998"/>
      <c r="Q183" s="998"/>
      <c r="R183" s="759"/>
      <c r="S183" s="674"/>
      <c r="T183" s="674"/>
      <c r="U183" s="674"/>
      <c r="V183" s="674"/>
      <c r="W183" s="675"/>
      <c r="X183" s="674"/>
      <c r="Y183" s="675"/>
      <c r="Z183" s="674"/>
      <c r="AA183" s="676"/>
      <c r="AC183" s="249"/>
      <c r="AD183" s="398"/>
      <c r="AU183" s="677"/>
      <c r="AY183" s="678"/>
      <c r="BK183" s="625"/>
    </row>
    <row r="184" spans="1:63" s="77" customFormat="1" ht="37.35" customHeight="1">
      <c r="A184" s="674"/>
      <c r="B184" s="758"/>
      <c r="C184" s="149" t="s">
        <v>807</v>
      </c>
      <c r="D184" s="551"/>
      <c r="E184" s="195" t="s">
        <v>1293</v>
      </c>
      <c r="F184" s="1005" t="s">
        <v>634</v>
      </c>
      <c r="G184" s="1006"/>
      <c r="H184" s="1006"/>
      <c r="I184" s="1007"/>
      <c r="J184" s="97" t="s">
        <v>133</v>
      </c>
      <c r="K184" s="60">
        <f>(2.25*3+5.1*6+10.6*2)*1.1</f>
        <v>64.405</v>
      </c>
      <c r="L184" s="27"/>
      <c r="M184" s="87"/>
      <c r="N184" s="998">
        <f t="shared" si="7"/>
        <v>0</v>
      </c>
      <c r="O184" s="998"/>
      <c r="P184" s="998"/>
      <c r="Q184" s="998"/>
      <c r="R184" s="759"/>
      <c r="S184" s="674"/>
      <c r="T184" s="674"/>
      <c r="U184" s="674"/>
      <c r="V184" s="674"/>
      <c r="W184" s="675"/>
      <c r="X184" s="674"/>
      <c r="Y184" s="675"/>
      <c r="Z184" s="674"/>
      <c r="AA184" s="676"/>
      <c r="AC184" s="249"/>
      <c r="AD184" s="398"/>
      <c r="AU184" s="677"/>
      <c r="AY184" s="678"/>
      <c r="BK184" s="625"/>
    </row>
    <row r="185" spans="1:63" s="77" customFormat="1" ht="37.35" customHeight="1">
      <c r="A185" s="674"/>
      <c r="B185" s="758"/>
      <c r="C185" s="149" t="s">
        <v>808</v>
      </c>
      <c r="D185" s="551"/>
      <c r="E185" s="195" t="s">
        <v>1298</v>
      </c>
      <c r="F185" s="1005" t="s">
        <v>636</v>
      </c>
      <c r="G185" s="1006"/>
      <c r="H185" s="1006"/>
      <c r="I185" s="1007"/>
      <c r="J185" s="97" t="s">
        <v>133</v>
      </c>
      <c r="K185" s="60">
        <f>(10.6*1+(4.7+0.6+2.5+0.53+0.94+1.2+0.6+0.75+0.5+1.6)*3)*1.1</f>
        <v>57.596</v>
      </c>
      <c r="L185" s="27"/>
      <c r="M185" s="87"/>
      <c r="N185" s="998">
        <f t="shared" si="7"/>
        <v>0</v>
      </c>
      <c r="O185" s="998"/>
      <c r="P185" s="998"/>
      <c r="Q185" s="998"/>
      <c r="R185" s="759"/>
      <c r="S185" s="674"/>
      <c r="T185" s="674"/>
      <c r="U185" s="674"/>
      <c r="V185" s="674"/>
      <c r="W185" s="675"/>
      <c r="X185" s="674"/>
      <c r="Y185" s="675"/>
      <c r="Z185" s="674"/>
      <c r="AA185" s="676"/>
      <c r="AC185" s="249"/>
      <c r="AD185" s="398"/>
      <c r="AU185" s="677"/>
      <c r="AY185" s="678"/>
      <c r="BK185" s="625"/>
    </row>
    <row r="186" spans="1:65" s="191" customFormat="1" ht="30" customHeight="1">
      <c r="A186" s="617"/>
      <c r="B186" s="618"/>
      <c r="C186" s="149" t="s">
        <v>809</v>
      </c>
      <c r="D186" s="556"/>
      <c r="E186" s="195" t="s">
        <v>1299</v>
      </c>
      <c r="F186" s="1005" t="s">
        <v>637</v>
      </c>
      <c r="G186" s="1006"/>
      <c r="H186" s="1006"/>
      <c r="I186" s="1007"/>
      <c r="J186" s="97" t="s">
        <v>133</v>
      </c>
      <c r="K186" s="60">
        <f>(1.7+2.1+1.3)*1.1</f>
        <v>5.61</v>
      </c>
      <c r="L186" s="27"/>
      <c r="M186" s="87"/>
      <c r="N186" s="998">
        <f aca="true" t="shared" si="8" ref="N186:N196">ROUND(L186*K186,2)</f>
        <v>0</v>
      </c>
      <c r="O186" s="998"/>
      <c r="P186" s="998"/>
      <c r="Q186" s="998"/>
      <c r="R186" s="619"/>
      <c r="S186" s="617"/>
      <c r="T186" s="620"/>
      <c r="U186" s="621"/>
      <c r="V186" s="622"/>
      <c r="W186" s="622"/>
      <c r="X186" s="622"/>
      <c r="Y186" s="622"/>
      <c r="Z186" s="622"/>
      <c r="AA186" s="623"/>
      <c r="AC186" s="249"/>
      <c r="AD186" s="398"/>
      <c r="AU186" s="624"/>
      <c r="AY186" s="624"/>
      <c r="BE186" s="625"/>
      <c r="BF186" s="625"/>
      <c r="BG186" s="625"/>
      <c r="BH186" s="625"/>
      <c r="BI186" s="625"/>
      <c r="BJ186" s="624"/>
      <c r="BK186" s="625"/>
      <c r="BL186" s="624"/>
      <c r="BM186" s="624"/>
    </row>
    <row r="187" spans="1:65" s="249" customFormat="1" ht="30" customHeight="1">
      <c r="A187" s="87"/>
      <c r="B187" s="247"/>
      <c r="C187" s="149" t="s">
        <v>810</v>
      </c>
      <c r="D187" s="195"/>
      <c r="E187" s="195" t="s">
        <v>1277</v>
      </c>
      <c r="F187" s="960" t="s">
        <v>622</v>
      </c>
      <c r="G187" s="960"/>
      <c r="H187" s="960"/>
      <c r="I187" s="960"/>
      <c r="J187" s="96" t="s">
        <v>198</v>
      </c>
      <c r="K187" s="95">
        <v>6</v>
      </c>
      <c r="L187" s="11"/>
      <c r="M187" s="87"/>
      <c r="N187" s="948">
        <f t="shared" si="8"/>
        <v>0</v>
      </c>
      <c r="O187" s="948"/>
      <c r="P187" s="948"/>
      <c r="Q187" s="948"/>
      <c r="R187" s="248"/>
      <c r="S187" s="87"/>
      <c r="T187" s="483"/>
      <c r="U187" s="221"/>
      <c r="V187" s="408"/>
      <c r="W187" s="408"/>
      <c r="X187" s="408"/>
      <c r="Y187" s="408"/>
      <c r="Z187" s="408"/>
      <c r="AA187" s="409"/>
      <c r="AD187" s="398"/>
      <c r="AU187" s="240"/>
      <c r="AY187" s="240"/>
      <c r="BE187" s="250"/>
      <c r="BF187" s="250"/>
      <c r="BG187" s="250"/>
      <c r="BH187" s="250"/>
      <c r="BI187" s="250"/>
      <c r="BJ187" s="240"/>
      <c r="BK187" s="250"/>
      <c r="BL187" s="240"/>
      <c r="BM187" s="240"/>
    </row>
    <row r="188" spans="1:65" s="191" customFormat="1" ht="30" customHeight="1">
      <c r="A188" s="617"/>
      <c r="B188" s="618"/>
      <c r="C188" s="149" t="s">
        <v>811</v>
      </c>
      <c r="D188" s="556"/>
      <c r="E188" s="195" t="s">
        <v>1278</v>
      </c>
      <c r="F188" s="1001" t="s">
        <v>623</v>
      </c>
      <c r="G188" s="1002"/>
      <c r="H188" s="1002"/>
      <c r="I188" s="1003"/>
      <c r="J188" s="97" t="s">
        <v>198</v>
      </c>
      <c r="K188" s="60">
        <v>6</v>
      </c>
      <c r="L188" s="27"/>
      <c r="M188" s="87"/>
      <c r="N188" s="998">
        <f t="shared" si="8"/>
        <v>0</v>
      </c>
      <c r="O188" s="998"/>
      <c r="P188" s="998"/>
      <c r="Q188" s="998"/>
      <c r="R188" s="619"/>
      <c r="S188" s="617"/>
      <c r="T188" s="620"/>
      <c r="U188" s="621"/>
      <c r="V188" s="622"/>
      <c r="W188" s="622"/>
      <c r="X188" s="622"/>
      <c r="Y188" s="622"/>
      <c r="Z188" s="622"/>
      <c r="AA188" s="623"/>
      <c r="AC188" s="249"/>
      <c r="AD188" s="398"/>
      <c r="AU188" s="624"/>
      <c r="AY188" s="624"/>
      <c r="BE188" s="625"/>
      <c r="BF188" s="625"/>
      <c r="BG188" s="625"/>
      <c r="BH188" s="625"/>
      <c r="BI188" s="625"/>
      <c r="BJ188" s="624"/>
      <c r="BK188" s="625"/>
      <c r="BL188" s="624"/>
      <c r="BM188" s="624"/>
    </row>
    <row r="189" spans="1:65" s="249" customFormat="1" ht="30" customHeight="1">
      <c r="A189" s="87"/>
      <c r="B189" s="247"/>
      <c r="C189" s="149" t="s">
        <v>812</v>
      </c>
      <c r="D189" s="195"/>
      <c r="E189" s="195" t="s">
        <v>1279</v>
      </c>
      <c r="F189" s="1054" t="s">
        <v>624</v>
      </c>
      <c r="G189" s="1055"/>
      <c r="H189" s="1055"/>
      <c r="I189" s="1056"/>
      <c r="J189" s="96" t="s">
        <v>198</v>
      </c>
      <c r="K189" s="95">
        <v>13</v>
      </c>
      <c r="L189" s="11"/>
      <c r="M189" s="87"/>
      <c r="N189" s="948">
        <f t="shared" si="8"/>
        <v>0</v>
      </c>
      <c r="O189" s="948"/>
      <c r="P189" s="948"/>
      <c r="Q189" s="948"/>
      <c r="R189" s="248"/>
      <c r="S189" s="87"/>
      <c r="T189" s="483"/>
      <c r="U189" s="221"/>
      <c r="V189" s="408"/>
      <c r="W189" s="408"/>
      <c r="X189" s="408"/>
      <c r="Y189" s="408"/>
      <c r="Z189" s="408"/>
      <c r="AA189" s="409"/>
      <c r="AD189" s="398"/>
      <c r="AU189" s="240"/>
      <c r="AY189" s="240"/>
      <c r="BE189" s="250"/>
      <c r="BF189" s="250"/>
      <c r="BG189" s="250"/>
      <c r="BH189" s="250"/>
      <c r="BI189" s="250"/>
      <c r="BJ189" s="240"/>
      <c r="BK189" s="250"/>
      <c r="BL189" s="240"/>
      <c r="BM189" s="240"/>
    </row>
    <row r="190" spans="1:65" s="191" customFormat="1" ht="30" customHeight="1">
      <c r="A190" s="617"/>
      <c r="B190" s="618"/>
      <c r="C190" s="149" t="s">
        <v>813</v>
      </c>
      <c r="D190" s="556"/>
      <c r="E190" s="195" t="s">
        <v>1280</v>
      </c>
      <c r="F190" s="1001" t="s">
        <v>625</v>
      </c>
      <c r="G190" s="1002"/>
      <c r="H190" s="1002"/>
      <c r="I190" s="1003"/>
      <c r="J190" s="97" t="s">
        <v>198</v>
      </c>
      <c r="K190" s="60">
        <v>13</v>
      </c>
      <c r="L190" s="27"/>
      <c r="M190" s="87"/>
      <c r="N190" s="998">
        <f t="shared" si="8"/>
        <v>0</v>
      </c>
      <c r="O190" s="998"/>
      <c r="P190" s="998"/>
      <c r="Q190" s="998"/>
      <c r="R190" s="619"/>
      <c r="S190" s="617"/>
      <c r="T190" s="620"/>
      <c r="U190" s="621"/>
      <c r="V190" s="622"/>
      <c r="W190" s="622"/>
      <c r="X190" s="622"/>
      <c r="Y190" s="622"/>
      <c r="Z190" s="622"/>
      <c r="AA190" s="623"/>
      <c r="AC190" s="249"/>
      <c r="AD190" s="398"/>
      <c r="AU190" s="624"/>
      <c r="AY190" s="624"/>
      <c r="BE190" s="625"/>
      <c r="BF190" s="625"/>
      <c r="BG190" s="625"/>
      <c r="BH190" s="625"/>
      <c r="BI190" s="625"/>
      <c r="BJ190" s="624"/>
      <c r="BK190" s="625"/>
      <c r="BL190" s="624"/>
      <c r="BM190" s="624"/>
    </row>
    <row r="191" spans="1:65" s="249" customFormat="1" ht="30" customHeight="1">
      <c r="A191" s="87"/>
      <c r="B191" s="247"/>
      <c r="C191" s="149" t="s">
        <v>814</v>
      </c>
      <c r="D191" s="195"/>
      <c r="E191" s="195" t="s">
        <v>1281</v>
      </c>
      <c r="F191" s="1054" t="s">
        <v>626</v>
      </c>
      <c r="G191" s="1055"/>
      <c r="H191" s="1055"/>
      <c r="I191" s="1056"/>
      <c r="J191" s="96" t="s">
        <v>198</v>
      </c>
      <c r="K191" s="95">
        <v>3</v>
      </c>
      <c r="L191" s="11"/>
      <c r="M191" s="87"/>
      <c r="N191" s="948">
        <f t="shared" si="8"/>
        <v>0</v>
      </c>
      <c r="O191" s="948"/>
      <c r="P191" s="948"/>
      <c r="Q191" s="948"/>
      <c r="R191" s="248"/>
      <c r="S191" s="87"/>
      <c r="T191" s="483"/>
      <c r="U191" s="221"/>
      <c r="V191" s="408"/>
      <c r="W191" s="408"/>
      <c r="X191" s="408"/>
      <c r="Y191" s="408"/>
      <c r="Z191" s="408"/>
      <c r="AA191" s="409"/>
      <c r="AD191" s="398"/>
      <c r="AU191" s="240"/>
      <c r="AY191" s="240"/>
      <c r="BE191" s="250"/>
      <c r="BF191" s="250"/>
      <c r="BG191" s="250"/>
      <c r="BH191" s="250"/>
      <c r="BI191" s="250"/>
      <c r="BJ191" s="240"/>
      <c r="BK191" s="250"/>
      <c r="BL191" s="240"/>
      <c r="BM191" s="240"/>
    </row>
    <row r="192" spans="1:65" s="191" customFormat="1" ht="30" customHeight="1">
      <c r="A192" s="617"/>
      <c r="B192" s="618"/>
      <c r="C192" s="149" t="s">
        <v>815</v>
      </c>
      <c r="D192" s="556"/>
      <c r="E192" s="195" t="s">
        <v>1282</v>
      </c>
      <c r="F192" s="1001" t="s">
        <v>627</v>
      </c>
      <c r="G192" s="1002"/>
      <c r="H192" s="1002"/>
      <c r="I192" s="1003"/>
      <c r="J192" s="97" t="s">
        <v>198</v>
      </c>
      <c r="K192" s="60">
        <v>3</v>
      </c>
      <c r="L192" s="27"/>
      <c r="M192" s="87"/>
      <c r="N192" s="998">
        <f t="shared" si="8"/>
        <v>0</v>
      </c>
      <c r="O192" s="998"/>
      <c r="P192" s="998"/>
      <c r="Q192" s="998"/>
      <c r="R192" s="619"/>
      <c r="S192" s="617"/>
      <c r="T192" s="620"/>
      <c r="U192" s="621"/>
      <c r="V192" s="622"/>
      <c r="W192" s="622"/>
      <c r="X192" s="622"/>
      <c r="Y192" s="622"/>
      <c r="Z192" s="622"/>
      <c r="AA192" s="623"/>
      <c r="AC192" s="249"/>
      <c r="AD192" s="398"/>
      <c r="AU192" s="624"/>
      <c r="AY192" s="624"/>
      <c r="BE192" s="625"/>
      <c r="BF192" s="625"/>
      <c r="BG192" s="625"/>
      <c r="BH192" s="625"/>
      <c r="BI192" s="625"/>
      <c r="BJ192" s="624"/>
      <c r="BK192" s="625"/>
      <c r="BL192" s="624"/>
      <c r="BM192" s="624"/>
    </row>
    <row r="193" spans="1:65" s="249" customFormat="1" ht="30" customHeight="1">
      <c r="A193" s="87"/>
      <c r="B193" s="247"/>
      <c r="C193" s="149" t="s">
        <v>237</v>
      </c>
      <c r="D193" s="195"/>
      <c r="E193" s="195" t="s">
        <v>1283</v>
      </c>
      <c r="F193" s="1054" t="s">
        <v>628</v>
      </c>
      <c r="G193" s="1055"/>
      <c r="H193" s="1055"/>
      <c r="I193" s="1056"/>
      <c r="J193" s="96" t="s">
        <v>198</v>
      </c>
      <c r="K193" s="95">
        <v>1</v>
      </c>
      <c r="L193" s="11"/>
      <c r="M193" s="87"/>
      <c r="N193" s="948">
        <f t="shared" si="8"/>
        <v>0</v>
      </c>
      <c r="O193" s="948"/>
      <c r="P193" s="948"/>
      <c r="Q193" s="948"/>
      <c r="R193" s="248"/>
      <c r="S193" s="87"/>
      <c r="T193" s="483"/>
      <c r="U193" s="221"/>
      <c r="V193" s="408"/>
      <c r="W193" s="408"/>
      <c r="X193" s="408"/>
      <c r="Y193" s="408"/>
      <c r="Z193" s="408"/>
      <c r="AA193" s="409"/>
      <c r="AD193" s="398"/>
      <c r="AU193" s="240"/>
      <c r="AY193" s="240"/>
      <c r="BE193" s="250"/>
      <c r="BF193" s="250"/>
      <c r="BG193" s="250"/>
      <c r="BH193" s="250"/>
      <c r="BI193" s="250"/>
      <c r="BJ193" s="240"/>
      <c r="BK193" s="250"/>
      <c r="BL193" s="240"/>
      <c r="BM193" s="240"/>
    </row>
    <row r="194" spans="1:65" s="191" customFormat="1" ht="30" customHeight="1">
      <c r="A194" s="617"/>
      <c r="B194" s="618"/>
      <c r="C194" s="149" t="s">
        <v>238</v>
      </c>
      <c r="D194" s="556"/>
      <c r="E194" s="195" t="s">
        <v>1284</v>
      </c>
      <c r="F194" s="1001" t="s">
        <v>629</v>
      </c>
      <c r="G194" s="1002"/>
      <c r="H194" s="1002"/>
      <c r="I194" s="1003"/>
      <c r="J194" s="99" t="s">
        <v>198</v>
      </c>
      <c r="K194" s="60">
        <v>1</v>
      </c>
      <c r="L194" s="27"/>
      <c r="M194" s="87"/>
      <c r="N194" s="998">
        <f t="shared" si="8"/>
        <v>0</v>
      </c>
      <c r="O194" s="998"/>
      <c r="P194" s="998"/>
      <c r="Q194" s="998"/>
      <c r="R194" s="619"/>
      <c r="S194" s="617"/>
      <c r="T194" s="620"/>
      <c r="U194" s="621"/>
      <c r="V194" s="622"/>
      <c r="W194" s="622"/>
      <c r="X194" s="622"/>
      <c r="Y194" s="622"/>
      <c r="Z194" s="622"/>
      <c r="AA194" s="623"/>
      <c r="AC194" s="249"/>
      <c r="AD194" s="398"/>
      <c r="AU194" s="624"/>
      <c r="AY194" s="624"/>
      <c r="BE194" s="625"/>
      <c r="BF194" s="625"/>
      <c r="BG194" s="625"/>
      <c r="BH194" s="625"/>
      <c r="BI194" s="625"/>
      <c r="BJ194" s="624"/>
      <c r="BK194" s="625"/>
      <c r="BL194" s="624"/>
      <c r="BM194" s="624"/>
    </row>
    <row r="195" spans="1:65" s="249" customFormat="1" ht="30" customHeight="1">
      <c r="A195" s="87"/>
      <c r="B195" s="247"/>
      <c r="C195" s="149" t="s">
        <v>239</v>
      </c>
      <c r="D195" s="195"/>
      <c r="E195" s="195" t="s">
        <v>1300</v>
      </c>
      <c r="F195" s="1097" t="s">
        <v>638</v>
      </c>
      <c r="G195" s="1098"/>
      <c r="H195" s="1098"/>
      <c r="I195" s="1099"/>
      <c r="J195" s="96" t="s">
        <v>198</v>
      </c>
      <c r="K195" s="95">
        <v>1</v>
      </c>
      <c r="L195" s="11"/>
      <c r="M195" s="87"/>
      <c r="N195" s="948">
        <f t="shared" si="8"/>
        <v>0</v>
      </c>
      <c r="O195" s="948"/>
      <c r="P195" s="948"/>
      <c r="Q195" s="948"/>
      <c r="R195" s="248"/>
      <c r="S195" s="87"/>
      <c r="T195" s="483"/>
      <c r="U195" s="221"/>
      <c r="V195" s="408"/>
      <c r="W195" s="408"/>
      <c r="X195" s="408"/>
      <c r="Y195" s="408"/>
      <c r="Z195" s="408"/>
      <c r="AA195" s="409"/>
      <c r="AD195" s="398"/>
      <c r="AU195" s="240"/>
      <c r="AY195" s="240"/>
      <c r="BE195" s="250"/>
      <c r="BF195" s="250"/>
      <c r="BG195" s="250"/>
      <c r="BH195" s="250"/>
      <c r="BI195" s="250"/>
      <c r="BJ195" s="240"/>
      <c r="BK195" s="250"/>
      <c r="BL195" s="240"/>
      <c r="BM195" s="240"/>
    </row>
    <row r="196" spans="1:65" s="191" customFormat="1" ht="30" customHeight="1">
      <c r="A196" s="617"/>
      <c r="B196" s="618"/>
      <c r="C196" s="149" t="s">
        <v>816</v>
      </c>
      <c r="D196" s="556"/>
      <c r="E196" s="195" t="s">
        <v>1301</v>
      </c>
      <c r="F196" s="1102" t="s">
        <v>639</v>
      </c>
      <c r="G196" s="1103"/>
      <c r="H196" s="1103"/>
      <c r="I196" s="1104"/>
      <c r="J196" s="97" t="s">
        <v>198</v>
      </c>
      <c r="K196" s="60">
        <v>1</v>
      </c>
      <c r="L196" s="27"/>
      <c r="M196" s="87"/>
      <c r="N196" s="998">
        <f t="shared" si="8"/>
        <v>0</v>
      </c>
      <c r="O196" s="998"/>
      <c r="P196" s="998"/>
      <c r="Q196" s="998"/>
      <c r="R196" s="619"/>
      <c r="S196" s="617"/>
      <c r="T196" s="620"/>
      <c r="U196" s="621"/>
      <c r="V196" s="622"/>
      <c r="W196" s="622"/>
      <c r="X196" s="622"/>
      <c r="Y196" s="622"/>
      <c r="Z196" s="622"/>
      <c r="AA196" s="623"/>
      <c r="AC196" s="249"/>
      <c r="AD196" s="398"/>
      <c r="AU196" s="624"/>
      <c r="AY196" s="624"/>
      <c r="BE196" s="625"/>
      <c r="BF196" s="625"/>
      <c r="BG196" s="625"/>
      <c r="BH196" s="625"/>
      <c r="BI196" s="625"/>
      <c r="BJ196" s="624"/>
      <c r="BK196" s="625"/>
      <c r="BL196" s="624"/>
      <c r="BM196" s="624"/>
    </row>
    <row r="197" spans="1:65" s="191" customFormat="1" ht="30" customHeight="1">
      <c r="A197" s="617"/>
      <c r="B197" s="618"/>
      <c r="C197" s="149" t="s">
        <v>817</v>
      </c>
      <c r="D197" s="556"/>
      <c r="E197" s="195" t="s">
        <v>1302</v>
      </c>
      <c r="F197" s="1102" t="s">
        <v>640</v>
      </c>
      <c r="G197" s="1103"/>
      <c r="H197" s="1103"/>
      <c r="I197" s="1104"/>
      <c r="J197" s="97" t="s">
        <v>198</v>
      </c>
      <c r="K197" s="60">
        <v>1</v>
      </c>
      <c r="L197" s="27"/>
      <c r="M197" s="87"/>
      <c r="N197" s="998">
        <f aca="true" t="shared" si="9" ref="N197:N208">ROUND(L197*K197,2)</f>
        <v>0</v>
      </c>
      <c r="O197" s="998"/>
      <c r="P197" s="998"/>
      <c r="Q197" s="998"/>
      <c r="R197" s="619"/>
      <c r="S197" s="617"/>
      <c r="T197" s="620"/>
      <c r="U197" s="621"/>
      <c r="V197" s="622"/>
      <c r="W197" s="622"/>
      <c r="X197" s="622"/>
      <c r="Y197" s="622"/>
      <c r="Z197" s="622"/>
      <c r="AA197" s="623"/>
      <c r="AC197" s="249"/>
      <c r="AD197" s="398"/>
      <c r="AU197" s="624"/>
      <c r="AY197" s="624"/>
      <c r="BE197" s="625"/>
      <c r="BF197" s="625"/>
      <c r="BG197" s="625"/>
      <c r="BH197" s="625"/>
      <c r="BI197" s="625"/>
      <c r="BJ197" s="624"/>
      <c r="BK197" s="625"/>
      <c r="BL197" s="624"/>
      <c r="BM197" s="624"/>
    </row>
    <row r="198" spans="1:65" s="191" customFormat="1" ht="30" customHeight="1">
      <c r="A198" s="617"/>
      <c r="B198" s="618"/>
      <c r="C198" s="149" t="s">
        <v>818</v>
      </c>
      <c r="D198" s="556"/>
      <c r="E198" s="195" t="s">
        <v>1303</v>
      </c>
      <c r="F198" s="1102" t="s">
        <v>641</v>
      </c>
      <c r="G198" s="1103"/>
      <c r="H198" s="1103"/>
      <c r="I198" s="1104"/>
      <c r="J198" s="97" t="s">
        <v>198</v>
      </c>
      <c r="K198" s="60">
        <v>1</v>
      </c>
      <c r="L198" s="27"/>
      <c r="M198" s="87"/>
      <c r="N198" s="998">
        <f t="shared" si="9"/>
        <v>0</v>
      </c>
      <c r="O198" s="998"/>
      <c r="P198" s="998"/>
      <c r="Q198" s="998"/>
      <c r="R198" s="619"/>
      <c r="S198" s="617"/>
      <c r="T198" s="620"/>
      <c r="U198" s="621"/>
      <c r="V198" s="622"/>
      <c r="W198" s="622"/>
      <c r="X198" s="622"/>
      <c r="Y198" s="622"/>
      <c r="Z198" s="622"/>
      <c r="AA198" s="623"/>
      <c r="AC198" s="249"/>
      <c r="AD198" s="398"/>
      <c r="AU198" s="624"/>
      <c r="AY198" s="624"/>
      <c r="BE198" s="625"/>
      <c r="BF198" s="625"/>
      <c r="BG198" s="625"/>
      <c r="BH198" s="625"/>
      <c r="BI198" s="625"/>
      <c r="BJ198" s="624"/>
      <c r="BK198" s="625"/>
      <c r="BL198" s="624"/>
      <c r="BM198" s="624"/>
    </row>
    <row r="199" spans="1:65" s="191" customFormat="1" ht="30" customHeight="1">
      <c r="A199" s="617"/>
      <c r="B199" s="618"/>
      <c r="C199" s="149" t="s">
        <v>819</v>
      </c>
      <c r="D199" s="556"/>
      <c r="E199" s="195" t="s">
        <v>1304</v>
      </c>
      <c r="F199" s="1102" t="s">
        <v>642</v>
      </c>
      <c r="G199" s="1103"/>
      <c r="H199" s="1103"/>
      <c r="I199" s="1104"/>
      <c r="J199" s="97" t="s">
        <v>198</v>
      </c>
      <c r="K199" s="60">
        <v>1</v>
      </c>
      <c r="L199" s="27"/>
      <c r="M199" s="87"/>
      <c r="N199" s="998">
        <f t="shared" si="9"/>
        <v>0</v>
      </c>
      <c r="O199" s="998"/>
      <c r="P199" s="998"/>
      <c r="Q199" s="998"/>
      <c r="R199" s="619"/>
      <c r="S199" s="617"/>
      <c r="T199" s="620"/>
      <c r="U199" s="621"/>
      <c r="V199" s="622"/>
      <c r="W199" s="622"/>
      <c r="X199" s="622"/>
      <c r="Y199" s="622"/>
      <c r="Z199" s="622"/>
      <c r="AA199" s="623"/>
      <c r="AC199" s="249"/>
      <c r="AD199" s="398"/>
      <c r="AU199" s="624"/>
      <c r="AY199" s="624"/>
      <c r="BE199" s="625"/>
      <c r="BF199" s="625"/>
      <c r="BG199" s="625"/>
      <c r="BH199" s="625"/>
      <c r="BI199" s="625"/>
      <c r="BJ199" s="624"/>
      <c r="BK199" s="625"/>
      <c r="BL199" s="624"/>
      <c r="BM199" s="624"/>
    </row>
    <row r="200" spans="1:65" s="249" customFormat="1" ht="30" customHeight="1">
      <c r="A200" s="87"/>
      <c r="B200" s="247"/>
      <c r="C200" s="149" t="s">
        <v>820</v>
      </c>
      <c r="D200" s="195"/>
      <c r="E200" s="195" t="s">
        <v>1285</v>
      </c>
      <c r="F200" s="1054" t="s">
        <v>630</v>
      </c>
      <c r="G200" s="1055"/>
      <c r="H200" s="1055"/>
      <c r="I200" s="1056"/>
      <c r="J200" s="96" t="s">
        <v>198</v>
      </c>
      <c r="K200" s="95">
        <v>3</v>
      </c>
      <c r="L200" s="11"/>
      <c r="M200" s="87"/>
      <c r="N200" s="948">
        <f t="shared" si="9"/>
        <v>0</v>
      </c>
      <c r="O200" s="948"/>
      <c r="P200" s="948"/>
      <c r="Q200" s="948"/>
      <c r="R200" s="248"/>
      <c r="S200" s="87"/>
      <c r="T200" s="483"/>
      <c r="U200" s="221"/>
      <c r="V200" s="408"/>
      <c r="W200" s="408"/>
      <c r="X200" s="408"/>
      <c r="Y200" s="408"/>
      <c r="Z200" s="408"/>
      <c r="AA200" s="409"/>
      <c r="AD200" s="398"/>
      <c r="AU200" s="240"/>
      <c r="AY200" s="240"/>
      <c r="BE200" s="250"/>
      <c r="BF200" s="250"/>
      <c r="BG200" s="250"/>
      <c r="BH200" s="250"/>
      <c r="BI200" s="250"/>
      <c r="BJ200" s="240"/>
      <c r="BK200" s="250"/>
      <c r="BL200" s="240"/>
      <c r="BM200" s="240"/>
    </row>
    <row r="201" spans="1:65" s="191" customFormat="1" ht="30" customHeight="1">
      <c r="A201" s="617"/>
      <c r="B201" s="618"/>
      <c r="C201" s="149" t="s">
        <v>821</v>
      </c>
      <c r="D201" s="556"/>
      <c r="E201" s="195" t="s">
        <v>1286</v>
      </c>
      <c r="F201" s="1001" t="s">
        <v>631</v>
      </c>
      <c r="G201" s="1002"/>
      <c r="H201" s="1002"/>
      <c r="I201" s="1003"/>
      <c r="J201" s="97" t="s">
        <v>198</v>
      </c>
      <c r="K201" s="60">
        <v>3</v>
      </c>
      <c r="L201" s="27"/>
      <c r="M201" s="87"/>
      <c r="N201" s="998">
        <f t="shared" si="9"/>
        <v>0</v>
      </c>
      <c r="O201" s="998"/>
      <c r="P201" s="998"/>
      <c r="Q201" s="998"/>
      <c r="R201" s="619"/>
      <c r="S201" s="617"/>
      <c r="T201" s="620"/>
      <c r="U201" s="621"/>
      <c r="V201" s="622"/>
      <c r="W201" s="622"/>
      <c r="X201" s="622"/>
      <c r="Y201" s="622"/>
      <c r="Z201" s="622"/>
      <c r="AA201" s="623"/>
      <c r="AC201" s="249"/>
      <c r="AD201" s="398"/>
      <c r="AU201" s="624"/>
      <c r="AY201" s="624"/>
      <c r="BE201" s="625"/>
      <c r="BF201" s="625"/>
      <c r="BG201" s="625"/>
      <c r="BH201" s="625"/>
      <c r="BI201" s="625"/>
      <c r="BJ201" s="624"/>
      <c r="BK201" s="625"/>
      <c r="BL201" s="624"/>
      <c r="BM201" s="624"/>
    </row>
    <row r="202" spans="1:65" s="191" customFormat="1" ht="36.6" customHeight="1">
      <c r="A202" s="745"/>
      <c r="B202" s="746"/>
      <c r="C202" s="760" t="s">
        <v>822</v>
      </c>
      <c r="D202" s="747"/>
      <c r="E202" s="718" t="s">
        <v>1305</v>
      </c>
      <c r="F202" s="1094" t="s">
        <v>1288</v>
      </c>
      <c r="G202" s="1094"/>
      <c r="H202" s="1094"/>
      <c r="I202" s="1094"/>
      <c r="J202" s="113" t="s">
        <v>2227</v>
      </c>
      <c r="K202" s="114">
        <v>1</v>
      </c>
      <c r="L202" s="115"/>
      <c r="M202" s="721"/>
      <c r="N202" s="1105">
        <f t="shared" si="9"/>
        <v>0</v>
      </c>
      <c r="O202" s="1105"/>
      <c r="P202" s="1105"/>
      <c r="Q202" s="1105"/>
      <c r="R202" s="619"/>
      <c r="S202" s="617"/>
      <c r="T202" s="679"/>
      <c r="U202" s="621"/>
      <c r="V202" s="622"/>
      <c r="W202" s="622"/>
      <c r="X202" s="622"/>
      <c r="Y202" s="622"/>
      <c r="Z202" s="622"/>
      <c r="AA202" s="623"/>
      <c r="AC202" s="249">
        <v>4064.25</v>
      </c>
      <c r="AD202" s="398"/>
      <c r="AU202" s="624"/>
      <c r="AY202" s="624"/>
      <c r="BE202" s="625"/>
      <c r="BF202" s="625"/>
      <c r="BG202" s="625"/>
      <c r="BH202" s="625"/>
      <c r="BI202" s="625"/>
      <c r="BJ202" s="624"/>
      <c r="BK202" s="625"/>
      <c r="BL202" s="624"/>
      <c r="BM202" s="624"/>
    </row>
    <row r="203" spans="1:65" s="249" customFormat="1" ht="36.6" customHeight="1">
      <c r="A203" s="87"/>
      <c r="B203" s="247"/>
      <c r="C203" s="149" t="s">
        <v>823</v>
      </c>
      <c r="D203" s="195"/>
      <c r="E203" s="195" t="s">
        <v>1289</v>
      </c>
      <c r="F203" s="965" t="s">
        <v>248</v>
      </c>
      <c r="G203" s="965"/>
      <c r="H203" s="965"/>
      <c r="I203" s="965"/>
      <c r="J203" s="94" t="s">
        <v>133</v>
      </c>
      <c r="K203" s="95">
        <f>K181</f>
        <v>188.24999999999997</v>
      </c>
      <c r="L203" s="11"/>
      <c r="M203" s="87"/>
      <c r="N203" s="948">
        <f t="shared" si="9"/>
        <v>0</v>
      </c>
      <c r="O203" s="948"/>
      <c r="P203" s="948"/>
      <c r="Q203" s="948"/>
      <c r="R203" s="248"/>
      <c r="S203" s="87"/>
      <c r="T203" s="89"/>
      <c r="U203" s="221"/>
      <c r="V203" s="408"/>
      <c r="W203" s="408"/>
      <c r="X203" s="408"/>
      <c r="Y203" s="408"/>
      <c r="Z203" s="408"/>
      <c r="AA203" s="409"/>
      <c r="AD203" s="398"/>
      <c r="AU203" s="240"/>
      <c r="AY203" s="240"/>
      <c r="BE203" s="250"/>
      <c r="BF203" s="250"/>
      <c r="BG203" s="250"/>
      <c r="BH203" s="250"/>
      <c r="BI203" s="250"/>
      <c r="BJ203" s="240"/>
      <c r="BK203" s="250"/>
      <c r="BL203" s="240"/>
      <c r="BM203" s="240"/>
    </row>
    <row r="204" spans="1:65" s="191" customFormat="1" ht="36.6" customHeight="1">
      <c r="A204" s="617"/>
      <c r="B204" s="618"/>
      <c r="C204" s="149" t="s">
        <v>824</v>
      </c>
      <c r="D204" s="556"/>
      <c r="E204" s="195" t="s">
        <v>1291</v>
      </c>
      <c r="F204" s="1000" t="s">
        <v>651</v>
      </c>
      <c r="G204" s="1000"/>
      <c r="H204" s="1000"/>
      <c r="I204" s="1000"/>
      <c r="J204" s="101" t="s">
        <v>133</v>
      </c>
      <c r="K204" s="60">
        <f>K182+K183</f>
        <v>85.07400000000001</v>
      </c>
      <c r="L204" s="27"/>
      <c r="M204" s="87"/>
      <c r="N204" s="998">
        <f t="shared" si="9"/>
        <v>0</v>
      </c>
      <c r="O204" s="998"/>
      <c r="P204" s="998"/>
      <c r="Q204" s="998"/>
      <c r="R204" s="619"/>
      <c r="S204" s="617"/>
      <c r="T204" s="679"/>
      <c r="U204" s="621"/>
      <c r="V204" s="622"/>
      <c r="W204" s="622"/>
      <c r="X204" s="622"/>
      <c r="Y204" s="622"/>
      <c r="Z204" s="622"/>
      <c r="AA204" s="623"/>
      <c r="AC204" s="249"/>
      <c r="AD204" s="398"/>
      <c r="AU204" s="624"/>
      <c r="AY204" s="624"/>
      <c r="BE204" s="625"/>
      <c r="BF204" s="625"/>
      <c r="BG204" s="625"/>
      <c r="BH204" s="625"/>
      <c r="BI204" s="625"/>
      <c r="BJ204" s="624"/>
      <c r="BK204" s="625"/>
      <c r="BL204" s="624"/>
      <c r="BM204" s="624"/>
    </row>
    <row r="205" spans="1:65" s="191" customFormat="1" ht="36.6" customHeight="1">
      <c r="A205" s="617"/>
      <c r="B205" s="618"/>
      <c r="C205" s="149" t="s">
        <v>825</v>
      </c>
      <c r="D205" s="556"/>
      <c r="E205" s="195" t="s">
        <v>1292</v>
      </c>
      <c r="F205" s="1000" t="s">
        <v>652</v>
      </c>
      <c r="G205" s="1000"/>
      <c r="H205" s="1000"/>
      <c r="I205" s="1000"/>
      <c r="J205" s="101" t="s">
        <v>133</v>
      </c>
      <c r="K205" s="60">
        <f>K184+K185+K186</f>
        <v>127.611</v>
      </c>
      <c r="L205" s="27"/>
      <c r="M205" s="87"/>
      <c r="N205" s="998">
        <f t="shared" si="9"/>
        <v>0</v>
      </c>
      <c r="O205" s="998"/>
      <c r="P205" s="998"/>
      <c r="Q205" s="998"/>
      <c r="R205" s="619"/>
      <c r="S205" s="617"/>
      <c r="T205" s="679"/>
      <c r="U205" s="621"/>
      <c r="V205" s="622"/>
      <c r="W205" s="622"/>
      <c r="X205" s="622"/>
      <c r="Y205" s="622"/>
      <c r="Z205" s="622"/>
      <c r="AA205" s="623"/>
      <c r="AC205" s="249"/>
      <c r="AD205" s="398"/>
      <c r="AU205" s="624"/>
      <c r="AY205" s="624"/>
      <c r="BE205" s="625"/>
      <c r="BF205" s="625"/>
      <c r="BG205" s="625"/>
      <c r="BH205" s="625"/>
      <c r="BI205" s="625"/>
      <c r="BJ205" s="624"/>
      <c r="BK205" s="625"/>
      <c r="BL205" s="624"/>
      <c r="BM205" s="624"/>
    </row>
    <row r="206" spans="1:65" s="249" customFormat="1" ht="39.6" customHeight="1">
      <c r="A206" s="87"/>
      <c r="B206" s="247"/>
      <c r="C206" s="149" t="s">
        <v>826</v>
      </c>
      <c r="D206" s="195"/>
      <c r="E206" s="195" t="s">
        <v>1306</v>
      </c>
      <c r="F206" s="999" t="s">
        <v>247</v>
      </c>
      <c r="G206" s="999"/>
      <c r="H206" s="999"/>
      <c r="I206" s="999"/>
      <c r="J206" s="102" t="s">
        <v>131</v>
      </c>
      <c r="K206" s="43">
        <v>1</v>
      </c>
      <c r="L206" s="21"/>
      <c r="M206" s="87"/>
      <c r="N206" s="948">
        <f t="shared" si="9"/>
        <v>0</v>
      </c>
      <c r="O206" s="948"/>
      <c r="P206" s="948"/>
      <c r="Q206" s="948"/>
      <c r="R206" s="248"/>
      <c r="S206" s="87"/>
      <c r="T206" s="89"/>
      <c r="U206" s="221"/>
      <c r="V206" s="408"/>
      <c r="W206" s="408"/>
      <c r="X206" s="408"/>
      <c r="Y206" s="408"/>
      <c r="Z206" s="408"/>
      <c r="AA206" s="409"/>
      <c r="AD206" s="398"/>
      <c r="AU206" s="240"/>
      <c r="AY206" s="240"/>
      <c r="BE206" s="250"/>
      <c r="BF206" s="250"/>
      <c r="BG206" s="250"/>
      <c r="BH206" s="250"/>
      <c r="BI206" s="250"/>
      <c r="BJ206" s="240"/>
      <c r="BK206" s="250"/>
      <c r="BL206" s="240"/>
      <c r="BM206" s="240"/>
    </row>
    <row r="207" spans="1:65" s="249" customFormat="1" ht="39.6" customHeight="1">
      <c r="A207" s="87"/>
      <c r="B207" s="247"/>
      <c r="C207" s="760" t="s">
        <v>827</v>
      </c>
      <c r="D207" s="718"/>
      <c r="E207" s="718" t="s">
        <v>1293</v>
      </c>
      <c r="F207" s="954" t="s">
        <v>206</v>
      </c>
      <c r="G207" s="954"/>
      <c r="H207" s="954"/>
      <c r="I207" s="954"/>
      <c r="J207" s="103" t="s">
        <v>2227</v>
      </c>
      <c r="K207" s="104">
        <v>1</v>
      </c>
      <c r="L207" s="36"/>
      <c r="M207" s="87"/>
      <c r="N207" s="1009">
        <f t="shared" si="9"/>
        <v>0</v>
      </c>
      <c r="O207" s="1009"/>
      <c r="P207" s="1009"/>
      <c r="Q207" s="1009"/>
      <c r="R207" s="248"/>
      <c r="S207" s="87"/>
      <c r="T207" s="89"/>
      <c r="U207" s="221"/>
      <c r="V207" s="408"/>
      <c r="W207" s="408"/>
      <c r="X207" s="408"/>
      <c r="Y207" s="408"/>
      <c r="Z207" s="408"/>
      <c r="AA207" s="409"/>
      <c r="AC207" s="249">
        <v>3393.66</v>
      </c>
      <c r="AD207" s="398"/>
      <c r="AU207" s="240"/>
      <c r="AY207" s="240"/>
      <c r="BE207" s="250"/>
      <c r="BF207" s="250"/>
      <c r="BG207" s="250"/>
      <c r="BH207" s="250"/>
      <c r="BI207" s="250"/>
      <c r="BJ207" s="240"/>
      <c r="BK207" s="250"/>
      <c r="BL207" s="240"/>
      <c r="BM207" s="240"/>
    </row>
    <row r="208" spans="1:65" s="249" customFormat="1" ht="39.6" customHeight="1">
      <c r="A208" s="87"/>
      <c r="B208" s="247"/>
      <c r="C208" s="760" t="s">
        <v>828</v>
      </c>
      <c r="D208" s="718"/>
      <c r="E208" s="718" t="s">
        <v>1294</v>
      </c>
      <c r="F208" s="954" t="s">
        <v>2226</v>
      </c>
      <c r="G208" s="954"/>
      <c r="H208" s="954"/>
      <c r="I208" s="954"/>
      <c r="J208" s="103" t="s">
        <v>2227</v>
      </c>
      <c r="K208" s="104">
        <v>1</v>
      </c>
      <c r="L208" s="36"/>
      <c r="M208" s="87"/>
      <c r="N208" s="1009">
        <f t="shared" si="9"/>
        <v>0</v>
      </c>
      <c r="O208" s="1009"/>
      <c r="P208" s="1009"/>
      <c r="Q208" s="1009"/>
      <c r="R208" s="248"/>
      <c r="S208" s="87"/>
      <c r="T208" s="89"/>
      <c r="U208" s="221"/>
      <c r="V208" s="408"/>
      <c r="W208" s="408"/>
      <c r="X208" s="408"/>
      <c r="Y208" s="408"/>
      <c r="Z208" s="408"/>
      <c r="AA208" s="409"/>
      <c r="AC208" s="249">
        <v>3393.66</v>
      </c>
      <c r="AD208" s="398"/>
      <c r="AU208" s="240"/>
      <c r="AY208" s="240"/>
      <c r="BE208" s="250"/>
      <c r="BF208" s="250"/>
      <c r="BG208" s="250"/>
      <c r="BH208" s="250"/>
      <c r="BI208" s="250"/>
      <c r="BJ208" s="240"/>
      <c r="BK208" s="250"/>
      <c r="BL208" s="240"/>
      <c r="BM208" s="240"/>
    </row>
    <row r="209" spans="1:63" s="398" customFormat="1" ht="37.35" customHeight="1">
      <c r="A209" s="181"/>
      <c r="B209" s="399"/>
      <c r="C209" s="181"/>
      <c r="D209" s="105" t="s">
        <v>643</v>
      </c>
      <c r="E209" s="105"/>
      <c r="F209" s="105"/>
      <c r="G209" s="105"/>
      <c r="H209" s="105"/>
      <c r="I209" s="105"/>
      <c r="J209" s="105"/>
      <c r="K209" s="106"/>
      <c r="L209" s="532"/>
      <c r="M209" s="87"/>
      <c r="N209" s="481"/>
      <c r="O209" s="482"/>
      <c r="P209" s="482"/>
      <c r="Q209" s="482"/>
      <c r="R209" s="400"/>
      <c r="S209" s="181"/>
      <c r="T209" s="181"/>
      <c r="U209" s="181"/>
      <c r="V209" s="181"/>
      <c r="W209" s="402"/>
      <c r="X209" s="181"/>
      <c r="Y209" s="402"/>
      <c r="Z209" s="181"/>
      <c r="AA209" s="403"/>
      <c r="AC209" s="249"/>
      <c r="AU209" s="405"/>
      <c r="AY209" s="404"/>
      <c r="BK209" s="406"/>
    </row>
    <row r="210" spans="1:65" s="249" customFormat="1" ht="30" customHeight="1">
      <c r="A210" s="87"/>
      <c r="B210" s="247"/>
      <c r="C210" s="195" t="s">
        <v>829</v>
      </c>
      <c r="D210" s="195"/>
      <c r="E210" s="195" t="s">
        <v>1274</v>
      </c>
      <c r="F210" s="1015" t="s">
        <v>249</v>
      </c>
      <c r="G210" s="1016"/>
      <c r="H210" s="1016"/>
      <c r="I210" s="1017"/>
      <c r="J210" s="94" t="s">
        <v>131</v>
      </c>
      <c r="K210" s="98">
        <v>1</v>
      </c>
      <c r="L210" s="11"/>
      <c r="M210" s="87"/>
      <c r="N210" s="948">
        <f>ROUND(L210*K210,2)</f>
        <v>0</v>
      </c>
      <c r="O210" s="948"/>
      <c r="P210" s="948"/>
      <c r="Q210" s="948"/>
      <c r="R210" s="248"/>
      <c r="S210" s="87"/>
      <c r="T210" s="483"/>
      <c r="U210" s="221"/>
      <c r="V210" s="408"/>
      <c r="W210" s="408"/>
      <c r="X210" s="408"/>
      <c r="Y210" s="408"/>
      <c r="Z210" s="408"/>
      <c r="AA210" s="409"/>
      <c r="AD210" s="398"/>
      <c r="AU210" s="240"/>
      <c r="AY210" s="240"/>
      <c r="BE210" s="250"/>
      <c r="BF210" s="250"/>
      <c r="BG210" s="250"/>
      <c r="BH210" s="250"/>
      <c r="BI210" s="250"/>
      <c r="BJ210" s="240"/>
      <c r="BK210" s="250"/>
      <c r="BL210" s="240"/>
      <c r="BM210" s="240"/>
    </row>
    <row r="211" spans="1:65" s="249" customFormat="1" ht="30" customHeight="1">
      <c r="A211" s="87"/>
      <c r="B211" s="247"/>
      <c r="C211" s="195" t="s">
        <v>830</v>
      </c>
      <c r="D211" s="195"/>
      <c r="E211" s="195" t="s">
        <v>1273</v>
      </c>
      <c r="F211" s="1054" t="s">
        <v>619</v>
      </c>
      <c r="G211" s="1055"/>
      <c r="H211" s="1055"/>
      <c r="I211" s="1056"/>
      <c r="J211" s="96" t="s">
        <v>133</v>
      </c>
      <c r="K211" s="95">
        <f>2.1*3+(2.55*3+2.3*2+5.1*2)+(2.3+5.1)+(3.72+2.5+4.2+5.56+0.9+2.5+2.5)</f>
        <v>58.03</v>
      </c>
      <c r="L211" s="11"/>
      <c r="M211" s="87"/>
      <c r="N211" s="948">
        <f aca="true" t="shared" si="10" ref="N211:N217">ROUND(L211*K211,2)</f>
        <v>0</v>
      </c>
      <c r="O211" s="948"/>
      <c r="P211" s="948"/>
      <c r="Q211" s="948"/>
      <c r="R211" s="248"/>
      <c r="S211" s="87"/>
      <c r="T211" s="483"/>
      <c r="U211" s="221"/>
      <c r="V211" s="408"/>
      <c r="W211" s="408"/>
      <c r="X211" s="408"/>
      <c r="Y211" s="408"/>
      <c r="Z211" s="408"/>
      <c r="AA211" s="409"/>
      <c r="AD211" s="398"/>
      <c r="AU211" s="240"/>
      <c r="AY211" s="240"/>
      <c r="BE211" s="250"/>
      <c r="BF211" s="250"/>
      <c r="BG211" s="250"/>
      <c r="BH211" s="250"/>
      <c r="BI211" s="250"/>
      <c r="BJ211" s="240"/>
      <c r="BK211" s="250"/>
      <c r="BL211" s="240"/>
      <c r="BM211" s="240"/>
    </row>
    <row r="212" spans="1:65" s="191" customFormat="1" ht="30" customHeight="1">
      <c r="A212" s="617"/>
      <c r="B212" s="618"/>
      <c r="C212" s="195" t="s">
        <v>831</v>
      </c>
      <c r="D212" s="556"/>
      <c r="E212" s="195" t="s">
        <v>1275</v>
      </c>
      <c r="F212" s="1005" t="s">
        <v>620</v>
      </c>
      <c r="G212" s="1006"/>
      <c r="H212" s="1006"/>
      <c r="I212" s="1007"/>
      <c r="J212" s="97" t="s">
        <v>133</v>
      </c>
      <c r="K212" s="60">
        <f>2.1*3*1.1</f>
        <v>6.9300000000000015</v>
      </c>
      <c r="L212" s="27"/>
      <c r="M212" s="87"/>
      <c r="N212" s="998">
        <f t="shared" si="10"/>
        <v>0</v>
      </c>
      <c r="O212" s="998"/>
      <c r="P212" s="998"/>
      <c r="Q212" s="998"/>
      <c r="R212" s="619"/>
      <c r="S212" s="617"/>
      <c r="T212" s="620"/>
      <c r="U212" s="621"/>
      <c r="V212" s="622"/>
      <c r="W212" s="622"/>
      <c r="X212" s="622"/>
      <c r="Y212" s="622"/>
      <c r="Z212" s="622"/>
      <c r="AA212" s="623"/>
      <c r="AC212" s="249"/>
      <c r="AD212" s="398"/>
      <c r="AU212" s="624"/>
      <c r="AY212" s="624"/>
      <c r="BE212" s="625"/>
      <c r="BF212" s="625"/>
      <c r="BG212" s="625"/>
      <c r="BH212" s="625"/>
      <c r="BI212" s="625"/>
      <c r="BJ212" s="624"/>
      <c r="BK212" s="625"/>
      <c r="BL212" s="624"/>
      <c r="BM212" s="624"/>
    </row>
    <row r="213" spans="1:65" s="191" customFormat="1" ht="30" customHeight="1">
      <c r="A213" s="617"/>
      <c r="B213" s="618"/>
      <c r="C213" s="195" t="s">
        <v>832</v>
      </c>
      <c r="D213" s="556"/>
      <c r="E213" s="195" t="s">
        <v>1276</v>
      </c>
      <c r="F213" s="1005" t="s">
        <v>621</v>
      </c>
      <c r="G213" s="1006"/>
      <c r="H213" s="1006"/>
      <c r="I213" s="1007"/>
      <c r="J213" s="97" t="s">
        <v>133</v>
      </c>
      <c r="K213" s="60">
        <f>(2.55*3+2.3*2+5.1*2)*1.1</f>
        <v>24.695</v>
      </c>
      <c r="L213" s="27"/>
      <c r="M213" s="87"/>
      <c r="N213" s="998">
        <f t="shared" si="10"/>
        <v>0</v>
      </c>
      <c r="O213" s="998"/>
      <c r="P213" s="998"/>
      <c r="Q213" s="998"/>
      <c r="R213" s="619"/>
      <c r="S213" s="617"/>
      <c r="T213" s="620"/>
      <c r="U213" s="621"/>
      <c r="V213" s="622"/>
      <c r="W213" s="622"/>
      <c r="X213" s="622"/>
      <c r="Y213" s="622"/>
      <c r="Z213" s="622"/>
      <c r="AA213" s="623"/>
      <c r="AC213" s="249"/>
      <c r="AD213" s="398"/>
      <c r="AU213" s="624"/>
      <c r="AY213" s="624"/>
      <c r="BE213" s="625"/>
      <c r="BF213" s="625"/>
      <c r="BG213" s="625"/>
      <c r="BH213" s="625"/>
      <c r="BI213" s="625"/>
      <c r="BJ213" s="624"/>
      <c r="BK213" s="625"/>
      <c r="BL213" s="624"/>
      <c r="BM213" s="624"/>
    </row>
    <row r="214" spans="1:65" s="191" customFormat="1" ht="30" customHeight="1">
      <c r="A214" s="617"/>
      <c r="B214" s="618"/>
      <c r="C214" s="195" t="s">
        <v>833</v>
      </c>
      <c r="D214" s="556"/>
      <c r="E214" s="195" t="s">
        <v>1293</v>
      </c>
      <c r="F214" s="1005" t="s">
        <v>634</v>
      </c>
      <c r="G214" s="1006"/>
      <c r="H214" s="1006"/>
      <c r="I214" s="1007"/>
      <c r="J214" s="97" t="s">
        <v>133</v>
      </c>
      <c r="K214" s="60">
        <f>(2.3+5.1)*1.1</f>
        <v>8.14</v>
      </c>
      <c r="L214" s="27"/>
      <c r="M214" s="87"/>
      <c r="N214" s="998">
        <f t="shared" si="10"/>
        <v>0</v>
      </c>
      <c r="O214" s="998"/>
      <c r="P214" s="998"/>
      <c r="Q214" s="998"/>
      <c r="R214" s="619"/>
      <c r="S214" s="617"/>
      <c r="T214" s="620"/>
      <c r="U214" s="621"/>
      <c r="V214" s="622"/>
      <c r="W214" s="622"/>
      <c r="X214" s="622"/>
      <c r="Y214" s="622"/>
      <c r="Z214" s="622"/>
      <c r="AA214" s="623"/>
      <c r="AC214" s="249"/>
      <c r="AD214" s="398"/>
      <c r="AU214" s="624"/>
      <c r="AY214" s="624"/>
      <c r="BE214" s="625"/>
      <c r="BF214" s="625"/>
      <c r="BG214" s="625"/>
      <c r="BH214" s="625"/>
      <c r="BI214" s="625"/>
      <c r="BJ214" s="624"/>
      <c r="BK214" s="625"/>
      <c r="BL214" s="624"/>
      <c r="BM214" s="624"/>
    </row>
    <row r="215" spans="1:65" s="191" customFormat="1" ht="30" customHeight="1">
      <c r="A215" s="617"/>
      <c r="B215" s="618"/>
      <c r="C215" s="195" t="s">
        <v>834</v>
      </c>
      <c r="D215" s="556"/>
      <c r="E215" s="195" t="s">
        <v>1299</v>
      </c>
      <c r="F215" s="1005" t="s">
        <v>637</v>
      </c>
      <c r="G215" s="1006"/>
      <c r="H215" s="1006"/>
      <c r="I215" s="1007"/>
      <c r="J215" s="97" t="s">
        <v>133</v>
      </c>
      <c r="K215" s="60">
        <f>(3.72+2.5+4.2+5.56+0.9+2.5+2.5)*1.1</f>
        <v>24.068</v>
      </c>
      <c r="L215" s="27"/>
      <c r="M215" s="87"/>
      <c r="N215" s="998">
        <f t="shared" si="10"/>
        <v>0</v>
      </c>
      <c r="O215" s="998"/>
      <c r="P215" s="998"/>
      <c r="Q215" s="998"/>
      <c r="R215" s="619"/>
      <c r="S215" s="617"/>
      <c r="T215" s="620"/>
      <c r="U215" s="621"/>
      <c r="V215" s="622"/>
      <c r="W215" s="622"/>
      <c r="X215" s="622"/>
      <c r="Y215" s="622"/>
      <c r="Z215" s="622"/>
      <c r="AA215" s="623"/>
      <c r="AC215" s="249"/>
      <c r="AD215" s="398"/>
      <c r="AU215" s="624"/>
      <c r="AY215" s="624"/>
      <c r="BE215" s="625"/>
      <c r="BF215" s="625"/>
      <c r="BG215" s="625"/>
      <c r="BH215" s="625"/>
      <c r="BI215" s="625"/>
      <c r="BJ215" s="624"/>
      <c r="BK215" s="625"/>
      <c r="BL215" s="624"/>
      <c r="BM215" s="624"/>
    </row>
    <row r="216" spans="1:65" s="249" customFormat="1" ht="30" customHeight="1">
      <c r="A216" s="87"/>
      <c r="B216" s="247"/>
      <c r="C216" s="195" t="s">
        <v>835</v>
      </c>
      <c r="D216" s="195"/>
      <c r="E216" s="195" t="s">
        <v>1307</v>
      </c>
      <c r="F216" s="1054" t="s">
        <v>644</v>
      </c>
      <c r="G216" s="1055"/>
      <c r="H216" s="1055"/>
      <c r="I216" s="1056"/>
      <c r="J216" s="96" t="s">
        <v>198</v>
      </c>
      <c r="K216" s="98">
        <v>1</v>
      </c>
      <c r="L216" s="11"/>
      <c r="M216" s="87"/>
      <c r="N216" s="948">
        <f t="shared" si="10"/>
        <v>0</v>
      </c>
      <c r="O216" s="948"/>
      <c r="P216" s="948"/>
      <c r="Q216" s="948"/>
      <c r="R216" s="248"/>
      <c r="S216" s="87"/>
      <c r="T216" s="483"/>
      <c r="U216" s="221"/>
      <c r="V216" s="408"/>
      <c r="W216" s="408"/>
      <c r="X216" s="408"/>
      <c r="Y216" s="408"/>
      <c r="Z216" s="408"/>
      <c r="AA216" s="409"/>
      <c r="AD216" s="398"/>
      <c r="AU216" s="240"/>
      <c r="AY216" s="240"/>
      <c r="BE216" s="250"/>
      <c r="BF216" s="250"/>
      <c r="BG216" s="250"/>
      <c r="BH216" s="250"/>
      <c r="BI216" s="250"/>
      <c r="BJ216" s="240"/>
      <c r="BK216" s="250"/>
      <c r="BL216" s="240"/>
      <c r="BM216" s="240"/>
    </row>
    <row r="217" spans="1:65" s="191" customFormat="1" ht="30" customHeight="1">
      <c r="A217" s="617"/>
      <c r="B217" s="618"/>
      <c r="C217" s="195" t="s">
        <v>836</v>
      </c>
      <c r="D217" s="556"/>
      <c r="E217" s="195" t="s">
        <v>1308</v>
      </c>
      <c r="F217" s="1001" t="s">
        <v>645</v>
      </c>
      <c r="G217" s="1002"/>
      <c r="H217" s="1002"/>
      <c r="I217" s="1003"/>
      <c r="J217" s="97" t="s">
        <v>198</v>
      </c>
      <c r="K217" s="60">
        <v>1</v>
      </c>
      <c r="L217" s="27"/>
      <c r="M217" s="87"/>
      <c r="N217" s="998">
        <f t="shared" si="10"/>
        <v>0</v>
      </c>
      <c r="O217" s="998"/>
      <c r="P217" s="998"/>
      <c r="Q217" s="998"/>
      <c r="R217" s="619"/>
      <c r="S217" s="617"/>
      <c r="T217" s="620"/>
      <c r="U217" s="621"/>
      <c r="V217" s="622"/>
      <c r="W217" s="622"/>
      <c r="X217" s="622"/>
      <c r="Y217" s="622"/>
      <c r="Z217" s="622"/>
      <c r="AA217" s="623"/>
      <c r="AC217" s="249"/>
      <c r="AD217" s="398"/>
      <c r="AU217" s="624"/>
      <c r="AY217" s="624"/>
      <c r="BE217" s="625"/>
      <c r="BF217" s="625"/>
      <c r="BG217" s="625"/>
      <c r="BH217" s="625"/>
      <c r="BI217" s="625"/>
      <c r="BJ217" s="624"/>
      <c r="BK217" s="625"/>
      <c r="BL217" s="624"/>
      <c r="BM217" s="624"/>
    </row>
    <row r="218" spans="1:65" s="249" customFormat="1" ht="30" customHeight="1">
      <c r="A218" s="87"/>
      <c r="B218" s="247"/>
      <c r="C218" s="195" t="s">
        <v>837</v>
      </c>
      <c r="D218" s="195"/>
      <c r="E218" s="195" t="s">
        <v>1277</v>
      </c>
      <c r="F218" s="960" t="s">
        <v>622</v>
      </c>
      <c r="G218" s="960"/>
      <c r="H218" s="960"/>
      <c r="I218" s="960"/>
      <c r="J218" s="96" t="s">
        <v>198</v>
      </c>
      <c r="K218" s="98">
        <v>3</v>
      </c>
      <c r="L218" s="11"/>
      <c r="M218" s="87"/>
      <c r="N218" s="948">
        <f aca="true" t="shared" si="11" ref="N218:N232">ROUND(L218*K218,2)</f>
        <v>0</v>
      </c>
      <c r="O218" s="948"/>
      <c r="P218" s="948"/>
      <c r="Q218" s="948"/>
      <c r="R218" s="248"/>
      <c r="S218" s="87"/>
      <c r="T218" s="483"/>
      <c r="U218" s="221"/>
      <c r="V218" s="408"/>
      <c r="W218" s="408"/>
      <c r="X218" s="408"/>
      <c r="Y218" s="408"/>
      <c r="Z218" s="408"/>
      <c r="AA218" s="409"/>
      <c r="AD218" s="398"/>
      <c r="AU218" s="240"/>
      <c r="AY218" s="240"/>
      <c r="BE218" s="250"/>
      <c r="BF218" s="250"/>
      <c r="BG218" s="250"/>
      <c r="BH218" s="250"/>
      <c r="BI218" s="250"/>
      <c r="BJ218" s="240"/>
      <c r="BK218" s="250"/>
      <c r="BL218" s="240"/>
      <c r="BM218" s="240"/>
    </row>
    <row r="219" spans="1:65" s="191" customFormat="1" ht="30" customHeight="1">
      <c r="A219" s="617"/>
      <c r="B219" s="618"/>
      <c r="C219" s="195" t="s">
        <v>838</v>
      </c>
      <c r="D219" s="556"/>
      <c r="E219" s="195" t="s">
        <v>1278</v>
      </c>
      <c r="F219" s="1001" t="s">
        <v>623</v>
      </c>
      <c r="G219" s="1002"/>
      <c r="H219" s="1002"/>
      <c r="I219" s="1003"/>
      <c r="J219" s="97" t="s">
        <v>198</v>
      </c>
      <c r="K219" s="60">
        <v>2</v>
      </c>
      <c r="L219" s="27"/>
      <c r="M219" s="87"/>
      <c r="N219" s="998">
        <f t="shared" si="11"/>
        <v>0</v>
      </c>
      <c r="O219" s="998"/>
      <c r="P219" s="998"/>
      <c r="Q219" s="998"/>
      <c r="R219" s="619"/>
      <c r="S219" s="617"/>
      <c r="T219" s="620"/>
      <c r="U219" s="621"/>
      <c r="V219" s="622"/>
      <c r="W219" s="622"/>
      <c r="X219" s="622"/>
      <c r="Y219" s="622"/>
      <c r="Z219" s="622"/>
      <c r="AA219" s="623"/>
      <c r="AC219" s="249"/>
      <c r="AD219" s="398"/>
      <c r="AU219" s="624"/>
      <c r="AY219" s="624"/>
      <c r="BE219" s="625"/>
      <c r="BF219" s="625"/>
      <c r="BG219" s="625"/>
      <c r="BH219" s="625"/>
      <c r="BI219" s="625"/>
      <c r="BJ219" s="624"/>
      <c r="BK219" s="625"/>
      <c r="BL219" s="624"/>
      <c r="BM219" s="624"/>
    </row>
    <row r="220" spans="1:65" s="191" customFormat="1" ht="30" customHeight="1">
      <c r="A220" s="617"/>
      <c r="B220" s="618"/>
      <c r="C220" s="195" t="s">
        <v>839</v>
      </c>
      <c r="D220" s="556"/>
      <c r="E220" s="195" t="s">
        <v>1309</v>
      </c>
      <c r="F220" s="1001" t="s">
        <v>646</v>
      </c>
      <c r="G220" s="1002"/>
      <c r="H220" s="1002"/>
      <c r="I220" s="1003"/>
      <c r="J220" s="97" t="s">
        <v>198</v>
      </c>
      <c r="K220" s="60">
        <v>1</v>
      </c>
      <c r="L220" s="27"/>
      <c r="M220" s="87"/>
      <c r="N220" s="998">
        <f t="shared" si="11"/>
        <v>0</v>
      </c>
      <c r="O220" s="998"/>
      <c r="P220" s="998"/>
      <c r="Q220" s="998"/>
      <c r="R220" s="619"/>
      <c r="S220" s="617"/>
      <c r="T220" s="620"/>
      <c r="U220" s="621"/>
      <c r="V220" s="622"/>
      <c r="W220" s="622"/>
      <c r="X220" s="622"/>
      <c r="Y220" s="622"/>
      <c r="Z220" s="622"/>
      <c r="AA220" s="623"/>
      <c r="AC220" s="249"/>
      <c r="AD220" s="398"/>
      <c r="AU220" s="624"/>
      <c r="AY220" s="624"/>
      <c r="BE220" s="625"/>
      <c r="BF220" s="625"/>
      <c r="BG220" s="625"/>
      <c r="BH220" s="625"/>
      <c r="BI220" s="625"/>
      <c r="BJ220" s="624"/>
      <c r="BK220" s="625"/>
      <c r="BL220" s="624"/>
      <c r="BM220" s="624"/>
    </row>
    <row r="221" spans="1:65" s="249" customFormat="1" ht="30" customHeight="1">
      <c r="A221" s="87"/>
      <c r="B221" s="247"/>
      <c r="C221" s="195" t="s">
        <v>840</v>
      </c>
      <c r="D221" s="195"/>
      <c r="E221" s="195" t="s">
        <v>1279</v>
      </c>
      <c r="F221" s="1054" t="s">
        <v>624</v>
      </c>
      <c r="G221" s="1055"/>
      <c r="H221" s="1055"/>
      <c r="I221" s="1056"/>
      <c r="J221" s="96" t="s">
        <v>198</v>
      </c>
      <c r="K221" s="108">
        <v>8</v>
      </c>
      <c r="L221" s="11"/>
      <c r="M221" s="87"/>
      <c r="N221" s="948">
        <f t="shared" si="11"/>
        <v>0</v>
      </c>
      <c r="O221" s="948"/>
      <c r="P221" s="948"/>
      <c r="Q221" s="948"/>
      <c r="R221" s="248"/>
      <c r="S221" s="87"/>
      <c r="T221" s="483"/>
      <c r="U221" s="221"/>
      <c r="V221" s="408"/>
      <c r="W221" s="408"/>
      <c r="X221" s="408"/>
      <c r="Y221" s="408"/>
      <c r="Z221" s="408"/>
      <c r="AA221" s="409"/>
      <c r="AD221" s="398"/>
      <c r="AU221" s="240"/>
      <c r="AY221" s="240"/>
      <c r="BE221" s="250"/>
      <c r="BF221" s="250"/>
      <c r="BG221" s="250"/>
      <c r="BH221" s="250"/>
      <c r="BI221" s="250"/>
      <c r="BJ221" s="240"/>
      <c r="BK221" s="250"/>
      <c r="BL221" s="240"/>
      <c r="BM221" s="240"/>
    </row>
    <row r="222" spans="1:65" s="191" customFormat="1" ht="30" customHeight="1">
      <c r="A222" s="617"/>
      <c r="B222" s="618"/>
      <c r="C222" s="195" t="s">
        <v>841</v>
      </c>
      <c r="D222" s="556"/>
      <c r="E222" s="195" t="s">
        <v>1280</v>
      </c>
      <c r="F222" s="1001" t="s">
        <v>625</v>
      </c>
      <c r="G222" s="1002"/>
      <c r="H222" s="1002"/>
      <c r="I222" s="1003"/>
      <c r="J222" s="97" t="s">
        <v>198</v>
      </c>
      <c r="K222" s="109">
        <v>8</v>
      </c>
      <c r="L222" s="27"/>
      <c r="M222" s="87"/>
      <c r="N222" s="998">
        <f t="shared" si="11"/>
        <v>0</v>
      </c>
      <c r="O222" s="998"/>
      <c r="P222" s="998"/>
      <c r="Q222" s="998"/>
      <c r="R222" s="619"/>
      <c r="S222" s="617"/>
      <c r="T222" s="620"/>
      <c r="U222" s="621"/>
      <c r="V222" s="622"/>
      <c r="W222" s="622"/>
      <c r="X222" s="622"/>
      <c r="Y222" s="622"/>
      <c r="Z222" s="622"/>
      <c r="AA222" s="623"/>
      <c r="AC222" s="249"/>
      <c r="AD222" s="398"/>
      <c r="AU222" s="624"/>
      <c r="AY222" s="624"/>
      <c r="BE222" s="625"/>
      <c r="BF222" s="625"/>
      <c r="BG222" s="625"/>
      <c r="BH222" s="625"/>
      <c r="BI222" s="625"/>
      <c r="BJ222" s="624"/>
      <c r="BK222" s="625"/>
      <c r="BL222" s="624"/>
      <c r="BM222" s="624"/>
    </row>
    <row r="223" spans="1:65" s="249" customFormat="1" ht="30" customHeight="1">
      <c r="A223" s="87"/>
      <c r="B223" s="247"/>
      <c r="C223" s="195" t="s">
        <v>842</v>
      </c>
      <c r="D223" s="195"/>
      <c r="E223" s="195" t="s">
        <v>1285</v>
      </c>
      <c r="F223" s="1054" t="s">
        <v>630</v>
      </c>
      <c r="G223" s="1055"/>
      <c r="H223" s="1055"/>
      <c r="I223" s="1056"/>
      <c r="J223" s="96" t="s">
        <v>198</v>
      </c>
      <c r="K223" s="108">
        <v>2</v>
      </c>
      <c r="L223" s="11"/>
      <c r="M223" s="87"/>
      <c r="N223" s="948">
        <f t="shared" si="11"/>
        <v>0</v>
      </c>
      <c r="O223" s="948"/>
      <c r="P223" s="948"/>
      <c r="Q223" s="948"/>
      <c r="R223" s="248"/>
      <c r="S223" s="87"/>
      <c r="T223" s="483"/>
      <c r="U223" s="221"/>
      <c r="V223" s="408"/>
      <c r="W223" s="408"/>
      <c r="X223" s="408"/>
      <c r="Y223" s="408"/>
      <c r="Z223" s="408"/>
      <c r="AA223" s="409"/>
      <c r="AD223" s="398"/>
      <c r="AU223" s="240"/>
      <c r="AY223" s="240"/>
      <c r="BE223" s="250"/>
      <c r="BF223" s="250"/>
      <c r="BG223" s="250"/>
      <c r="BH223" s="250"/>
      <c r="BI223" s="250"/>
      <c r="BJ223" s="240"/>
      <c r="BK223" s="250"/>
      <c r="BL223" s="240"/>
      <c r="BM223" s="240"/>
    </row>
    <row r="224" spans="1:65" s="191" customFormat="1" ht="30" customHeight="1">
      <c r="A224" s="617"/>
      <c r="B224" s="618"/>
      <c r="C224" s="195" t="s">
        <v>843</v>
      </c>
      <c r="D224" s="556"/>
      <c r="E224" s="195" t="s">
        <v>1286</v>
      </c>
      <c r="F224" s="1001" t="s">
        <v>631</v>
      </c>
      <c r="G224" s="1002"/>
      <c r="H224" s="1002"/>
      <c r="I224" s="1003"/>
      <c r="J224" s="97" t="s">
        <v>198</v>
      </c>
      <c r="K224" s="60">
        <v>2</v>
      </c>
      <c r="L224" s="27"/>
      <c r="M224" s="87"/>
      <c r="N224" s="998">
        <f t="shared" si="11"/>
        <v>0</v>
      </c>
      <c r="O224" s="998"/>
      <c r="P224" s="998"/>
      <c r="Q224" s="998"/>
      <c r="R224" s="619"/>
      <c r="S224" s="617"/>
      <c r="T224" s="620"/>
      <c r="U224" s="621"/>
      <c r="V224" s="622"/>
      <c r="W224" s="622"/>
      <c r="X224" s="622"/>
      <c r="Y224" s="622"/>
      <c r="Z224" s="622"/>
      <c r="AA224" s="623"/>
      <c r="AC224" s="249"/>
      <c r="AD224" s="398"/>
      <c r="AU224" s="624"/>
      <c r="AY224" s="624"/>
      <c r="BE224" s="625"/>
      <c r="BF224" s="625"/>
      <c r="BG224" s="625"/>
      <c r="BH224" s="625"/>
      <c r="BI224" s="625"/>
      <c r="BJ224" s="624"/>
      <c r="BK224" s="625"/>
      <c r="BL224" s="624"/>
      <c r="BM224" s="624"/>
    </row>
    <row r="225" spans="1:65" s="249" customFormat="1" ht="30" customHeight="1">
      <c r="A225" s="87"/>
      <c r="B225" s="247"/>
      <c r="C225" s="195" t="s">
        <v>844</v>
      </c>
      <c r="D225" s="195"/>
      <c r="E225" s="195" t="s">
        <v>1310</v>
      </c>
      <c r="F225" s="1097" t="s">
        <v>647</v>
      </c>
      <c r="G225" s="1098"/>
      <c r="H225" s="1098"/>
      <c r="I225" s="1099"/>
      <c r="J225" s="96" t="s">
        <v>198</v>
      </c>
      <c r="K225" s="98">
        <v>1</v>
      </c>
      <c r="L225" s="11"/>
      <c r="M225" s="87"/>
      <c r="N225" s="948">
        <f t="shared" si="11"/>
        <v>0</v>
      </c>
      <c r="O225" s="948"/>
      <c r="P225" s="948"/>
      <c r="Q225" s="948"/>
      <c r="R225" s="248"/>
      <c r="S225" s="87"/>
      <c r="T225" s="483"/>
      <c r="U225" s="221"/>
      <c r="V225" s="408"/>
      <c r="W225" s="408"/>
      <c r="X225" s="408"/>
      <c r="Y225" s="408"/>
      <c r="Z225" s="408"/>
      <c r="AA225" s="409"/>
      <c r="AD225" s="398"/>
      <c r="AU225" s="240"/>
      <c r="AY225" s="240"/>
      <c r="BE225" s="250"/>
      <c r="BF225" s="250"/>
      <c r="BG225" s="250"/>
      <c r="BH225" s="250"/>
      <c r="BI225" s="250"/>
      <c r="BJ225" s="240"/>
      <c r="BK225" s="250"/>
      <c r="BL225" s="240"/>
      <c r="BM225" s="240"/>
    </row>
    <row r="226" spans="1:65" s="191" customFormat="1" ht="30" customHeight="1">
      <c r="A226" s="617"/>
      <c r="B226" s="618"/>
      <c r="C226" s="195" t="s">
        <v>845</v>
      </c>
      <c r="D226" s="556"/>
      <c r="E226" s="195" t="s">
        <v>1311</v>
      </c>
      <c r="F226" s="1102" t="s">
        <v>648</v>
      </c>
      <c r="G226" s="1103"/>
      <c r="H226" s="1103"/>
      <c r="I226" s="1104"/>
      <c r="J226" s="97" t="s">
        <v>198</v>
      </c>
      <c r="K226" s="60">
        <v>1</v>
      </c>
      <c r="L226" s="27"/>
      <c r="M226" s="87"/>
      <c r="N226" s="998">
        <f t="shared" si="11"/>
        <v>0</v>
      </c>
      <c r="O226" s="998"/>
      <c r="P226" s="998"/>
      <c r="Q226" s="998"/>
      <c r="R226" s="619"/>
      <c r="S226" s="617"/>
      <c r="T226" s="620"/>
      <c r="U226" s="621"/>
      <c r="V226" s="622"/>
      <c r="W226" s="622"/>
      <c r="X226" s="622"/>
      <c r="Y226" s="622"/>
      <c r="Z226" s="622"/>
      <c r="AA226" s="623"/>
      <c r="AC226" s="249"/>
      <c r="AD226" s="398"/>
      <c r="AU226" s="624"/>
      <c r="AY226" s="624"/>
      <c r="BE226" s="625"/>
      <c r="BF226" s="625"/>
      <c r="BG226" s="625"/>
      <c r="BH226" s="625"/>
      <c r="BI226" s="625"/>
      <c r="BJ226" s="624"/>
      <c r="BK226" s="625"/>
      <c r="BL226" s="624"/>
      <c r="BM226" s="624"/>
    </row>
    <row r="227" spans="1:65" s="249" customFormat="1" ht="30" customHeight="1">
      <c r="A227" s="87"/>
      <c r="B227" s="247"/>
      <c r="C227" s="195" t="s">
        <v>846</v>
      </c>
      <c r="D227" s="195"/>
      <c r="E227" s="195" t="s">
        <v>1312</v>
      </c>
      <c r="F227" s="1054" t="s">
        <v>649</v>
      </c>
      <c r="G227" s="1055"/>
      <c r="H227" s="1055"/>
      <c r="I227" s="1056"/>
      <c r="J227" s="96" t="s">
        <v>131</v>
      </c>
      <c r="K227" s="95">
        <v>1</v>
      </c>
      <c r="L227" s="11"/>
      <c r="M227" s="87"/>
      <c r="N227" s="948">
        <f t="shared" si="11"/>
        <v>0</v>
      </c>
      <c r="O227" s="948"/>
      <c r="P227" s="948"/>
      <c r="Q227" s="948"/>
      <c r="R227" s="248"/>
      <c r="S227" s="87"/>
      <c r="T227" s="483"/>
      <c r="U227" s="221"/>
      <c r="V227" s="408"/>
      <c r="W227" s="408"/>
      <c r="X227" s="408"/>
      <c r="Y227" s="408"/>
      <c r="Z227" s="408"/>
      <c r="AA227" s="409"/>
      <c r="AD227" s="398"/>
      <c r="AU227" s="240"/>
      <c r="AY227" s="240"/>
      <c r="BE227" s="250"/>
      <c r="BF227" s="250"/>
      <c r="BG227" s="250"/>
      <c r="BH227" s="250"/>
      <c r="BI227" s="250"/>
      <c r="BJ227" s="240"/>
      <c r="BK227" s="250"/>
      <c r="BL227" s="240"/>
      <c r="BM227" s="240"/>
    </row>
    <row r="228" spans="1:65" s="191" customFormat="1" ht="43.15" customHeight="1">
      <c r="A228" s="617"/>
      <c r="B228" s="618"/>
      <c r="C228" s="195" t="s">
        <v>847</v>
      </c>
      <c r="D228" s="556"/>
      <c r="E228" s="195" t="s">
        <v>1313</v>
      </c>
      <c r="F228" s="1001" t="s">
        <v>650</v>
      </c>
      <c r="G228" s="1002"/>
      <c r="H228" s="1002"/>
      <c r="I228" s="1003"/>
      <c r="J228" s="97" t="s">
        <v>131</v>
      </c>
      <c r="K228" s="60">
        <v>1</v>
      </c>
      <c r="L228" s="27"/>
      <c r="M228" s="87"/>
      <c r="N228" s="998">
        <f t="shared" si="11"/>
        <v>0</v>
      </c>
      <c r="O228" s="998"/>
      <c r="P228" s="998"/>
      <c r="Q228" s="998"/>
      <c r="R228" s="619"/>
      <c r="S228" s="617"/>
      <c r="T228" s="620"/>
      <c r="U228" s="621"/>
      <c r="V228" s="622"/>
      <c r="W228" s="622"/>
      <c r="X228" s="622"/>
      <c r="Y228" s="622"/>
      <c r="Z228" s="622"/>
      <c r="AA228" s="623"/>
      <c r="AC228" s="249"/>
      <c r="AD228" s="398"/>
      <c r="AU228" s="624"/>
      <c r="AY228" s="624"/>
      <c r="BE228" s="625"/>
      <c r="BF228" s="625"/>
      <c r="BG228" s="625"/>
      <c r="BH228" s="625"/>
      <c r="BI228" s="625"/>
      <c r="BJ228" s="624"/>
      <c r="BK228" s="625"/>
      <c r="BL228" s="624"/>
      <c r="BM228" s="624"/>
    </row>
    <row r="229" spans="1:65" s="191" customFormat="1" ht="43.15" customHeight="1">
      <c r="A229" s="617"/>
      <c r="B229" s="618"/>
      <c r="C229" s="195" t="s">
        <v>848</v>
      </c>
      <c r="D229" s="556"/>
      <c r="E229" s="195" t="s">
        <v>1314</v>
      </c>
      <c r="F229" s="1001" t="s">
        <v>656</v>
      </c>
      <c r="G229" s="1002"/>
      <c r="H229" s="1002"/>
      <c r="I229" s="1003"/>
      <c r="J229" s="97" t="s">
        <v>198</v>
      </c>
      <c r="K229" s="60">
        <v>3</v>
      </c>
      <c r="L229" s="27"/>
      <c r="M229" s="87"/>
      <c r="N229" s="998">
        <f t="shared" si="11"/>
        <v>0</v>
      </c>
      <c r="O229" s="998"/>
      <c r="P229" s="998"/>
      <c r="Q229" s="998"/>
      <c r="R229" s="619"/>
      <c r="S229" s="617"/>
      <c r="T229" s="620"/>
      <c r="U229" s="621"/>
      <c r="V229" s="622"/>
      <c r="W229" s="622"/>
      <c r="X229" s="622"/>
      <c r="Y229" s="622"/>
      <c r="Z229" s="622"/>
      <c r="AA229" s="623"/>
      <c r="AC229" s="249"/>
      <c r="AD229" s="398"/>
      <c r="AU229" s="624"/>
      <c r="AY229" s="624"/>
      <c r="BE229" s="625"/>
      <c r="BF229" s="625"/>
      <c r="BG229" s="625"/>
      <c r="BH229" s="625"/>
      <c r="BI229" s="625"/>
      <c r="BJ229" s="624"/>
      <c r="BK229" s="625"/>
      <c r="BL229" s="624"/>
      <c r="BM229" s="624"/>
    </row>
    <row r="230" spans="1:65" s="191" customFormat="1" ht="39" customHeight="1">
      <c r="A230" s="745"/>
      <c r="B230" s="746"/>
      <c r="C230" s="718" t="s">
        <v>849</v>
      </c>
      <c r="D230" s="747"/>
      <c r="E230" s="718" t="s">
        <v>1315</v>
      </c>
      <c r="F230" s="1094" t="s">
        <v>1288</v>
      </c>
      <c r="G230" s="1094"/>
      <c r="H230" s="1094"/>
      <c r="I230" s="1094"/>
      <c r="J230" s="113" t="s">
        <v>2227</v>
      </c>
      <c r="K230" s="114">
        <v>1</v>
      </c>
      <c r="L230" s="115"/>
      <c r="M230" s="721"/>
      <c r="N230" s="1105">
        <f t="shared" si="11"/>
        <v>0</v>
      </c>
      <c r="O230" s="1105"/>
      <c r="P230" s="1105"/>
      <c r="Q230" s="1105"/>
      <c r="R230" s="619"/>
      <c r="S230" s="617"/>
      <c r="T230" s="620"/>
      <c r="U230" s="621"/>
      <c r="V230" s="622"/>
      <c r="W230" s="622"/>
      <c r="X230" s="622"/>
      <c r="Y230" s="622"/>
      <c r="Z230" s="622"/>
      <c r="AA230" s="623"/>
      <c r="AC230" s="249">
        <v>2617.26</v>
      </c>
      <c r="AD230" s="398"/>
      <c r="AU230" s="624"/>
      <c r="AY230" s="624"/>
      <c r="BE230" s="625"/>
      <c r="BF230" s="625"/>
      <c r="BG230" s="625"/>
      <c r="BH230" s="625"/>
      <c r="BI230" s="625"/>
      <c r="BJ230" s="624"/>
      <c r="BK230" s="625"/>
      <c r="BL230" s="624"/>
      <c r="BM230" s="624"/>
    </row>
    <row r="231" spans="1:65" s="249" customFormat="1" ht="40.15" customHeight="1">
      <c r="A231" s="87"/>
      <c r="B231" s="247"/>
      <c r="C231" s="195" t="s">
        <v>850</v>
      </c>
      <c r="D231" s="195"/>
      <c r="E231" s="195" t="s">
        <v>1289</v>
      </c>
      <c r="F231" s="965" t="s">
        <v>248</v>
      </c>
      <c r="G231" s="965"/>
      <c r="H231" s="965"/>
      <c r="I231" s="965"/>
      <c r="J231" s="94" t="s">
        <v>133</v>
      </c>
      <c r="K231" s="95">
        <f>K211</f>
        <v>58.03</v>
      </c>
      <c r="L231" s="11"/>
      <c r="M231" s="87"/>
      <c r="N231" s="948">
        <f t="shared" si="11"/>
        <v>0</v>
      </c>
      <c r="O231" s="948"/>
      <c r="P231" s="948"/>
      <c r="Q231" s="948"/>
      <c r="R231" s="248"/>
      <c r="S231" s="87"/>
      <c r="T231" s="483"/>
      <c r="U231" s="221"/>
      <c r="V231" s="408"/>
      <c r="W231" s="408"/>
      <c r="X231" s="408"/>
      <c r="Y231" s="408"/>
      <c r="Z231" s="408"/>
      <c r="AA231" s="409"/>
      <c r="AD231" s="398"/>
      <c r="AU231" s="240"/>
      <c r="AY231" s="240"/>
      <c r="BE231" s="250"/>
      <c r="BF231" s="250"/>
      <c r="BG231" s="250"/>
      <c r="BH231" s="250"/>
      <c r="BI231" s="250"/>
      <c r="BJ231" s="240"/>
      <c r="BK231" s="250"/>
      <c r="BL231" s="240"/>
      <c r="BM231" s="240"/>
    </row>
    <row r="232" spans="1:65" s="191" customFormat="1" ht="30" customHeight="1">
      <c r="A232" s="617"/>
      <c r="B232" s="618"/>
      <c r="C232" s="195" t="s">
        <v>851</v>
      </c>
      <c r="D232" s="556"/>
      <c r="E232" s="195" t="s">
        <v>1291</v>
      </c>
      <c r="F232" s="1000" t="s">
        <v>651</v>
      </c>
      <c r="G232" s="1000"/>
      <c r="H232" s="1000"/>
      <c r="I232" s="1000"/>
      <c r="J232" s="101" t="s">
        <v>133</v>
      </c>
      <c r="K232" s="60">
        <f>K212+K213</f>
        <v>31.625</v>
      </c>
      <c r="L232" s="27"/>
      <c r="M232" s="87"/>
      <c r="N232" s="998">
        <f t="shared" si="11"/>
        <v>0</v>
      </c>
      <c r="O232" s="998"/>
      <c r="P232" s="998"/>
      <c r="Q232" s="998"/>
      <c r="R232" s="619"/>
      <c r="S232" s="617"/>
      <c r="T232" s="620"/>
      <c r="U232" s="621"/>
      <c r="V232" s="622"/>
      <c r="W232" s="622"/>
      <c r="X232" s="622"/>
      <c r="Y232" s="622"/>
      <c r="Z232" s="622"/>
      <c r="AA232" s="623"/>
      <c r="AC232" s="249"/>
      <c r="AD232" s="398"/>
      <c r="AU232" s="624"/>
      <c r="AY232" s="624"/>
      <c r="BE232" s="625"/>
      <c r="BF232" s="625"/>
      <c r="BG232" s="625"/>
      <c r="BH232" s="625"/>
      <c r="BI232" s="625"/>
      <c r="BJ232" s="624"/>
      <c r="BK232" s="625"/>
      <c r="BL232" s="624"/>
      <c r="BM232" s="624"/>
    </row>
    <row r="233" spans="1:65" s="191" customFormat="1" ht="30" customHeight="1">
      <c r="A233" s="617"/>
      <c r="B233" s="618"/>
      <c r="C233" s="195" t="s">
        <v>852</v>
      </c>
      <c r="D233" s="556"/>
      <c r="E233" s="195" t="s">
        <v>1292</v>
      </c>
      <c r="F233" s="1000" t="s">
        <v>652</v>
      </c>
      <c r="G233" s="1000"/>
      <c r="H233" s="1000"/>
      <c r="I233" s="1000"/>
      <c r="J233" s="101" t="s">
        <v>133</v>
      </c>
      <c r="K233" s="60">
        <f>K214+K215</f>
        <v>32.208</v>
      </c>
      <c r="L233" s="27"/>
      <c r="M233" s="87"/>
      <c r="N233" s="998">
        <f>ROUND(L233*K233,2)</f>
        <v>0</v>
      </c>
      <c r="O233" s="998"/>
      <c r="P233" s="998"/>
      <c r="Q233" s="998"/>
      <c r="R233" s="619"/>
      <c r="S233" s="617"/>
      <c r="T233" s="620"/>
      <c r="U233" s="621"/>
      <c r="V233" s="622"/>
      <c r="W233" s="622"/>
      <c r="X233" s="622"/>
      <c r="Y233" s="622"/>
      <c r="Z233" s="622"/>
      <c r="AA233" s="623"/>
      <c r="AC233" s="249"/>
      <c r="AD233" s="398"/>
      <c r="AU233" s="624"/>
      <c r="AY233" s="624"/>
      <c r="BE233" s="625"/>
      <c r="BF233" s="625"/>
      <c r="BG233" s="625"/>
      <c r="BH233" s="625"/>
      <c r="BI233" s="625"/>
      <c r="BJ233" s="624"/>
      <c r="BK233" s="625"/>
      <c r="BL233" s="624"/>
      <c r="BM233" s="624"/>
    </row>
    <row r="234" spans="1:65" s="249" customFormat="1" ht="39.6" customHeight="1">
      <c r="A234" s="87"/>
      <c r="B234" s="247"/>
      <c r="C234" s="195" t="s">
        <v>853</v>
      </c>
      <c r="D234" s="195"/>
      <c r="E234" s="195" t="s">
        <v>1316</v>
      </c>
      <c r="F234" s="999" t="s">
        <v>247</v>
      </c>
      <c r="G234" s="999"/>
      <c r="H234" s="999"/>
      <c r="I234" s="999"/>
      <c r="J234" s="102" t="s">
        <v>131</v>
      </c>
      <c r="K234" s="43">
        <v>1</v>
      </c>
      <c r="L234" s="21"/>
      <c r="M234" s="87"/>
      <c r="N234" s="948">
        <f>ROUND(L234*K234,2)</f>
        <v>0</v>
      </c>
      <c r="O234" s="948"/>
      <c r="P234" s="948"/>
      <c r="Q234" s="948"/>
      <c r="R234" s="248"/>
      <c r="S234" s="87"/>
      <c r="T234" s="89"/>
      <c r="U234" s="221"/>
      <c r="V234" s="408"/>
      <c r="W234" s="408"/>
      <c r="X234" s="408"/>
      <c r="Y234" s="408"/>
      <c r="Z234" s="408"/>
      <c r="AA234" s="409"/>
      <c r="AD234" s="398"/>
      <c r="AU234" s="240"/>
      <c r="AY234" s="240"/>
      <c r="BE234" s="250"/>
      <c r="BF234" s="250"/>
      <c r="BG234" s="250"/>
      <c r="BH234" s="250"/>
      <c r="BI234" s="250"/>
      <c r="BJ234" s="240"/>
      <c r="BK234" s="250"/>
      <c r="BL234" s="240"/>
      <c r="BM234" s="240"/>
    </row>
    <row r="235" spans="1:65" s="716" customFormat="1" ht="39.6" customHeight="1">
      <c r="A235" s="721"/>
      <c r="B235" s="717"/>
      <c r="C235" s="718" t="s">
        <v>854</v>
      </c>
      <c r="D235" s="718"/>
      <c r="E235" s="718" t="s">
        <v>1293</v>
      </c>
      <c r="F235" s="954" t="s">
        <v>206</v>
      </c>
      <c r="G235" s="954"/>
      <c r="H235" s="954"/>
      <c r="I235" s="954"/>
      <c r="J235" s="103" t="s">
        <v>2227</v>
      </c>
      <c r="K235" s="104">
        <v>1</v>
      </c>
      <c r="L235" s="36"/>
      <c r="M235" s="87"/>
      <c r="N235" s="1009">
        <f>ROUND(L235*K235,2)</f>
        <v>0</v>
      </c>
      <c r="O235" s="1009"/>
      <c r="P235" s="1009"/>
      <c r="Q235" s="1009"/>
      <c r="R235" s="719"/>
      <c r="S235" s="721"/>
      <c r="T235" s="748"/>
      <c r="U235" s="726"/>
      <c r="V235" s="727"/>
      <c r="W235" s="727"/>
      <c r="X235" s="727"/>
      <c r="Y235" s="727"/>
      <c r="Z235" s="727"/>
      <c r="AA235" s="728"/>
      <c r="AC235" s="249"/>
      <c r="AD235" s="749"/>
      <c r="AU235" s="724"/>
      <c r="AY235" s="724"/>
      <c r="BE235" s="729"/>
      <c r="BF235" s="729"/>
      <c r="BG235" s="729"/>
      <c r="BH235" s="729"/>
      <c r="BI235" s="729"/>
      <c r="BJ235" s="724"/>
      <c r="BK235" s="729"/>
      <c r="BL235" s="724"/>
      <c r="BM235" s="724"/>
    </row>
    <row r="236" spans="1:65" s="716" customFormat="1" ht="39.6" customHeight="1">
      <c r="A236" s="721"/>
      <c r="B236" s="717"/>
      <c r="C236" s="718" t="s">
        <v>855</v>
      </c>
      <c r="D236" s="718"/>
      <c r="E236" s="718" t="s">
        <v>1294</v>
      </c>
      <c r="F236" s="954" t="s">
        <v>2226</v>
      </c>
      <c r="G236" s="954"/>
      <c r="H236" s="954"/>
      <c r="I236" s="954"/>
      <c r="J236" s="103" t="s">
        <v>2227</v>
      </c>
      <c r="K236" s="104">
        <v>1</v>
      </c>
      <c r="L236" s="36"/>
      <c r="M236" s="87"/>
      <c r="N236" s="1009">
        <f>ROUND(L236*K236,2)</f>
        <v>0</v>
      </c>
      <c r="O236" s="1009"/>
      <c r="P236" s="1009"/>
      <c r="Q236" s="1009"/>
      <c r="R236" s="719"/>
      <c r="S236" s="721"/>
      <c r="T236" s="748"/>
      <c r="U236" s="726"/>
      <c r="V236" s="727"/>
      <c r="W236" s="727"/>
      <c r="X236" s="727"/>
      <c r="Y236" s="727"/>
      <c r="Z236" s="727"/>
      <c r="AA236" s="728"/>
      <c r="AC236" s="249"/>
      <c r="AD236" s="749"/>
      <c r="AU236" s="724"/>
      <c r="AY236" s="724"/>
      <c r="BE236" s="729"/>
      <c r="BF236" s="729"/>
      <c r="BG236" s="729"/>
      <c r="BH236" s="729"/>
      <c r="BI236" s="729"/>
      <c r="BJ236" s="724"/>
      <c r="BK236" s="729"/>
      <c r="BL236" s="724"/>
      <c r="BM236" s="724"/>
    </row>
    <row r="237" spans="1:63" s="398" customFormat="1" ht="37.35" customHeight="1">
      <c r="A237" s="181"/>
      <c r="B237" s="399"/>
      <c r="C237" s="181"/>
      <c r="D237" s="105" t="s">
        <v>653</v>
      </c>
      <c r="E237" s="105"/>
      <c r="F237" s="105"/>
      <c r="G237" s="105"/>
      <c r="H237" s="105"/>
      <c r="I237" s="105"/>
      <c r="J237" s="105"/>
      <c r="K237" s="106"/>
      <c r="L237" s="532"/>
      <c r="M237" s="87"/>
      <c r="N237" s="481"/>
      <c r="O237" s="482"/>
      <c r="P237" s="482"/>
      <c r="Q237" s="482"/>
      <c r="R237" s="400"/>
      <c r="S237" s="181"/>
      <c r="T237" s="181"/>
      <c r="U237" s="181"/>
      <c r="V237" s="181"/>
      <c r="W237" s="402"/>
      <c r="X237" s="181"/>
      <c r="Y237" s="402"/>
      <c r="Z237" s="181"/>
      <c r="AA237" s="403"/>
      <c r="AC237" s="249"/>
      <c r="AU237" s="405"/>
      <c r="AY237" s="404"/>
      <c r="BK237" s="406"/>
    </row>
    <row r="238" spans="1:65" s="249" customFormat="1" ht="30" customHeight="1">
      <c r="A238" s="87"/>
      <c r="B238" s="247"/>
      <c r="C238" s="195" t="s">
        <v>856</v>
      </c>
      <c r="D238" s="195"/>
      <c r="E238" s="195" t="s">
        <v>1317</v>
      </c>
      <c r="F238" s="995" t="s">
        <v>654</v>
      </c>
      <c r="G238" s="996"/>
      <c r="H238" s="996"/>
      <c r="I238" s="997"/>
      <c r="J238" s="94" t="s">
        <v>131</v>
      </c>
      <c r="K238" s="95">
        <v>1</v>
      </c>
      <c r="L238" s="11"/>
      <c r="M238" s="87"/>
      <c r="N238" s="948">
        <f>ROUND(L238*K238,2)</f>
        <v>0</v>
      </c>
      <c r="O238" s="948"/>
      <c r="P238" s="948"/>
      <c r="Q238" s="948"/>
      <c r="R238" s="248"/>
      <c r="S238" s="87"/>
      <c r="T238" s="483"/>
      <c r="U238" s="221"/>
      <c r="V238" s="408"/>
      <c r="W238" s="408"/>
      <c r="X238" s="408"/>
      <c r="Y238" s="408"/>
      <c r="Z238" s="408"/>
      <c r="AA238" s="409"/>
      <c r="AD238" s="398"/>
      <c r="AU238" s="240"/>
      <c r="AY238" s="240"/>
      <c r="BE238" s="250"/>
      <c r="BF238" s="250"/>
      <c r="BG238" s="250"/>
      <c r="BH238" s="250"/>
      <c r="BI238" s="250"/>
      <c r="BJ238" s="240"/>
      <c r="BK238" s="250"/>
      <c r="BL238" s="240"/>
      <c r="BM238" s="240"/>
    </row>
    <row r="239" spans="1:65" s="191" customFormat="1" ht="30" customHeight="1">
      <c r="A239" s="617"/>
      <c r="B239" s="618"/>
      <c r="C239" s="195" t="s">
        <v>857</v>
      </c>
      <c r="D239" s="556"/>
      <c r="E239" s="195" t="s">
        <v>1318</v>
      </c>
      <c r="F239" s="1005" t="s">
        <v>655</v>
      </c>
      <c r="G239" s="1006"/>
      <c r="H239" s="1006"/>
      <c r="I239" s="1007"/>
      <c r="J239" s="101" t="s">
        <v>198</v>
      </c>
      <c r="K239" s="60">
        <v>1</v>
      </c>
      <c r="L239" s="27"/>
      <c r="M239" s="87"/>
      <c r="N239" s="998">
        <f aca="true" t="shared" si="12" ref="N239:N245">ROUND(L239*K239,2)</f>
        <v>0</v>
      </c>
      <c r="O239" s="998"/>
      <c r="P239" s="998"/>
      <c r="Q239" s="998"/>
      <c r="R239" s="619"/>
      <c r="S239" s="617"/>
      <c r="T239" s="620"/>
      <c r="U239" s="621"/>
      <c r="V239" s="622"/>
      <c r="W239" s="622"/>
      <c r="X239" s="622"/>
      <c r="Y239" s="622"/>
      <c r="Z239" s="622"/>
      <c r="AA239" s="623"/>
      <c r="AC239" s="249"/>
      <c r="AD239" s="398"/>
      <c r="AU239" s="624"/>
      <c r="AY239" s="624"/>
      <c r="BE239" s="625"/>
      <c r="BF239" s="625"/>
      <c r="BG239" s="625"/>
      <c r="BH239" s="625"/>
      <c r="BI239" s="625"/>
      <c r="BJ239" s="624"/>
      <c r="BK239" s="625"/>
      <c r="BL239" s="624"/>
      <c r="BM239" s="624"/>
    </row>
    <row r="240" spans="1:65" s="249" customFormat="1" ht="30" customHeight="1">
      <c r="A240" s="87"/>
      <c r="B240" s="247"/>
      <c r="C240" s="195" t="s">
        <v>858</v>
      </c>
      <c r="D240" s="195"/>
      <c r="E240" s="195" t="s">
        <v>1319</v>
      </c>
      <c r="F240" s="1054" t="s">
        <v>657</v>
      </c>
      <c r="G240" s="1055"/>
      <c r="H240" s="1055"/>
      <c r="I240" s="1056"/>
      <c r="J240" s="96" t="s">
        <v>133</v>
      </c>
      <c r="K240" s="95">
        <f>6.4+1.7+2.5+0.4*5+13.4</f>
        <v>26</v>
      </c>
      <c r="L240" s="11"/>
      <c r="M240" s="87"/>
      <c r="N240" s="948">
        <f t="shared" si="12"/>
        <v>0</v>
      </c>
      <c r="O240" s="948"/>
      <c r="P240" s="948"/>
      <c r="Q240" s="948"/>
      <c r="R240" s="248"/>
      <c r="S240" s="87"/>
      <c r="T240" s="483"/>
      <c r="U240" s="221"/>
      <c r="V240" s="408"/>
      <c r="W240" s="408"/>
      <c r="X240" s="408"/>
      <c r="Y240" s="408"/>
      <c r="Z240" s="408"/>
      <c r="AA240" s="409"/>
      <c r="AD240" s="398"/>
      <c r="AU240" s="240"/>
      <c r="AY240" s="240"/>
      <c r="BE240" s="250"/>
      <c r="BF240" s="250"/>
      <c r="BG240" s="250"/>
      <c r="BH240" s="250"/>
      <c r="BI240" s="250"/>
      <c r="BJ240" s="240"/>
      <c r="BK240" s="250"/>
      <c r="BL240" s="240"/>
      <c r="BM240" s="240"/>
    </row>
    <row r="241" spans="1:65" s="191" customFormat="1" ht="30" customHeight="1">
      <c r="A241" s="617"/>
      <c r="B241" s="618"/>
      <c r="C241" s="195" t="s">
        <v>859</v>
      </c>
      <c r="D241" s="556"/>
      <c r="E241" s="195" t="s">
        <v>1320</v>
      </c>
      <c r="F241" s="1005" t="s">
        <v>658</v>
      </c>
      <c r="G241" s="1006"/>
      <c r="H241" s="1006"/>
      <c r="I241" s="1007"/>
      <c r="J241" s="101" t="s">
        <v>133</v>
      </c>
      <c r="K241" s="60">
        <f>K240*1.1</f>
        <v>28.6</v>
      </c>
      <c r="L241" s="27"/>
      <c r="M241" s="87"/>
      <c r="N241" s="998">
        <f t="shared" si="12"/>
        <v>0</v>
      </c>
      <c r="O241" s="998"/>
      <c r="P241" s="998"/>
      <c r="Q241" s="998"/>
      <c r="R241" s="619"/>
      <c r="S241" s="617"/>
      <c r="T241" s="620"/>
      <c r="U241" s="621"/>
      <c r="V241" s="622"/>
      <c r="W241" s="622"/>
      <c r="X241" s="622"/>
      <c r="Y241" s="622"/>
      <c r="Z241" s="622"/>
      <c r="AA241" s="623"/>
      <c r="AC241" s="249"/>
      <c r="AD241" s="398"/>
      <c r="AU241" s="624"/>
      <c r="AY241" s="624"/>
      <c r="BE241" s="625"/>
      <c r="BF241" s="625"/>
      <c r="BG241" s="625"/>
      <c r="BH241" s="625"/>
      <c r="BI241" s="625"/>
      <c r="BJ241" s="624"/>
      <c r="BK241" s="625"/>
      <c r="BL241" s="624"/>
      <c r="BM241" s="624"/>
    </row>
    <row r="242" spans="1:65" s="191" customFormat="1" ht="30" customHeight="1">
      <c r="A242" s="617"/>
      <c r="B242" s="618"/>
      <c r="C242" s="195" t="s">
        <v>860</v>
      </c>
      <c r="D242" s="556"/>
      <c r="E242" s="195" t="s">
        <v>1321</v>
      </c>
      <c r="F242" s="1001" t="s">
        <v>656</v>
      </c>
      <c r="G242" s="1002"/>
      <c r="H242" s="1002"/>
      <c r="I242" s="1003"/>
      <c r="J242" s="97" t="s">
        <v>198</v>
      </c>
      <c r="K242" s="60">
        <v>1</v>
      </c>
      <c r="L242" s="27"/>
      <c r="M242" s="87"/>
      <c r="N242" s="998">
        <f t="shared" si="12"/>
        <v>0</v>
      </c>
      <c r="O242" s="998"/>
      <c r="P242" s="998"/>
      <c r="Q242" s="998"/>
      <c r="R242" s="619"/>
      <c r="S242" s="617"/>
      <c r="T242" s="620"/>
      <c r="U242" s="621"/>
      <c r="V242" s="622"/>
      <c r="W242" s="622"/>
      <c r="X242" s="622"/>
      <c r="Y242" s="622"/>
      <c r="Z242" s="622"/>
      <c r="AA242" s="623"/>
      <c r="AC242" s="249"/>
      <c r="AD242" s="398"/>
      <c r="AU242" s="624"/>
      <c r="AY242" s="624"/>
      <c r="BE242" s="625"/>
      <c r="BF242" s="625"/>
      <c r="BG242" s="625"/>
      <c r="BH242" s="625"/>
      <c r="BI242" s="625"/>
      <c r="BJ242" s="624"/>
      <c r="BK242" s="625"/>
      <c r="BL242" s="624"/>
      <c r="BM242" s="624"/>
    </row>
    <row r="243" spans="1:65" s="249" customFormat="1" ht="30" customHeight="1">
      <c r="A243" s="87"/>
      <c r="B243" s="247"/>
      <c r="C243" s="195" t="s">
        <v>861</v>
      </c>
      <c r="D243" s="195"/>
      <c r="E243" s="195" t="s">
        <v>1322</v>
      </c>
      <c r="F243" s="999" t="s">
        <v>659</v>
      </c>
      <c r="G243" s="999"/>
      <c r="H243" s="999"/>
      <c r="I243" s="999"/>
      <c r="J243" s="102" t="s">
        <v>198</v>
      </c>
      <c r="K243" s="110">
        <v>5</v>
      </c>
      <c r="L243" s="11"/>
      <c r="M243" s="87"/>
      <c r="N243" s="948">
        <f t="shared" si="12"/>
        <v>0</v>
      </c>
      <c r="O243" s="948"/>
      <c r="P243" s="948"/>
      <c r="Q243" s="948"/>
      <c r="R243" s="248"/>
      <c r="S243" s="87"/>
      <c r="T243" s="483"/>
      <c r="U243" s="221"/>
      <c r="V243" s="408"/>
      <c r="W243" s="408"/>
      <c r="X243" s="408"/>
      <c r="Y243" s="408"/>
      <c r="Z243" s="408"/>
      <c r="AA243" s="409"/>
      <c r="AD243" s="398"/>
      <c r="AU243" s="240"/>
      <c r="AY243" s="240"/>
      <c r="BE243" s="250"/>
      <c r="BF243" s="250"/>
      <c r="BG243" s="250"/>
      <c r="BH243" s="250"/>
      <c r="BI243" s="250"/>
      <c r="BJ243" s="240"/>
      <c r="BK243" s="250"/>
      <c r="BL243" s="240"/>
      <c r="BM243" s="240"/>
    </row>
    <row r="244" spans="1:65" s="191" customFormat="1" ht="30" customHeight="1">
      <c r="A244" s="617"/>
      <c r="B244" s="618"/>
      <c r="C244" s="195" t="s">
        <v>862</v>
      </c>
      <c r="D244" s="556"/>
      <c r="E244" s="195" t="s">
        <v>1323</v>
      </c>
      <c r="F244" s="1000" t="s">
        <v>660</v>
      </c>
      <c r="G244" s="1000"/>
      <c r="H244" s="1000"/>
      <c r="I244" s="1000"/>
      <c r="J244" s="101" t="s">
        <v>198</v>
      </c>
      <c r="K244" s="60">
        <v>5</v>
      </c>
      <c r="L244" s="27"/>
      <c r="M244" s="87"/>
      <c r="N244" s="998">
        <f t="shared" si="12"/>
        <v>0</v>
      </c>
      <c r="O244" s="998"/>
      <c r="P244" s="998"/>
      <c r="Q244" s="998"/>
      <c r="R244" s="619"/>
      <c r="S244" s="617"/>
      <c r="T244" s="620"/>
      <c r="U244" s="621"/>
      <c r="V244" s="622"/>
      <c r="W244" s="622"/>
      <c r="X244" s="622"/>
      <c r="Y244" s="622"/>
      <c r="Z244" s="622"/>
      <c r="AA244" s="623"/>
      <c r="AC244" s="249"/>
      <c r="AD244" s="398"/>
      <c r="AU244" s="624"/>
      <c r="AY244" s="624"/>
      <c r="BE244" s="625"/>
      <c r="BF244" s="625"/>
      <c r="BG244" s="625"/>
      <c r="BH244" s="625"/>
      <c r="BI244" s="625"/>
      <c r="BJ244" s="624"/>
      <c r="BK244" s="625"/>
      <c r="BL244" s="624"/>
      <c r="BM244" s="624"/>
    </row>
    <row r="245" spans="1:65" s="249" customFormat="1" ht="39.6" customHeight="1">
      <c r="A245" s="87"/>
      <c r="B245" s="247"/>
      <c r="C245" s="195" t="s">
        <v>863</v>
      </c>
      <c r="D245" s="195"/>
      <c r="E245" s="195" t="s">
        <v>1324</v>
      </c>
      <c r="F245" s="999" t="s">
        <v>247</v>
      </c>
      <c r="G245" s="999"/>
      <c r="H245" s="999"/>
      <c r="I245" s="999"/>
      <c r="J245" s="102" t="s">
        <v>131</v>
      </c>
      <c r="K245" s="43">
        <v>1</v>
      </c>
      <c r="L245" s="21"/>
      <c r="M245" s="87"/>
      <c r="N245" s="948">
        <f t="shared" si="12"/>
        <v>0</v>
      </c>
      <c r="O245" s="948"/>
      <c r="P245" s="948"/>
      <c r="Q245" s="948"/>
      <c r="R245" s="248"/>
      <c r="S245" s="87"/>
      <c r="T245" s="89"/>
      <c r="U245" s="221"/>
      <c r="V245" s="408"/>
      <c r="W245" s="408"/>
      <c r="X245" s="408"/>
      <c r="Y245" s="408"/>
      <c r="Z245" s="408"/>
      <c r="AA245" s="409"/>
      <c r="AD245" s="398"/>
      <c r="AU245" s="240"/>
      <c r="AY245" s="240"/>
      <c r="BE245" s="250"/>
      <c r="BF245" s="250"/>
      <c r="BG245" s="250"/>
      <c r="BH245" s="250"/>
      <c r="BI245" s="250"/>
      <c r="BJ245" s="240"/>
      <c r="BK245" s="250"/>
      <c r="BL245" s="240"/>
      <c r="BM245" s="240"/>
    </row>
    <row r="246" spans="1:65" s="716" customFormat="1" ht="39.6" customHeight="1">
      <c r="A246" s="721"/>
      <c r="B246" s="717"/>
      <c r="C246" s="718" t="s">
        <v>864</v>
      </c>
      <c r="D246" s="718"/>
      <c r="E246" s="718" t="s">
        <v>1293</v>
      </c>
      <c r="F246" s="954" t="s">
        <v>206</v>
      </c>
      <c r="G246" s="954"/>
      <c r="H246" s="954"/>
      <c r="I246" s="954"/>
      <c r="J246" s="103" t="s">
        <v>2227</v>
      </c>
      <c r="K246" s="104">
        <v>1</v>
      </c>
      <c r="L246" s="36"/>
      <c r="M246" s="87"/>
      <c r="N246" s="1009">
        <f>ROUND(L246*K246,2)</f>
        <v>0</v>
      </c>
      <c r="O246" s="1009"/>
      <c r="P246" s="1009"/>
      <c r="Q246" s="1009"/>
      <c r="R246" s="719"/>
      <c r="S246" s="721"/>
      <c r="T246" s="748"/>
      <c r="U246" s="726"/>
      <c r="V246" s="727"/>
      <c r="W246" s="727"/>
      <c r="X246" s="727"/>
      <c r="Y246" s="727"/>
      <c r="Z246" s="727"/>
      <c r="AA246" s="728"/>
      <c r="AC246" s="716">
        <v>1883.4</v>
      </c>
      <c r="AD246" s="749"/>
      <c r="AU246" s="724"/>
      <c r="AY246" s="724"/>
      <c r="BE246" s="729"/>
      <c r="BF246" s="729"/>
      <c r="BG246" s="729"/>
      <c r="BH246" s="729"/>
      <c r="BI246" s="729"/>
      <c r="BJ246" s="724"/>
      <c r="BK246" s="729"/>
      <c r="BL246" s="724"/>
      <c r="BM246" s="724"/>
    </row>
    <row r="247" spans="1:65" s="716" customFormat="1" ht="39.6" customHeight="1">
      <c r="A247" s="721"/>
      <c r="B247" s="717"/>
      <c r="C247" s="718" t="s">
        <v>865</v>
      </c>
      <c r="D247" s="718"/>
      <c r="E247" s="718" t="s">
        <v>1294</v>
      </c>
      <c r="F247" s="954" t="s">
        <v>2226</v>
      </c>
      <c r="G247" s="954"/>
      <c r="H247" s="954"/>
      <c r="I247" s="954"/>
      <c r="J247" s="103" t="s">
        <v>2227</v>
      </c>
      <c r="K247" s="104">
        <v>1</v>
      </c>
      <c r="L247" s="36"/>
      <c r="M247" s="87"/>
      <c r="N247" s="1009">
        <f>ROUND(L247*K247,2)</f>
        <v>0</v>
      </c>
      <c r="O247" s="1009"/>
      <c r="P247" s="1009"/>
      <c r="Q247" s="1009"/>
      <c r="R247" s="719"/>
      <c r="S247" s="721"/>
      <c r="T247" s="748"/>
      <c r="U247" s="726"/>
      <c r="V247" s="727"/>
      <c r="W247" s="727"/>
      <c r="X247" s="727"/>
      <c r="Y247" s="727"/>
      <c r="Z247" s="727"/>
      <c r="AA247" s="728"/>
      <c r="AC247" s="716">
        <v>1883.4</v>
      </c>
      <c r="AD247" s="749"/>
      <c r="AU247" s="724"/>
      <c r="AY247" s="724"/>
      <c r="BE247" s="729"/>
      <c r="BF247" s="729"/>
      <c r="BG247" s="729"/>
      <c r="BH247" s="729"/>
      <c r="BI247" s="729"/>
      <c r="BJ247" s="724"/>
      <c r="BK247" s="729"/>
      <c r="BL247" s="724"/>
      <c r="BM247" s="724"/>
    </row>
    <row r="248" spans="1:63" s="398" customFormat="1" ht="37.35" customHeight="1">
      <c r="A248" s="181"/>
      <c r="B248" s="399"/>
      <c r="C248" s="181"/>
      <c r="D248" s="105" t="s">
        <v>254</v>
      </c>
      <c r="E248" s="105"/>
      <c r="F248" s="105"/>
      <c r="G248" s="105"/>
      <c r="H248" s="105"/>
      <c r="I248" s="105"/>
      <c r="J248" s="105"/>
      <c r="K248" s="106"/>
      <c r="L248" s="532"/>
      <c r="M248" s="87"/>
      <c r="N248" s="481"/>
      <c r="O248" s="482"/>
      <c r="P248" s="482"/>
      <c r="Q248" s="482"/>
      <c r="R248" s="400"/>
      <c r="S248" s="181"/>
      <c r="T248" s="181"/>
      <c r="U248" s="181"/>
      <c r="V248" s="181"/>
      <c r="W248" s="402"/>
      <c r="X248" s="181"/>
      <c r="Y248" s="402"/>
      <c r="Z248" s="181"/>
      <c r="AA248" s="403"/>
      <c r="AC248" s="249"/>
      <c r="AU248" s="405"/>
      <c r="AY248" s="404"/>
      <c r="BK248" s="406"/>
    </row>
    <row r="249" spans="3:65" s="249" customFormat="1" ht="31.5" customHeight="1">
      <c r="C249" s="761" t="s">
        <v>866</v>
      </c>
      <c r="D249" s="761"/>
      <c r="E249" s="761" t="s">
        <v>1325</v>
      </c>
      <c r="F249" s="1106" t="s">
        <v>912</v>
      </c>
      <c r="G249" s="1107"/>
      <c r="H249" s="1107"/>
      <c r="I249" s="1108"/>
      <c r="J249" s="111" t="s">
        <v>131</v>
      </c>
      <c r="K249" s="112">
        <v>1</v>
      </c>
      <c r="L249" s="12"/>
      <c r="M249" s="87"/>
      <c r="N249" s="1109">
        <f>ROUND(L249*K249,2)</f>
        <v>0</v>
      </c>
      <c r="O249" s="1109"/>
      <c r="P249" s="1109"/>
      <c r="Q249" s="1109"/>
      <c r="T249" s="407" t="s">
        <v>5</v>
      </c>
      <c r="U249" s="221" t="s">
        <v>36</v>
      </c>
      <c r="V249" s="408">
        <v>0</v>
      </c>
      <c r="W249" s="408" t="e">
        <f>V249*#REF!</f>
        <v>#REF!</v>
      </c>
      <c r="X249" s="408">
        <v>0</v>
      </c>
      <c r="Y249" s="408" t="e">
        <f>X249*#REF!</f>
        <v>#REF!</v>
      </c>
      <c r="Z249" s="408">
        <v>0</v>
      </c>
      <c r="AA249" s="409" t="e">
        <f>Z249*#REF!</f>
        <v>#REF!</v>
      </c>
      <c r="AD249" s="398"/>
      <c r="AU249" s="240" t="s">
        <v>76</v>
      </c>
      <c r="AY249" s="240" t="s">
        <v>125</v>
      </c>
      <c r="BE249" s="250">
        <f>IF(U249="základní",#REF!,0)</f>
        <v>0</v>
      </c>
      <c r="BF249" s="250" t="e">
        <f>IF(U249="snížená",#REF!,0)</f>
        <v>#REF!</v>
      </c>
      <c r="BG249" s="250">
        <f>IF(U249="zákl. přenesená",#REF!,0)</f>
        <v>0</v>
      </c>
      <c r="BH249" s="250">
        <f>IF(U249="sníž. přenesená",#REF!,0)</f>
        <v>0</v>
      </c>
      <c r="BI249" s="250">
        <f>IF(U249="nulová",#REF!,0)</f>
        <v>0</v>
      </c>
      <c r="BJ249" s="240" t="s">
        <v>80</v>
      </c>
      <c r="BK249" s="250" t="e">
        <f>ROUND(#REF!*#REF!,2)</f>
        <v>#REF!</v>
      </c>
      <c r="BL249" s="240" t="s">
        <v>128</v>
      </c>
      <c r="BM249" s="240" t="s">
        <v>140</v>
      </c>
    </row>
    <row r="250" spans="3:47" s="249" customFormat="1" ht="30" customHeight="1"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275"/>
      <c r="AD250" s="398"/>
      <c r="AU250" s="240" t="s">
        <v>76</v>
      </c>
    </row>
    <row r="251" spans="3:65" s="249" customFormat="1" ht="22.5" customHeight="1"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483" t="s">
        <v>5</v>
      </c>
      <c r="U251" s="221" t="s">
        <v>36</v>
      </c>
      <c r="V251" s="408">
        <v>0</v>
      </c>
      <c r="W251" s="408" t="e">
        <f>V251*#REF!</f>
        <v>#REF!</v>
      </c>
      <c r="X251" s="408">
        <v>0</v>
      </c>
      <c r="Y251" s="408" t="e">
        <f>X251*#REF!</f>
        <v>#REF!</v>
      </c>
      <c r="Z251" s="408">
        <v>0</v>
      </c>
      <c r="AA251" s="409" t="e">
        <f>Z251*#REF!</f>
        <v>#REF!</v>
      </c>
      <c r="AD251" s="398"/>
      <c r="AU251" s="240" t="s">
        <v>76</v>
      </c>
      <c r="AY251" s="240" t="s">
        <v>125</v>
      </c>
      <c r="BE251" s="250">
        <f>IF(U251="základní",#REF!,0)</f>
        <v>0</v>
      </c>
      <c r="BF251" s="250" t="e">
        <f>IF(U251="snížená",#REF!,0)</f>
        <v>#REF!</v>
      </c>
      <c r="BG251" s="250">
        <f>IF(U251="zákl. přenesená",#REF!,0)</f>
        <v>0</v>
      </c>
      <c r="BH251" s="250">
        <f>IF(U251="sníž. přenesená",#REF!,0)</f>
        <v>0</v>
      </c>
      <c r="BI251" s="250">
        <f>IF(U251="nulová",#REF!,0)</f>
        <v>0</v>
      </c>
      <c r="BJ251" s="240" t="s">
        <v>80</v>
      </c>
      <c r="BK251" s="250" t="e">
        <f>ROUND(#REF!*#REF!,2)</f>
        <v>#REF!</v>
      </c>
      <c r="BL251" s="240" t="s">
        <v>128</v>
      </c>
      <c r="BM251" s="240" t="s">
        <v>141</v>
      </c>
    </row>
    <row r="252" spans="3:47" s="249" customFormat="1" ht="42" customHeight="1"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275"/>
      <c r="AD252" s="398"/>
      <c r="AU252" s="240" t="s">
        <v>76</v>
      </c>
    </row>
    <row r="253" spans="20:65" s="249" customFormat="1" ht="31.5" customHeight="1">
      <c r="T253" s="407" t="s">
        <v>5</v>
      </c>
      <c r="U253" s="221" t="s">
        <v>36</v>
      </c>
      <c r="V253" s="408">
        <v>0</v>
      </c>
      <c r="W253" s="408" t="e">
        <f>V253*#REF!</f>
        <v>#REF!</v>
      </c>
      <c r="X253" s="408">
        <v>0</v>
      </c>
      <c r="Y253" s="408" t="e">
        <f>X253*#REF!</f>
        <v>#REF!</v>
      </c>
      <c r="Z253" s="408">
        <v>0</v>
      </c>
      <c r="AA253" s="409" t="e">
        <f>Z253*#REF!</f>
        <v>#REF!</v>
      </c>
      <c r="AD253" s="398"/>
      <c r="AU253" s="240" t="s">
        <v>76</v>
      </c>
      <c r="AY253" s="240" t="s">
        <v>125</v>
      </c>
      <c r="BE253" s="250">
        <f>IF(U253="základní",#REF!,0)</f>
        <v>0</v>
      </c>
      <c r="BF253" s="250" t="e">
        <f>IF(U253="snížená",#REF!,0)</f>
        <v>#REF!</v>
      </c>
      <c r="BG253" s="250">
        <f>IF(U253="zákl. přenesená",#REF!,0)</f>
        <v>0</v>
      </c>
      <c r="BH253" s="250">
        <f>IF(U253="sníž. přenesená",#REF!,0)</f>
        <v>0</v>
      </c>
      <c r="BI253" s="250">
        <f>IF(U253="nulová",#REF!,0)</f>
        <v>0</v>
      </c>
      <c r="BJ253" s="240" t="s">
        <v>80</v>
      </c>
      <c r="BK253" s="250" t="e">
        <f>ROUND(#REF!*#REF!,2)</f>
        <v>#REF!</v>
      </c>
      <c r="BL253" s="240" t="s">
        <v>128</v>
      </c>
      <c r="BM253" s="240" t="s">
        <v>142</v>
      </c>
    </row>
    <row r="254" spans="20:47" s="249" customFormat="1" ht="30" customHeight="1">
      <c r="T254" s="639"/>
      <c r="U254" s="87"/>
      <c r="V254" s="87"/>
      <c r="W254" s="87"/>
      <c r="X254" s="87"/>
      <c r="Y254" s="87"/>
      <c r="Z254" s="87"/>
      <c r="AA254" s="275"/>
      <c r="AD254" s="398"/>
      <c r="AU254" s="240" t="s">
        <v>76</v>
      </c>
    </row>
    <row r="255" spans="20:65" s="249" customFormat="1" ht="31.5" customHeight="1">
      <c r="T255" s="407" t="s">
        <v>5</v>
      </c>
      <c r="U255" s="221" t="s">
        <v>36</v>
      </c>
      <c r="V255" s="408">
        <v>0</v>
      </c>
      <c r="W255" s="408" t="e">
        <f>V255*#REF!</f>
        <v>#REF!</v>
      </c>
      <c r="X255" s="408">
        <v>0</v>
      </c>
      <c r="Y255" s="408" t="e">
        <f>X255*#REF!</f>
        <v>#REF!</v>
      </c>
      <c r="Z255" s="408">
        <v>0</v>
      </c>
      <c r="AA255" s="409" t="e">
        <f>Z255*#REF!</f>
        <v>#REF!</v>
      </c>
      <c r="AD255" s="398"/>
      <c r="AU255" s="240" t="s">
        <v>76</v>
      </c>
      <c r="AY255" s="240" t="s">
        <v>125</v>
      </c>
      <c r="BE255" s="250">
        <f>IF(U255="základní",#REF!,0)</f>
        <v>0</v>
      </c>
      <c r="BF255" s="250" t="e">
        <f>IF(U255="snížená",#REF!,0)</f>
        <v>#REF!</v>
      </c>
      <c r="BG255" s="250">
        <f>IF(U255="zákl. přenesená",#REF!,0)</f>
        <v>0</v>
      </c>
      <c r="BH255" s="250">
        <f>IF(U255="sníž. přenesená",#REF!,0)</f>
        <v>0</v>
      </c>
      <c r="BI255" s="250">
        <f>IF(U255="nulová",#REF!,0)</f>
        <v>0</v>
      </c>
      <c r="BJ255" s="240" t="s">
        <v>80</v>
      </c>
      <c r="BK255" s="250" t="e">
        <f>ROUND(#REF!*#REF!,2)</f>
        <v>#REF!</v>
      </c>
      <c r="BL255" s="240" t="s">
        <v>128</v>
      </c>
      <c r="BM255" s="240" t="s">
        <v>143</v>
      </c>
    </row>
    <row r="256" spans="20:47" s="249" customFormat="1" ht="66" customHeight="1">
      <c r="T256" s="639"/>
      <c r="U256" s="87"/>
      <c r="V256" s="87"/>
      <c r="W256" s="87"/>
      <c r="X256" s="87"/>
      <c r="Y256" s="87"/>
      <c r="Z256" s="87"/>
      <c r="AA256" s="275"/>
      <c r="AD256" s="398"/>
      <c r="AU256" s="240" t="s">
        <v>76</v>
      </c>
    </row>
    <row r="257" spans="20:47" s="249" customFormat="1" ht="66.75" customHeight="1">
      <c r="T257" s="639"/>
      <c r="U257" s="87"/>
      <c r="V257" s="87"/>
      <c r="W257" s="87"/>
      <c r="X257" s="87"/>
      <c r="Y257" s="87"/>
      <c r="Z257" s="87"/>
      <c r="AA257" s="275"/>
      <c r="AD257" s="398"/>
      <c r="AU257" s="240"/>
    </row>
    <row r="258" spans="20:47" s="249" customFormat="1" ht="21" customHeight="1">
      <c r="T258" s="639"/>
      <c r="U258" s="87"/>
      <c r="V258" s="87"/>
      <c r="W258" s="87"/>
      <c r="X258" s="87"/>
      <c r="Y258" s="87"/>
      <c r="Z258" s="87"/>
      <c r="AA258" s="275"/>
      <c r="AD258" s="398"/>
      <c r="AU258" s="240"/>
    </row>
    <row r="259" spans="20:47" s="249" customFormat="1" ht="21" customHeight="1">
      <c r="T259" s="639"/>
      <c r="U259" s="87"/>
      <c r="V259" s="87"/>
      <c r="W259" s="87"/>
      <c r="X259" s="87"/>
      <c r="Y259" s="87"/>
      <c r="Z259" s="87"/>
      <c r="AA259" s="275"/>
      <c r="AD259" s="398"/>
      <c r="AU259" s="240"/>
    </row>
    <row r="260" spans="20:65" s="249" customFormat="1" ht="22.5" customHeight="1">
      <c r="T260" s="407" t="s">
        <v>5</v>
      </c>
      <c r="U260" s="221" t="s">
        <v>36</v>
      </c>
      <c r="V260" s="408">
        <v>0</v>
      </c>
      <c r="W260" s="408" t="e">
        <f>V260*#REF!</f>
        <v>#REF!</v>
      </c>
      <c r="X260" s="408">
        <v>0</v>
      </c>
      <c r="Y260" s="408" t="e">
        <f>X260*#REF!</f>
        <v>#REF!</v>
      </c>
      <c r="Z260" s="408">
        <v>0</v>
      </c>
      <c r="AA260" s="409" t="e">
        <f>Z260*#REF!</f>
        <v>#REF!</v>
      </c>
      <c r="AD260" s="398"/>
      <c r="AU260" s="240" t="s">
        <v>76</v>
      </c>
      <c r="AY260" s="240" t="s">
        <v>125</v>
      </c>
      <c r="BE260" s="250">
        <f>IF(U260="základní",#REF!,0)</f>
        <v>0</v>
      </c>
      <c r="BF260" s="250" t="e">
        <f>IF(U260="snížená",#REF!,0)</f>
        <v>#REF!</v>
      </c>
      <c r="BG260" s="250">
        <f>IF(U260="zákl. přenesená",#REF!,0)</f>
        <v>0</v>
      </c>
      <c r="BH260" s="250">
        <f>IF(U260="sníž. přenesená",#REF!,0)</f>
        <v>0</v>
      </c>
      <c r="BI260" s="250">
        <f>IF(U260="nulová",#REF!,0)</f>
        <v>0</v>
      </c>
      <c r="BJ260" s="240" t="s">
        <v>80</v>
      </c>
      <c r="BK260" s="250" t="e">
        <f>ROUND(#REF!*#REF!,2)</f>
        <v>#REF!</v>
      </c>
      <c r="BL260" s="240" t="s">
        <v>128</v>
      </c>
      <c r="BM260" s="240" t="s">
        <v>144</v>
      </c>
    </row>
    <row r="261" spans="20:47" s="249" customFormat="1" ht="24" customHeight="1">
      <c r="T261" s="639"/>
      <c r="U261" s="87"/>
      <c r="V261" s="87"/>
      <c r="W261" s="87"/>
      <c r="X261" s="87"/>
      <c r="Y261" s="87"/>
      <c r="Z261" s="87"/>
      <c r="AA261" s="275"/>
      <c r="AD261" s="398"/>
      <c r="AU261" s="240" t="s">
        <v>76</v>
      </c>
    </row>
    <row r="262" spans="20:63" s="398" customFormat="1" ht="26.25" customHeight="1">
      <c r="T262" s="401"/>
      <c r="U262" s="181"/>
      <c r="V262" s="181"/>
      <c r="W262" s="402">
        <f>SUM(W263:W292)</f>
        <v>0</v>
      </c>
      <c r="X262" s="181"/>
      <c r="Y262" s="402">
        <f>SUM(Y263:Y292)</f>
        <v>0</v>
      </c>
      <c r="Z262" s="181"/>
      <c r="AA262" s="403">
        <f>SUM(AA263:AA292)</f>
        <v>0</v>
      </c>
      <c r="AC262" s="249"/>
      <c r="AU262" s="405" t="s">
        <v>69</v>
      </c>
      <c r="AY262" s="404" t="s">
        <v>125</v>
      </c>
      <c r="BK262" s="406">
        <f>SUM(BK263:BK292)</f>
        <v>0</v>
      </c>
    </row>
    <row r="263" spans="20:65" s="249" customFormat="1" ht="31.5" customHeight="1">
      <c r="T263" s="407" t="s">
        <v>5</v>
      </c>
      <c r="U263" s="221" t="s">
        <v>36</v>
      </c>
      <c r="V263" s="408">
        <v>0</v>
      </c>
      <c r="W263" s="408">
        <f>V263*K280</f>
        <v>0</v>
      </c>
      <c r="X263" s="408">
        <v>0</v>
      </c>
      <c r="Y263" s="408">
        <f>X263*K280</f>
        <v>0</v>
      </c>
      <c r="Z263" s="408">
        <v>0</v>
      </c>
      <c r="AA263" s="409">
        <f>Z263*K280</f>
        <v>0</v>
      </c>
      <c r="AE263" s="422"/>
      <c r="AR263" s="240" t="s">
        <v>128</v>
      </c>
      <c r="AT263" s="240" t="s">
        <v>126</v>
      </c>
      <c r="AU263" s="240" t="s">
        <v>76</v>
      </c>
      <c r="AY263" s="240" t="s">
        <v>125</v>
      </c>
      <c r="BE263" s="250">
        <f>IF(U263="základní",N280,0)</f>
        <v>0</v>
      </c>
      <c r="BF263" s="250">
        <f>IF(U263="snížená",N280,0)</f>
        <v>0</v>
      </c>
      <c r="BG263" s="250">
        <f>IF(U263="zákl. přenesená",N280,0)</f>
        <v>0</v>
      </c>
      <c r="BH263" s="250">
        <f>IF(U263="sníž. přenesená",N280,0)</f>
        <v>0</v>
      </c>
      <c r="BI263" s="250">
        <f>IF(U263="nulová",N280,0)</f>
        <v>0</v>
      </c>
      <c r="BJ263" s="240" t="s">
        <v>80</v>
      </c>
      <c r="BK263" s="250">
        <f>ROUND(L280*K280,2)</f>
        <v>0</v>
      </c>
      <c r="BL263" s="240" t="s">
        <v>128</v>
      </c>
      <c r="BM263" s="240" t="s">
        <v>145</v>
      </c>
    </row>
    <row r="264" spans="20:47" s="249" customFormat="1" ht="30" customHeight="1">
      <c r="T264" s="639"/>
      <c r="U264" s="87"/>
      <c r="V264" s="87"/>
      <c r="W264" s="87"/>
      <c r="X264" s="87"/>
      <c r="Y264" s="87"/>
      <c r="Z264" s="87"/>
      <c r="AA264" s="275"/>
      <c r="AE264" s="87"/>
      <c r="AT264" s="240" t="s">
        <v>182</v>
      </c>
      <c r="AU264" s="240" t="s">
        <v>76</v>
      </c>
    </row>
    <row r="265" spans="20:65" s="249" customFormat="1" ht="31.5" customHeight="1">
      <c r="T265" s="407" t="s">
        <v>5</v>
      </c>
      <c r="U265" s="221" t="s">
        <v>36</v>
      </c>
      <c r="V265" s="408">
        <v>0</v>
      </c>
      <c r="W265" s="408">
        <f>V265*K292</f>
        <v>0</v>
      </c>
      <c r="X265" s="408">
        <v>0</v>
      </c>
      <c r="Y265" s="408">
        <f>X265*K292</f>
        <v>0</v>
      </c>
      <c r="Z265" s="408">
        <v>0</v>
      </c>
      <c r="AA265" s="409">
        <f>Z265*K292</f>
        <v>0</v>
      </c>
      <c r="AR265" s="240" t="s">
        <v>128</v>
      </c>
      <c r="AT265" s="240" t="s">
        <v>126</v>
      </c>
      <c r="AU265" s="240" t="s">
        <v>76</v>
      </c>
      <c r="AY265" s="240" t="s">
        <v>125</v>
      </c>
      <c r="BE265" s="250">
        <f>IF(U265="základní",N292,0)</f>
        <v>0</v>
      </c>
      <c r="BF265" s="250">
        <f>IF(U265="snížená",N292,0)</f>
        <v>0</v>
      </c>
      <c r="BG265" s="250">
        <f>IF(U265="zákl. přenesená",N292,0)</f>
        <v>0</v>
      </c>
      <c r="BH265" s="250">
        <f>IF(U265="sníž. přenesená",N292,0)</f>
        <v>0</v>
      </c>
      <c r="BI265" s="250">
        <f>IF(U265="nulová",N292,0)</f>
        <v>0</v>
      </c>
      <c r="BJ265" s="240" t="s">
        <v>80</v>
      </c>
      <c r="BK265" s="250">
        <f>ROUND(L292*K292,2)</f>
        <v>0</v>
      </c>
      <c r="BL265" s="240" t="s">
        <v>128</v>
      </c>
      <c r="BM265" s="240" t="s">
        <v>146</v>
      </c>
    </row>
    <row r="266" spans="20:47" s="249" customFormat="1" ht="42" customHeight="1">
      <c r="T266" s="639"/>
      <c r="U266" s="87"/>
      <c r="V266" s="87"/>
      <c r="W266" s="87"/>
      <c r="X266" s="87"/>
      <c r="Y266" s="87"/>
      <c r="Z266" s="87"/>
      <c r="AA266" s="275"/>
      <c r="AT266" s="240" t="s">
        <v>182</v>
      </c>
      <c r="AU266" s="240" t="s">
        <v>76</v>
      </c>
    </row>
    <row r="267" spans="20:65" s="249" customFormat="1" ht="31.5" customHeight="1">
      <c r="T267" s="407" t="s">
        <v>5</v>
      </c>
      <c r="U267" s="221" t="s">
        <v>36</v>
      </c>
      <c r="V267" s="408">
        <v>0</v>
      </c>
      <c r="W267" s="408">
        <f>V267*K294</f>
        <v>0</v>
      </c>
      <c r="X267" s="408">
        <v>0</v>
      </c>
      <c r="Y267" s="408">
        <f>X267*K294</f>
        <v>0</v>
      </c>
      <c r="Z267" s="408">
        <v>0</v>
      </c>
      <c r="AA267" s="409">
        <f>Z267*K294</f>
        <v>0</v>
      </c>
      <c r="AR267" s="240" t="s">
        <v>128</v>
      </c>
      <c r="AT267" s="240" t="s">
        <v>126</v>
      </c>
      <c r="AU267" s="240" t="s">
        <v>76</v>
      </c>
      <c r="AY267" s="240" t="s">
        <v>125</v>
      </c>
      <c r="BE267" s="250">
        <f>IF(U267="základní",N294,0)</f>
        <v>0</v>
      </c>
      <c r="BF267" s="250">
        <f>IF(U267="snížená",N294,0)</f>
        <v>0</v>
      </c>
      <c r="BG267" s="250">
        <f>IF(U267="zákl. přenesená",N294,0)</f>
        <v>0</v>
      </c>
      <c r="BH267" s="250">
        <f>IF(U267="sníž. přenesená",N294,0)</f>
        <v>0</v>
      </c>
      <c r="BI267" s="250">
        <f>IF(U267="nulová",N294,0)</f>
        <v>0</v>
      </c>
      <c r="BJ267" s="240" t="s">
        <v>80</v>
      </c>
      <c r="BK267" s="250">
        <f>ROUND(L294*K294,2)</f>
        <v>0</v>
      </c>
      <c r="BL267" s="240" t="s">
        <v>128</v>
      </c>
      <c r="BM267" s="240" t="s">
        <v>147</v>
      </c>
    </row>
    <row r="268" spans="20:47" s="249" customFormat="1" ht="42" customHeight="1">
      <c r="T268" s="639"/>
      <c r="U268" s="87"/>
      <c r="V268" s="87"/>
      <c r="W268" s="87"/>
      <c r="X268" s="87"/>
      <c r="Y268" s="87"/>
      <c r="Z268" s="87"/>
      <c r="AA268" s="275"/>
      <c r="AT268" s="240" t="s">
        <v>182</v>
      </c>
      <c r="AU268" s="240" t="s">
        <v>76</v>
      </c>
    </row>
    <row r="269" spans="20:65" s="249" customFormat="1" ht="31.5" customHeight="1">
      <c r="T269" s="407" t="s">
        <v>5</v>
      </c>
      <c r="U269" s="221" t="s">
        <v>36</v>
      </c>
      <c r="V269" s="408">
        <v>0</v>
      </c>
      <c r="W269" s="408">
        <f>V269*K296</f>
        <v>0</v>
      </c>
      <c r="X269" s="408">
        <v>0</v>
      </c>
      <c r="Y269" s="408">
        <f>X269*K296</f>
        <v>0</v>
      </c>
      <c r="Z269" s="408">
        <v>0</v>
      </c>
      <c r="AA269" s="409">
        <f>Z269*K296</f>
        <v>0</v>
      </c>
      <c r="AR269" s="240" t="s">
        <v>128</v>
      </c>
      <c r="AT269" s="240" t="s">
        <v>126</v>
      </c>
      <c r="AU269" s="240" t="s">
        <v>76</v>
      </c>
      <c r="AY269" s="240" t="s">
        <v>125</v>
      </c>
      <c r="BE269" s="250">
        <f>IF(U269="základní",N296,0)</f>
        <v>0</v>
      </c>
      <c r="BF269" s="250">
        <f>IF(U269="snížená",N296,0)</f>
        <v>0</v>
      </c>
      <c r="BG269" s="250">
        <f>IF(U269="zákl. přenesená",N296,0)</f>
        <v>0</v>
      </c>
      <c r="BH269" s="250">
        <f>IF(U269="sníž. přenesená",N296,0)</f>
        <v>0</v>
      </c>
      <c r="BI269" s="250">
        <f>IF(U269="nulová",N296,0)</f>
        <v>0</v>
      </c>
      <c r="BJ269" s="240" t="s">
        <v>80</v>
      </c>
      <c r="BK269" s="250">
        <f>ROUND(L296*K296,2)</f>
        <v>0</v>
      </c>
      <c r="BL269" s="240" t="s">
        <v>128</v>
      </c>
      <c r="BM269" s="240" t="s">
        <v>148</v>
      </c>
    </row>
    <row r="270" spans="20:47" s="249" customFormat="1" ht="33" customHeight="1">
      <c r="T270" s="639"/>
      <c r="U270" s="87"/>
      <c r="V270" s="87"/>
      <c r="W270" s="87"/>
      <c r="X270" s="87"/>
      <c r="Y270" s="87"/>
      <c r="Z270" s="87"/>
      <c r="AA270" s="275"/>
      <c r="AT270" s="240" t="s">
        <v>182</v>
      </c>
      <c r="AU270" s="240" t="s">
        <v>76</v>
      </c>
    </row>
    <row r="271" spans="20:65" s="249" customFormat="1" ht="31.5" customHeight="1">
      <c r="T271" s="407" t="s">
        <v>5</v>
      </c>
      <c r="U271" s="221" t="s">
        <v>36</v>
      </c>
      <c r="V271" s="408">
        <v>0</v>
      </c>
      <c r="W271" s="408">
        <f>V271*K298</f>
        <v>0</v>
      </c>
      <c r="X271" s="408">
        <v>0</v>
      </c>
      <c r="Y271" s="408">
        <f>X271*K298</f>
        <v>0</v>
      </c>
      <c r="Z271" s="408">
        <v>0</v>
      </c>
      <c r="AA271" s="409">
        <f>Z271*K298</f>
        <v>0</v>
      </c>
      <c r="AR271" s="240" t="s">
        <v>128</v>
      </c>
      <c r="AT271" s="240" t="s">
        <v>126</v>
      </c>
      <c r="AU271" s="240" t="s">
        <v>76</v>
      </c>
      <c r="AY271" s="240" t="s">
        <v>125</v>
      </c>
      <c r="BE271" s="250">
        <f>IF(U271="základní",N298,0)</f>
        <v>0</v>
      </c>
      <c r="BF271" s="250">
        <f>IF(U271="snížená",N298,0)</f>
        <v>0</v>
      </c>
      <c r="BG271" s="250">
        <f>IF(U271="zákl. přenesená",N298,0)</f>
        <v>0</v>
      </c>
      <c r="BH271" s="250">
        <f>IF(U271="sníž. přenesená",N298,0)</f>
        <v>0</v>
      </c>
      <c r="BI271" s="250">
        <f>IF(U271="nulová",N298,0)</f>
        <v>0</v>
      </c>
      <c r="BJ271" s="240" t="s">
        <v>80</v>
      </c>
      <c r="BK271" s="250">
        <f>ROUND(L298*K298,2)</f>
        <v>0</v>
      </c>
      <c r="BL271" s="240" t="s">
        <v>128</v>
      </c>
      <c r="BM271" s="240" t="s">
        <v>149</v>
      </c>
    </row>
    <row r="272" spans="20:47" s="249" customFormat="1" ht="30" customHeight="1">
      <c r="T272" s="639"/>
      <c r="U272" s="87"/>
      <c r="V272" s="87"/>
      <c r="W272" s="87"/>
      <c r="X272" s="87"/>
      <c r="Y272" s="87"/>
      <c r="Z272" s="87"/>
      <c r="AA272" s="275"/>
      <c r="AT272" s="240" t="s">
        <v>182</v>
      </c>
      <c r="AU272" s="240" t="s">
        <v>76</v>
      </c>
    </row>
    <row r="273" spans="20:65" s="249" customFormat="1" ht="31.5" customHeight="1">
      <c r="T273" s="407" t="s">
        <v>5</v>
      </c>
      <c r="U273" s="221" t="s">
        <v>36</v>
      </c>
      <c r="V273" s="408">
        <v>0</v>
      </c>
      <c r="W273" s="408">
        <f>V273*K300</f>
        <v>0</v>
      </c>
      <c r="X273" s="408">
        <v>0</v>
      </c>
      <c r="Y273" s="408">
        <f>X273*K300</f>
        <v>0</v>
      </c>
      <c r="Z273" s="408">
        <v>0</v>
      </c>
      <c r="AA273" s="409">
        <f>Z273*K300</f>
        <v>0</v>
      </c>
      <c r="AR273" s="240" t="s">
        <v>128</v>
      </c>
      <c r="AT273" s="240" t="s">
        <v>126</v>
      </c>
      <c r="AU273" s="240" t="s">
        <v>76</v>
      </c>
      <c r="AY273" s="240" t="s">
        <v>125</v>
      </c>
      <c r="BE273" s="250">
        <f>IF(U273="základní",N300,0)</f>
        <v>0</v>
      </c>
      <c r="BF273" s="250">
        <f>IF(U273="snížená",N300,0)</f>
        <v>0</v>
      </c>
      <c r="BG273" s="250">
        <f>IF(U273="zákl. přenesená",N300,0)</f>
        <v>0</v>
      </c>
      <c r="BH273" s="250">
        <f>IF(U273="sníž. přenesená",N300,0)</f>
        <v>0</v>
      </c>
      <c r="BI273" s="250">
        <f>IF(U273="nulová",N300,0)</f>
        <v>0</v>
      </c>
      <c r="BJ273" s="240" t="s">
        <v>80</v>
      </c>
      <c r="BK273" s="250">
        <f>ROUND(L300*K300,2)</f>
        <v>0</v>
      </c>
      <c r="BL273" s="240" t="s">
        <v>128</v>
      </c>
      <c r="BM273" s="240" t="s">
        <v>150</v>
      </c>
    </row>
    <row r="274" spans="20:47" s="249" customFormat="1" ht="25.5" customHeight="1">
      <c r="T274" s="639"/>
      <c r="U274" s="87"/>
      <c r="V274" s="87"/>
      <c r="W274" s="87"/>
      <c r="X274" s="87"/>
      <c r="Y274" s="87"/>
      <c r="Z274" s="87"/>
      <c r="AA274" s="275"/>
      <c r="AT274" s="240" t="s">
        <v>182</v>
      </c>
      <c r="AU274" s="240" t="s">
        <v>76</v>
      </c>
    </row>
    <row r="275" spans="20:65" s="249" customFormat="1" ht="26.25" customHeight="1">
      <c r="T275" s="407" t="s">
        <v>5</v>
      </c>
      <c r="U275" s="221" t="s">
        <v>36</v>
      </c>
      <c r="V275" s="408">
        <v>0</v>
      </c>
      <c r="W275" s="408">
        <f>V275*K302</f>
        <v>0</v>
      </c>
      <c r="X275" s="408">
        <v>0</v>
      </c>
      <c r="Y275" s="408">
        <f>X275*K302</f>
        <v>0</v>
      </c>
      <c r="Z275" s="408">
        <v>0</v>
      </c>
      <c r="AA275" s="409">
        <f>Z275*K302</f>
        <v>0</v>
      </c>
      <c r="AR275" s="240" t="s">
        <v>128</v>
      </c>
      <c r="AT275" s="240" t="s">
        <v>126</v>
      </c>
      <c r="AU275" s="240" t="s">
        <v>76</v>
      </c>
      <c r="AY275" s="240" t="s">
        <v>125</v>
      </c>
      <c r="BE275" s="250">
        <f>IF(U275="základní",N302,0)</f>
        <v>0</v>
      </c>
      <c r="BF275" s="250">
        <f>IF(U275="snížená",N302,0)</f>
        <v>0</v>
      </c>
      <c r="BG275" s="250">
        <f>IF(U275="zákl. přenesená",N302,0)</f>
        <v>0</v>
      </c>
      <c r="BH275" s="250">
        <f>IF(U275="sníž. přenesená",N302,0)</f>
        <v>0</v>
      </c>
      <c r="BI275" s="250">
        <f>IF(U275="nulová",N302,0)</f>
        <v>0</v>
      </c>
      <c r="BJ275" s="240" t="s">
        <v>80</v>
      </c>
      <c r="BK275" s="250">
        <f>ROUND(L302*K302,2)</f>
        <v>0</v>
      </c>
      <c r="BL275" s="240" t="s">
        <v>128</v>
      </c>
      <c r="BM275" s="240" t="s">
        <v>151</v>
      </c>
    </row>
    <row r="276" spans="20:47" s="249" customFormat="1" ht="24" customHeight="1">
      <c r="T276" s="639"/>
      <c r="U276" s="87"/>
      <c r="V276" s="87"/>
      <c r="W276" s="87"/>
      <c r="X276" s="87"/>
      <c r="Y276" s="87"/>
      <c r="Z276" s="87"/>
      <c r="AA276" s="275"/>
      <c r="AT276" s="240" t="s">
        <v>182</v>
      </c>
      <c r="AU276" s="240" t="s">
        <v>76</v>
      </c>
    </row>
    <row r="277" spans="20:65" s="249" customFormat="1" ht="23.25" customHeight="1">
      <c r="T277" s="407" t="s">
        <v>5</v>
      </c>
      <c r="U277" s="221" t="s">
        <v>36</v>
      </c>
      <c r="V277" s="408">
        <v>0</v>
      </c>
      <c r="W277" s="408">
        <f>V277*K305</f>
        <v>0</v>
      </c>
      <c r="X277" s="408">
        <v>0</v>
      </c>
      <c r="Y277" s="408">
        <f>X277*K305</f>
        <v>0</v>
      </c>
      <c r="Z277" s="408">
        <v>0</v>
      </c>
      <c r="AA277" s="409">
        <f>Z277*K305</f>
        <v>0</v>
      </c>
      <c r="AR277" s="240" t="s">
        <v>128</v>
      </c>
      <c r="AT277" s="240" t="s">
        <v>126</v>
      </c>
      <c r="AU277" s="240" t="s">
        <v>76</v>
      </c>
      <c r="AY277" s="240" t="s">
        <v>125</v>
      </c>
      <c r="BE277" s="250">
        <f>IF(U277="základní",N305,0)</f>
        <v>0</v>
      </c>
      <c r="BF277" s="250">
        <f>IF(U277="snížená",N305,0)</f>
        <v>0</v>
      </c>
      <c r="BG277" s="250">
        <f>IF(U277="zákl. přenesená",N305,0)</f>
        <v>0</v>
      </c>
      <c r="BH277" s="250">
        <f>IF(U277="sníž. přenesená",N305,0)</f>
        <v>0</v>
      </c>
      <c r="BI277" s="250">
        <f>IF(U277="nulová",N305,0)</f>
        <v>0</v>
      </c>
      <c r="BJ277" s="240" t="s">
        <v>80</v>
      </c>
      <c r="BK277" s="250">
        <f>ROUND(L305*K305,2)</f>
        <v>0</v>
      </c>
      <c r="BL277" s="240" t="s">
        <v>128</v>
      </c>
      <c r="BM277" s="240" t="s">
        <v>152</v>
      </c>
    </row>
    <row r="278" spans="20:47" s="249" customFormat="1" ht="42" customHeight="1">
      <c r="T278" s="639"/>
      <c r="U278" s="87"/>
      <c r="V278" s="87"/>
      <c r="W278" s="87"/>
      <c r="X278" s="87"/>
      <c r="Y278" s="87"/>
      <c r="Z278" s="87"/>
      <c r="AA278" s="275"/>
      <c r="AT278" s="240" t="s">
        <v>182</v>
      </c>
      <c r="AU278" s="240" t="s">
        <v>76</v>
      </c>
    </row>
    <row r="279" spans="1:65" s="249" customFormat="1" ht="31.5" customHeight="1">
      <c r="A279" s="87"/>
      <c r="B279" s="87"/>
      <c r="C279" s="181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971"/>
      <c r="O279" s="926"/>
      <c r="P279" s="926"/>
      <c r="Q279" s="926"/>
      <c r="R279" s="87"/>
      <c r="S279" s="87"/>
      <c r="T279" s="483" t="s">
        <v>5</v>
      </c>
      <c r="U279" s="221" t="s">
        <v>36</v>
      </c>
      <c r="V279" s="408">
        <v>0</v>
      </c>
      <c r="W279" s="408">
        <f>V279*K310</f>
        <v>0</v>
      </c>
      <c r="X279" s="408">
        <v>0</v>
      </c>
      <c r="Y279" s="408">
        <f>X279*K310</f>
        <v>0</v>
      </c>
      <c r="Z279" s="408">
        <v>0</v>
      </c>
      <c r="AA279" s="409">
        <f>Z279*K310</f>
        <v>0</v>
      </c>
      <c r="AR279" s="240" t="s">
        <v>128</v>
      </c>
      <c r="AT279" s="240" t="s">
        <v>126</v>
      </c>
      <c r="AU279" s="240" t="s">
        <v>76</v>
      </c>
      <c r="AY279" s="240" t="s">
        <v>125</v>
      </c>
      <c r="BE279" s="250">
        <f>IF(U279="základní",N310,0)</f>
        <v>0</v>
      </c>
      <c r="BF279" s="250">
        <f>IF(U279="snížená",N310,0)</f>
        <v>0</v>
      </c>
      <c r="BG279" s="250">
        <f>IF(U279="zákl. přenesená",N310,0)</f>
        <v>0</v>
      </c>
      <c r="BH279" s="250">
        <f>IF(U279="sníž. přenesená",N310,0)</f>
        <v>0</v>
      </c>
      <c r="BI279" s="250">
        <f>IF(U279="nulová",N310,0)</f>
        <v>0</v>
      </c>
      <c r="BJ279" s="240" t="s">
        <v>80</v>
      </c>
      <c r="BK279" s="250">
        <f>ROUND(L310*K310,2)</f>
        <v>0</v>
      </c>
      <c r="BL279" s="240" t="s">
        <v>128</v>
      </c>
      <c r="BM279" s="240" t="s">
        <v>153</v>
      </c>
    </row>
    <row r="280" spans="1:47" s="249" customFormat="1" ht="30" customHeight="1">
      <c r="A280" s="87"/>
      <c r="B280" s="87"/>
      <c r="C280" s="641"/>
      <c r="D280" s="641"/>
      <c r="E280" s="762"/>
      <c r="F280" s="1085"/>
      <c r="G280" s="1085"/>
      <c r="H280" s="1085"/>
      <c r="I280" s="1085"/>
      <c r="J280" s="735"/>
      <c r="K280" s="736"/>
      <c r="L280" s="1100"/>
      <c r="M280" s="1100"/>
      <c r="N280" s="1100"/>
      <c r="O280" s="1100"/>
      <c r="P280" s="1100"/>
      <c r="Q280" s="1100"/>
      <c r="R280" s="87"/>
      <c r="S280" s="87"/>
      <c r="T280" s="87"/>
      <c r="U280" s="87"/>
      <c r="V280" s="87"/>
      <c r="W280" s="87"/>
      <c r="X280" s="87"/>
      <c r="Y280" s="87"/>
      <c r="Z280" s="87"/>
      <c r="AA280" s="275"/>
      <c r="AT280" s="240" t="s">
        <v>182</v>
      </c>
      <c r="AU280" s="240" t="s">
        <v>76</v>
      </c>
    </row>
    <row r="281" spans="1:65" s="249" customFormat="1" ht="31.5" customHeight="1">
      <c r="A281" s="87"/>
      <c r="B281" s="87"/>
      <c r="C281" s="87"/>
      <c r="D281" s="87"/>
      <c r="E281" s="87"/>
      <c r="F281" s="986"/>
      <c r="G281" s="1091"/>
      <c r="H281" s="1091"/>
      <c r="I281" s="1091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483" t="s">
        <v>5</v>
      </c>
      <c r="U281" s="221" t="s">
        <v>36</v>
      </c>
      <c r="V281" s="408">
        <v>0</v>
      </c>
      <c r="W281" s="408">
        <f>V281*K311</f>
        <v>0</v>
      </c>
      <c r="X281" s="408">
        <v>0</v>
      </c>
      <c r="Y281" s="408">
        <f>X281*K311</f>
        <v>0</v>
      </c>
      <c r="Z281" s="408">
        <v>0</v>
      </c>
      <c r="AA281" s="409">
        <f>Z281*K311</f>
        <v>0</v>
      </c>
      <c r="AR281" s="240" t="s">
        <v>128</v>
      </c>
      <c r="AT281" s="240" t="s">
        <v>126</v>
      </c>
      <c r="AU281" s="240" t="s">
        <v>76</v>
      </c>
      <c r="AY281" s="240" t="s">
        <v>125</v>
      </c>
      <c r="BE281" s="250">
        <f>IF(U281="základní",N311,0)</f>
        <v>0</v>
      </c>
      <c r="BF281" s="250">
        <f>IF(U281="snížená",N311,0)</f>
        <v>0</v>
      </c>
      <c r="BG281" s="250">
        <f>IF(U281="zákl. přenesená",N311,0)</f>
        <v>0</v>
      </c>
      <c r="BH281" s="250">
        <f>IF(U281="sníž. přenesená",N311,0)</f>
        <v>0</v>
      </c>
      <c r="BI281" s="250">
        <f>IF(U281="nulová",N311,0)</f>
        <v>0</v>
      </c>
      <c r="BJ281" s="240" t="s">
        <v>80</v>
      </c>
      <c r="BK281" s="250">
        <f>ROUND(L311*K311,2)</f>
        <v>0</v>
      </c>
      <c r="BL281" s="240" t="s">
        <v>128</v>
      </c>
      <c r="BM281" s="240" t="s">
        <v>154</v>
      </c>
    </row>
    <row r="282" spans="1:47" s="249" customFormat="1" ht="30" customHeight="1">
      <c r="A282" s="87"/>
      <c r="B282" s="87"/>
      <c r="C282" s="641"/>
      <c r="D282" s="641"/>
      <c r="E282" s="762"/>
      <c r="F282" s="1101"/>
      <c r="G282" s="1085"/>
      <c r="H282" s="1085"/>
      <c r="I282" s="1085"/>
      <c r="J282" s="735"/>
      <c r="K282" s="736"/>
      <c r="L282" s="1100"/>
      <c r="M282" s="1100"/>
      <c r="N282" s="1100"/>
      <c r="O282" s="1100"/>
      <c r="P282" s="1100"/>
      <c r="Q282" s="1100"/>
      <c r="R282" s="87"/>
      <c r="S282" s="87"/>
      <c r="T282" s="87"/>
      <c r="U282" s="87"/>
      <c r="V282" s="87"/>
      <c r="W282" s="87"/>
      <c r="X282" s="87"/>
      <c r="Y282" s="87"/>
      <c r="Z282" s="87"/>
      <c r="AA282" s="275"/>
      <c r="AT282" s="240" t="s">
        <v>182</v>
      </c>
      <c r="AU282" s="240" t="s">
        <v>76</v>
      </c>
    </row>
    <row r="283" spans="1:65" s="249" customFormat="1" ht="31.5" customHeight="1">
      <c r="A283" s="87"/>
      <c r="B283" s="87"/>
      <c r="C283" s="641"/>
      <c r="D283" s="641"/>
      <c r="E283" s="762"/>
      <c r="F283" s="1101"/>
      <c r="G283" s="1085"/>
      <c r="H283" s="1085"/>
      <c r="I283" s="1085"/>
      <c r="J283" s="735"/>
      <c r="K283" s="736"/>
      <c r="L283" s="1100"/>
      <c r="M283" s="1100"/>
      <c r="N283" s="1100"/>
      <c r="O283" s="1100"/>
      <c r="P283" s="1100"/>
      <c r="Q283" s="1100"/>
      <c r="R283" s="87"/>
      <c r="S283" s="87"/>
      <c r="T283" s="483" t="s">
        <v>5</v>
      </c>
      <c r="U283" s="221" t="s">
        <v>36</v>
      </c>
      <c r="V283" s="408">
        <v>0</v>
      </c>
      <c r="W283" s="408">
        <f>V283*K313</f>
        <v>0</v>
      </c>
      <c r="X283" s="408">
        <v>0</v>
      </c>
      <c r="Y283" s="408">
        <f>X283*K313</f>
        <v>0</v>
      </c>
      <c r="Z283" s="408">
        <v>0</v>
      </c>
      <c r="AA283" s="409">
        <f>Z283*K313</f>
        <v>0</v>
      </c>
      <c r="AR283" s="240" t="s">
        <v>128</v>
      </c>
      <c r="AT283" s="240" t="s">
        <v>126</v>
      </c>
      <c r="AU283" s="240" t="s">
        <v>76</v>
      </c>
      <c r="AY283" s="240" t="s">
        <v>125</v>
      </c>
      <c r="BE283" s="250">
        <f>IF(U283="základní",N313,0)</f>
        <v>0</v>
      </c>
      <c r="BF283" s="250">
        <f>IF(U283="snížená",N313,0)</f>
        <v>0</v>
      </c>
      <c r="BG283" s="250">
        <f>IF(U283="zákl. přenesená",N313,0)</f>
        <v>0</v>
      </c>
      <c r="BH283" s="250">
        <f>IF(U283="sníž. přenesená",N313,0)</f>
        <v>0</v>
      </c>
      <c r="BI283" s="250">
        <f>IF(U283="nulová",N313,0)</f>
        <v>0</v>
      </c>
      <c r="BJ283" s="240" t="s">
        <v>80</v>
      </c>
      <c r="BK283" s="250">
        <f>ROUND(L313*K313,2)</f>
        <v>0</v>
      </c>
      <c r="BL283" s="240" t="s">
        <v>128</v>
      </c>
      <c r="BM283" s="240" t="s">
        <v>155</v>
      </c>
    </row>
    <row r="284" spans="1:47" s="249" customFormat="1" ht="27" customHeight="1">
      <c r="A284" s="87"/>
      <c r="B284" s="87"/>
      <c r="C284" s="641"/>
      <c r="D284" s="641"/>
      <c r="E284" s="762"/>
      <c r="F284" s="1101"/>
      <c r="G284" s="1085"/>
      <c r="H284" s="1085"/>
      <c r="I284" s="1085"/>
      <c r="J284" s="735"/>
      <c r="K284" s="736"/>
      <c r="L284" s="1100"/>
      <c r="M284" s="1100"/>
      <c r="N284" s="1100"/>
      <c r="O284" s="1100"/>
      <c r="P284" s="1100"/>
      <c r="Q284" s="1100"/>
      <c r="R284" s="87"/>
      <c r="S284" s="87"/>
      <c r="T284" s="87"/>
      <c r="U284" s="87"/>
      <c r="V284" s="87"/>
      <c r="W284" s="87"/>
      <c r="X284" s="87"/>
      <c r="Y284" s="87"/>
      <c r="Z284" s="87"/>
      <c r="AA284" s="275"/>
      <c r="AT284" s="240" t="s">
        <v>182</v>
      </c>
      <c r="AU284" s="240" t="s">
        <v>76</v>
      </c>
    </row>
    <row r="285" spans="1:65" s="249" customFormat="1" ht="31.5" customHeight="1">
      <c r="A285" s="87"/>
      <c r="B285" s="87"/>
      <c r="C285" s="641"/>
      <c r="D285" s="641"/>
      <c r="E285" s="762"/>
      <c r="F285" s="1101"/>
      <c r="G285" s="1085"/>
      <c r="H285" s="1085"/>
      <c r="I285" s="1085"/>
      <c r="J285" s="735"/>
      <c r="K285" s="736"/>
      <c r="L285" s="1100"/>
      <c r="M285" s="1100"/>
      <c r="N285" s="1100"/>
      <c r="O285" s="1100"/>
      <c r="P285" s="1100"/>
      <c r="Q285" s="1100"/>
      <c r="R285" s="87"/>
      <c r="S285" s="87"/>
      <c r="T285" s="483" t="s">
        <v>5</v>
      </c>
      <c r="U285" s="221" t="s">
        <v>36</v>
      </c>
      <c r="V285" s="408">
        <v>0</v>
      </c>
      <c r="W285" s="408">
        <f>V285*K315</f>
        <v>0</v>
      </c>
      <c r="X285" s="408">
        <v>0</v>
      </c>
      <c r="Y285" s="408">
        <f>X285*K315</f>
        <v>0</v>
      </c>
      <c r="Z285" s="408">
        <v>0</v>
      </c>
      <c r="AA285" s="409">
        <f>Z285*K315</f>
        <v>0</v>
      </c>
      <c r="AR285" s="240" t="s">
        <v>128</v>
      </c>
      <c r="AT285" s="240" t="s">
        <v>126</v>
      </c>
      <c r="AU285" s="240" t="s">
        <v>76</v>
      </c>
      <c r="AY285" s="240" t="s">
        <v>125</v>
      </c>
      <c r="BE285" s="250">
        <f>IF(U285="základní",N315,0)</f>
        <v>0</v>
      </c>
      <c r="BF285" s="250">
        <f>IF(U285="snížená",N315,0)</f>
        <v>0</v>
      </c>
      <c r="BG285" s="250">
        <f>IF(U285="zákl. přenesená",N315,0)</f>
        <v>0</v>
      </c>
      <c r="BH285" s="250">
        <f>IF(U285="sníž. přenesená",N315,0)</f>
        <v>0</v>
      </c>
      <c r="BI285" s="250">
        <f>IF(U285="nulová",N315,0)</f>
        <v>0</v>
      </c>
      <c r="BJ285" s="240" t="s">
        <v>80</v>
      </c>
      <c r="BK285" s="250">
        <f>ROUND(L315*K315,2)</f>
        <v>0</v>
      </c>
      <c r="BL285" s="240" t="s">
        <v>128</v>
      </c>
      <c r="BM285" s="240" t="s">
        <v>156</v>
      </c>
    </row>
    <row r="286" spans="1:47" s="249" customFormat="1" ht="30" customHeight="1">
      <c r="A286" s="87"/>
      <c r="B286" s="87"/>
      <c r="C286" s="641"/>
      <c r="D286" s="641"/>
      <c r="E286" s="762"/>
      <c r="F286" s="1101"/>
      <c r="G286" s="1085"/>
      <c r="H286" s="1085"/>
      <c r="I286" s="1085"/>
      <c r="J286" s="735"/>
      <c r="K286" s="736"/>
      <c r="L286" s="1100"/>
      <c r="M286" s="1100"/>
      <c r="N286" s="1100"/>
      <c r="O286" s="1100"/>
      <c r="P286" s="1100"/>
      <c r="Q286" s="1100"/>
      <c r="R286" s="87"/>
      <c r="S286" s="87"/>
      <c r="T286" s="87"/>
      <c r="U286" s="87"/>
      <c r="V286" s="87"/>
      <c r="W286" s="87"/>
      <c r="X286" s="87"/>
      <c r="Y286" s="87"/>
      <c r="Z286" s="87"/>
      <c r="AA286" s="275"/>
      <c r="AT286" s="240" t="s">
        <v>182</v>
      </c>
      <c r="AU286" s="240" t="s">
        <v>76</v>
      </c>
    </row>
    <row r="287" spans="1:65" s="249" customFormat="1" ht="40.5" customHeight="1">
      <c r="A287" s="87"/>
      <c r="B287" s="87"/>
      <c r="C287" s="641"/>
      <c r="D287" s="641"/>
      <c r="E287" s="762"/>
      <c r="F287" s="1101"/>
      <c r="G287" s="1085"/>
      <c r="H287" s="1085"/>
      <c r="I287" s="1085"/>
      <c r="J287" s="735"/>
      <c r="K287" s="736"/>
      <c r="L287" s="1100"/>
      <c r="M287" s="1100"/>
      <c r="N287" s="1100"/>
      <c r="O287" s="1100"/>
      <c r="P287" s="1100"/>
      <c r="Q287" s="1100"/>
      <c r="R287" s="87"/>
      <c r="S287" s="87"/>
      <c r="T287" s="483" t="s">
        <v>5</v>
      </c>
      <c r="U287" s="221" t="s">
        <v>36</v>
      </c>
      <c r="V287" s="408">
        <v>0</v>
      </c>
      <c r="W287" s="408">
        <f>V287*K317</f>
        <v>0</v>
      </c>
      <c r="X287" s="408">
        <v>0</v>
      </c>
      <c r="Y287" s="408">
        <f>X287*K317</f>
        <v>0</v>
      </c>
      <c r="Z287" s="408">
        <v>0</v>
      </c>
      <c r="AA287" s="409">
        <f>Z287*K317</f>
        <v>0</v>
      </c>
      <c r="AR287" s="240" t="s">
        <v>128</v>
      </c>
      <c r="AT287" s="240" t="s">
        <v>126</v>
      </c>
      <c r="AU287" s="240" t="s">
        <v>76</v>
      </c>
      <c r="AY287" s="240" t="s">
        <v>125</v>
      </c>
      <c r="BE287" s="250">
        <f>IF(U287="základní",N317,0)</f>
        <v>0</v>
      </c>
      <c r="BF287" s="250">
        <f>IF(U287="snížená",N317,0)</f>
        <v>0</v>
      </c>
      <c r="BG287" s="250">
        <f>IF(U287="zákl. přenesená",N317,0)</f>
        <v>0</v>
      </c>
      <c r="BH287" s="250">
        <f>IF(U287="sníž. přenesená",N317,0)</f>
        <v>0</v>
      </c>
      <c r="BI287" s="250">
        <f>IF(U287="nulová",N317,0)</f>
        <v>0</v>
      </c>
      <c r="BJ287" s="240" t="s">
        <v>80</v>
      </c>
      <c r="BK287" s="250">
        <f>ROUND(L317*K317,2)</f>
        <v>0</v>
      </c>
      <c r="BL287" s="240" t="s">
        <v>128</v>
      </c>
      <c r="BM287" s="240" t="s">
        <v>157</v>
      </c>
    </row>
    <row r="288" spans="1:47" s="249" customFormat="1" ht="42" customHeight="1">
      <c r="A288" s="87"/>
      <c r="B288" s="87"/>
      <c r="C288" s="641"/>
      <c r="D288" s="641"/>
      <c r="E288" s="762"/>
      <c r="F288" s="1101"/>
      <c r="G288" s="1085"/>
      <c r="H288" s="1085"/>
      <c r="I288" s="1085"/>
      <c r="J288" s="735"/>
      <c r="K288" s="736"/>
      <c r="L288" s="1100"/>
      <c r="M288" s="1100"/>
      <c r="N288" s="1100"/>
      <c r="O288" s="1100"/>
      <c r="P288" s="1100"/>
      <c r="Q288" s="1100"/>
      <c r="R288" s="87"/>
      <c r="S288" s="87"/>
      <c r="T288" s="87"/>
      <c r="U288" s="87"/>
      <c r="V288" s="87"/>
      <c r="W288" s="87"/>
      <c r="X288" s="87"/>
      <c r="Y288" s="87"/>
      <c r="Z288" s="87"/>
      <c r="AA288" s="275"/>
      <c r="AT288" s="240" t="s">
        <v>182</v>
      </c>
      <c r="AU288" s="240" t="s">
        <v>76</v>
      </c>
    </row>
    <row r="289" spans="1:65" s="249" customFormat="1" ht="31.5" customHeight="1">
      <c r="A289" s="87"/>
      <c r="B289" s="87"/>
      <c r="C289" s="641"/>
      <c r="D289" s="641"/>
      <c r="E289" s="762"/>
      <c r="F289" s="1101"/>
      <c r="G289" s="1085"/>
      <c r="H289" s="1085"/>
      <c r="I289" s="1085"/>
      <c r="J289" s="735"/>
      <c r="K289" s="736"/>
      <c r="L289" s="1100"/>
      <c r="M289" s="1100"/>
      <c r="N289" s="1100"/>
      <c r="O289" s="1100"/>
      <c r="P289" s="1100"/>
      <c r="Q289" s="1100"/>
      <c r="R289" s="87"/>
      <c r="S289" s="87"/>
      <c r="T289" s="483" t="s">
        <v>5</v>
      </c>
      <c r="U289" s="221" t="s">
        <v>36</v>
      </c>
      <c r="V289" s="408">
        <v>0</v>
      </c>
      <c r="W289" s="408">
        <f>V289*K319</f>
        <v>0</v>
      </c>
      <c r="X289" s="408">
        <v>0</v>
      </c>
      <c r="Y289" s="408">
        <f>X289*K319</f>
        <v>0</v>
      </c>
      <c r="Z289" s="408">
        <v>0</v>
      </c>
      <c r="AA289" s="409">
        <f>Z289*K319</f>
        <v>0</v>
      </c>
      <c r="AR289" s="240" t="s">
        <v>128</v>
      </c>
      <c r="AT289" s="240" t="s">
        <v>126</v>
      </c>
      <c r="AU289" s="240" t="s">
        <v>76</v>
      </c>
      <c r="AY289" s="240" t="s">
        <v>125</v>
      </c>
      <c r="BE289" s="250">
        <f>IF(U289="základní",N319,0)</f>
        <v>0</v>
      </c>
      <c r="BF289" s="250">
        <f>IF(U289="snížená",N319,0)</f>
        <v>0</v>
      </c>
      <c r="BG289" s="250">
        <f>IF(U289="zákl. přenesená",N319,0)</f>
        <v>0</v>
      </c>
      <c r="BH289" s="250">
        <f>IF(U289="sníž. přenesená",N319,0)</f>
        <v>0</v>
      </c>
      <c r="BI289" s="250">
        <f>IF(U289="nulová",N319,0)</f>
        <v>0</v>
      </c>
      <c r="BJ289" s="240" t="s">
        <v>80</v>
      </c>
      <c r="BK289" s="250">
        <f>ROUND(L319*K319,2)</f>
        <v>0</v>
      </c>
      <c r="BL289" s="240" t="s">
        <v>128</v>
      </c>
      <c r="BM289" s="240" t="s">
        <v>158</v>
      </c>
    </row>
    <row r="290" spans="1:47" s="249" customFormat="1" ht="30.75" customHeight="1">
      <c r="A290" s="87"/>
      <c r="B290" s="87"/>
      <c r="C290" s="641"/>
      <c r="D290" s="641"/>
      <c r="E290" s="762"/>
      <c r="F290" s="1101"/>
      <c r="G290" s="1085"/>
      <c r="H290" s="1085"/>
      <c r="I290" s="1085"/>
      <c r="J290" s="763"/>
      <c r="K290" s="736"/>
      <c r="L290" s="1100"/>
      <c r="M290" s="1100"/>
      <c r="N290" s="1100"/>
      <c r="O290" s="1100"/>
      <c r="P290" s="1100"/>
      <c r="Q290" s="1100"/>
      <c r="R290" s="87"/>
      <c r="S290" s="87"/>
      <c r="T290" s="87"/>
      <c r="U290" s="87"/>
      <c r="V290" s="87"/>
      <c r="W290" s="87"/>
      <c r="X290" s="87"/>
      <c r="Y290" s="87"/>
      <c r="Z290" s="87"/>
      <c r="AA290" s="275"/>
      <c r="AT290" s="240" t="s">
        <v>182</v>
      </c>
      <c r="AU290" s="240" t="s">
        <v>76</v>
      </c>
    </row>
    <row r="291" spans="1:65" s="249" customFormat="1" ht="31.5" customHeight="1">
      <c r="A291" s="87"/>
      <c r="B291" s="87"/>
      <c r="C291" s="641"/>
      <c r="D291" s="641"/>
      <c r="E291" s="762"/>
      <c r="F291" s="1101"/>
      <c r="G291" s="1085"/>
      <c r="H291" s="1085"/>
      <c r="I291" s="1085"/>
      <c r="J291" s="763"/>
      <c r="K291" s="736"/>
      <c r="L291" s="1100"/>
      <c r="M291" s="1100"/>
      <c r="N291" s="1100"/>
      <c r="O291" s="1100"/>
      <c r="P291" s="1100"/>
      <c r="Q291" s="1100"/>
      <c r="R291" s="87"/>
      <c r="S291" s="87"/>
      <c r="T291" s="483" t="s">
        <v>5</v>
      </c>
      <c r="U291" s="221" t="s">
        <v>36</v>
      </c>
      <c r="V291" s="408">
        <v>0</v>
      </c>
      <c r="W291" s="408">
        <f>V291*K321</f>
        <v>0</v>
      </c>
      <c r="X291" s="408">
        <v>0</v>
      </c>
      <c r="Y291" s="408">
        <f>X291*K321</f>
        <v>0</v>
      </c>
      <c r="Z291" s="408">
        <v>0</v>
      </c>
      <c r="AA291" s="409">
        <f>Z291*K321</f>
        <v>0</v>
      </c>
      <c r="AR291" s="240" t="s">
        <v>128</v>
      </c>
      <c r="AT291" s="240" t="s">
        <v>126</v>
      </c>
      <c r="AU291" s="240" t="s">
        <v>76</v>
      </c>
      <c r="AY291" s="240" t="s">
        <v>125</v>
      </c>
      <c r="BE291" s="250">
        <f>IF(U291="základní",N321,0)</f>
        <v>0</v>
      </c>
      <c r="BF291" s="250">
        <f>IF(U291="snížená",N321,0)</f>
        <v>0</v>
      </c>
      <c r="BG291" s="250">
        <f>IF(U291="zákl. přenesená",N321,0)</f>
        <v>0</v>
      </c>
      <c r="BH291" s="250">
        <f>IF(U291="sníž. přenesená",N321,0)</f>
        <v>0</v>
      </c>
      <c r="BI291" s="250">
        <f>IF(U291="nulová",N321,0)</f>
        <v>0</v>
      </c>
      <c r="BJ291" s="240" t="s">
        <v>80</v>
      </c>
      <c r="BK291" s="250">
        <f>ROUND(L321*K321,2)</f>
        <v>0</v>
      </c>
      <c r="BL291" s="240" t="s">
        <v>128</v>
      </c>
      <c r="BM291" s="240" t="s">
        <v>159</v>
      </c>
    </row>
    <row r="292" spans="1:47" s="249" customFormat="1" ht="30" customHeight="1">
      <c r="A292" s="87"/>
      <c r="B292" s="87"/>
      <c r="C292" s="641"/>
      <c r="D292" s="641"/>
      <c r="E292" s="762"/>
      <c r="F292" s="1085"/>
      <c r="G292" s="1085"/>
      <c r="H292" s="1085"/>
      <c r="I292" s="1085"/>
      <c r="J292" s="735"/>
      <c r="K292" s="736"/>
      <c r="L292" s="1100"/>
      <c r="M292" s="1100"/>
      <c r="N292" s="1100"/>
      <c r="O292" s="1100"/>
      <c r="P292" s="1100"/>
      <c r="Q292" s="1100"/>
      <c r="R292" s="87"/>
      <c r="S292" s="87"/>
      <c r="T292" s="87"/>
      <c r="U292" s="87"/>
      <c r="V292" s="87"/>
      <c r="W292" s="87"/>
      <c r="X292" s="87"/>
      <c r="Y292" s="87"/>
      <c r="Z292" s="87"/>
      <c r="AA292" s="275"/>
      <c r="AT292" s="240" t="s">
        <v>182</v>
      </c>
      <c r="AU292" s="240" t="s">
        <v>76</v>
      </c>
    </row>
    <row r="293" spans="1:63" s="398" customFormat="1" ht="37.35" customHeight="1">
      <c r="A293" s="181"/>
      <c r="B293" s="181"/>
      <c r="C293" s="87"/>
      <c r="D293" s="87"/>
      <c r="E293" s="87"/>
      <c r="F293" s="986"/>
      <c r="G293" s="1091"/>
      <c r="H293" s="1091"/>
      <c r="I293" s="1091"/>
      <c r="J293" s="87"/>
      <c r="K293" s="87"/>
      <c r="L293" s="87"/>
      <c r="M293" s="87"/>
      <c r="N293" s="87"/>
      <c r="O293" s="87"/>
      <c r="P293" s="87"/>
      <c r="Q293" s="87"/>
      <c r="R293" s="181"/>
      <c r="S293" s="181"/>
      <c r="T293" s="181"/>
      <c r="U293" s="181"/>
      <c r="V293" s="181"/>
      <c r="W293" s="402">
        <f>SUM(W294:W301)</f>
        <v>0</v>
      </c>
      <c r="X293" s="181"/>
      <c r="Y293" s="402">
        <f>SUM(Y294:Y301)</f>
        <v>0</v>
      </c>
      <c r="Z293" s="181"/>
      <c r="AA293" s="403">
        <f>SUM(AA294:AA301)</f>
        <v>0</v>
      </c>
      <c r="AC293" s="249"/>
      <c r="AR293" s="404" t="s">
        <v>76</v>
      </c>
      <c r="AT293" s="405" t="s">
        <v>68</v>
      </c>
      <c r="AU293" s="405" t="s">
        <v>69</v>
      </c>
      <c r="AY293" s="404" t="s">
        <v>125</v>
      </c>
      <c r="BK293" s="406">
        <f>SUM(BK294:BK301)</f>
        <v>0</v>
      </c>
    </row>
    <row r="294" spans="1:65" s="249" customFormat="1" ht="31.5" customHeight="1">
      <c r="A294" s="87"/>
      <c r="B294" s="87"/>
      <c r="C294" s="641"/>
      <c r="D294" s="641"/>
      <c r="E294" s="762"/>
      <c r="F294" s="1085"/>
      <c r="G294" s="1085"/>
      <c r="H294" s="1085"/>
      <c r="I294" s="1085"/>
      <c r="J294" s="735"/>
      <c r="K294" s="736"/>
      <c r="L294" s="1100"/>
      <c r="M294" s="1100"/>
      <c r="N294" s="1100"/>
      <c r="O294" s="1100"/>
      <c r="P294" s="1100"/>
      <c r="Q294" s="1100"/>
      <c r="R294" s="87"/>
      <c r="S294" s="87"/>
      <c r="T294" s="483" t="s">
        <v>5</v>
      </c>
      <c r="U294" s="221" t="s">
        <v>36</v>
      </c>
      <c r="V294" s="408">
        <v>0</v>
      </c>
      <c r="W294" s="408">
        <f>V294*K324</f>
        <v>0</v>
      </c>
      <c r="X294" s="408">
        <v>0</v>
      </c>
      <c r="Y294" s="408">
        <f>X294*K324</f>
        <v>0</v>
      </c>
      <c r="Z294" s="408">
        <v>0</v>
      </c>
      <c r="AA294" s="409">
        <f>Z294*K324</f>
        <v>0</v>
      </c>
      <c r="AR294" s="240" t="s">
        <v>128</v>
      </c>
      <c r="AT294" s="240" t="s">
        <v>126</v>
      </c>
      <c r="AU294" s="240" t="s">
        <v>76</v>
      </c>
      <c r="AY294" s="240" t="s">
        <v>125</v>
      </c>
      <c r="BE294" s="250">
        <f>IF(U294="základní",N324,0)</f>
        <v>0</v>
      </c>
      <c r="BF294" s="250">
        <f>IF(U294="snížená",N324,0)</f>
        <v>0</v>
      </c>
      <c r="BG294" s="250">
        <f>IF(U294="zákl. přenesená",N324,0)</f>
        <v>0</v>
      </c>
      <c r="BH294" s="250">
        <f>IF(U294="sníž. přenesená",N324,0)</f>
        <v>0</v>
      </c>
      <c r="BI294" s="250">
        <f>IF(U294="nulová",N324,0)</f>
        <v>0</v>
      </c>
      <c r="BJ294" s="240" t="s">
        <v>80</v>
      </c>
      <c r="BK294" s="250">
        <f>ROUND(L324*K324,2)</f>
        <v>0</v>
      </c>
      <c r="BL294" s="240" t="s">
        <v>128</v>
      </c>
      <c r="BM294" s="240" t="s">
        <v>160</v>
      </c>
    </row>
    <row r="295" spans="1:47" s="249" customFormat="1" ht="30" customHeight="1">
      <c r="A295" s="87"/>
      <c r="B295" s="87"/>
      <c r="C295" s="87"/>
      <c r="D295" s="87"/>
      <c r="E295" s="87"/>
      <c r="F295" s="986"/>
      <c r="G295" s="1091"/>
      <c r="H295" s="1091"/>
      <c r="I295" s="1091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275"/>
      <c r="AT295" s="240" t="s">
        <v>182</v>
      </c>
      <c r="AU295" s="240" t="s">
        <v>76</v>
      </c>
    </row>
    <row r="296" spans="1:65" s="249" customFormat="1" ht="31.5" customHeight="1">
      <c r="A296" s="87"/>
      <c r="B296" s="87"/>
      <c r="C296" s="641"/>
      <c r="D296" s="641"/>
      <c r="E296" s="762"/>
      <c r="F296" s="889"/>
      <c r="G296" s="1085"/>
      <c r="H296" s="1085"/>
      <c r="I296" s="1085"/>
      <c r="J296" s="735"/>
      <c r="K296" s="736"/>
      <c r="L296" s="1100"/>
      <c r="M296" s="1100"/>
      <c r="N296" s="1100"/>
      <c r="O296" s="1100"/>
      <c r="P296" s="1100"/>
      <c r="Q296" s="1100"/>
      <c r="R296" s="87"/>
      <c r="S296" s="87"/>
      <c r="T296" s="483" t="s">
        <v>5</v>
      </c>
      <c r="U296" s="221" t="s">
        <v>36</v>
      </c>
      <c r="V296" s="408">
        <v>0</v>
      </c>
      <c r="W296" s="408">
        <f>V296*K326</f>
        <v>0</v>
      </c>
      <c r="X296" s="408">
        <v>0</v>
      </c>
      <c r="Y296" s="408">
        <f>X296*K326</f>
        <v>0</v>
      </c>
      <c r="Z296" s="408">
        <v>0</v>
      </c>
      <c r="AA296" s="409">
        <f>Z296*K326</f>
        <v>0</v>
      </c>
      <c r="AR296" s="240" t="s">
        <v>128</v>
      </c>
      <c r="AT296" s="240" t="s">
        <v>126</v>
      </c>
      <c r="AU296" s="240" t="s">
        <v>76</v>
      </c>
      <c r="AY296" s="240" t="s">
        <v>125</v>
      </c>
      <c r="BE296" s="250">
        <f>IF(U296="základní",N326,0)</f>
        <v>0</v>
      </c>
      <c r="BF296" s="250">
        <f>IF(U296="snížená",N326,0)</f>
        <v>0</v>
      </c>
      <c r="BG296" s="250">
        <f>IF(U296="zákl. přenesená",N326,0)</f>
        <v>0</v>
      </c>
      <c r="BH296" s="250">
        <f>IF(U296="sníž. přenesená",N326,0)</f>
        <v>0</v>
      </c>
      <c r="BI296" s="250">
        <f>IF(U296="nulová",N326,0)</f>
        <v>0</v>
      </c>
      <c r="BJ296" s="240" t="s">
        <v>80</v>
      </c>
      <c r="BK296" s="250">
        <f>ROUND(L326*K326,2)</f>
        <v>0</v>
      </c>
      <c r="BL296" s="240" t="s">
        <v>128</v>
      </c>
      <c r="BM296" s="240" t="s">
        <v>161</v>
      </c>
    </row>
    <row r="297" spans="1:47" s="249" customFormat="1" ht="30" customHeight="1">
      <c r="A297" s="87"/>
      <c r="B297" s="87"/>
      <c r="C297" s="87"/>
      <c r="D297" s="87"/>
      <c r="E297" s="87"/>
      <c r="F297" s="986"/>
      <c r="G297" s="1091"/>
      <c r="H297" s="1091"/>
      <c r="I297" s="1091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275"/>
      <c r="AT297" s="240" t="s">
        <v>182</v>
      </c>
      <c r="AU297" s="240" t="s">
        <v>76</v>
      </c>
    </row>
    <row r="298" spans="1:65" s="249" customFormat="1" ht="31.5" customHeight="1">
      <c r="A298" s="87"/>
      <c r="B298" s="87"/>
      <c r="C298" s="641"/>
      <c r="D298" s="641"/>
      <c r="E298" s="762"/>
      <c r="F298" s="1085"/>
      <c r="G298" s="1085"/>
      <c r="H298" s="1085"/>
      <c r="I298" s="1085"/>
      <c r="J298" s="735"/>
      <c r="K298" s="736"/>
      <c r="L298" s="1100"/>
      <c r="M298" s="1100"/>
      <c r="N298" s="1100"/>
      <c r="O298" s="1100"/>
      <c r="P298" s="1100"/>
      <c r="Q298" s="1100"/>
      <c r="R298" s="87"/>
      <c r="S298" s="87"/>
      <c r="T298" s="483" t="s">
        <v>5</v>
      </c>
      <c r="U298" s="221" t="s">
        <v>36</v>
      </c>
      <c r="V298" s="408">
        <v>0</v>
      </c>
      <c r="W298" s="408">
        <f>V298*K328</f>
        <v>0</v>
      </c>
      <c r="X298" s="408">
        <v>0</v>
      </c>
      <c r="Y298" s="408">
        <f>X298*K328</f>
        <v>0</v>
      </c>
      <c r="Z298" s="408">
        <v>0</v>
      </c>
      <c r="AA298" s="409">
        <f>Z298*K328</f>
        <v>0</v>
      </c>
      <c r="AR298" s="240" t="s">
        <v>128</v>
      </c>
      <c r="AT298" s="240" t="s">
        <v>126</v>
      </c>
      <c r="AU298" s="240" t="s">
        <v>76</v>
      </c>
      <c r="AY298" s="240" t="s">
        <v>125</v>
      </c>
      <c r="BE298" s="250">
        <f>IF(U298="základní",N328,0)</f>
        <v>0</v>
      </c>
      <c r="BF298" s="250">
        <f>IF(U298="snížená",N328,0)</f>
        <v>0</v>
      </c>
      <c r="BG298" s="250">
        <f>IF(U298="zákl. přenesená",N328,0)</f>
        <v>0</v>
      </c>
      <c r="BH298" s="250">
        <f>IF(U298="sníž. přenesená",N328,0)</f>
        <v>0</v>
      </c>
      <c r="BI298" s="250">
        <f>IF(U298="nulová",N328,0)</f>
        <v>0</v>
      </c>
      <c r="BJ298" s="240" t="s">
        <v>80</v>
      </c>
      <c r="BK298" s="250">
        <f>ROUND(L328*K328,2)</f>
        <v>0</v>
      </c>
      <c r="BL298" s="240" t="s">
        <v>128</v>
      </c>
      <c r="BM298" s="240" t="s">
        <v>162</v>
      </c>
    </row>
    <row r="299" spans="1:47" s="249" customFormat="1" ht="30" customHeight="1">
      <c r="A299" s="87"/>
      <c r="B299" s="87"/>
      <c r="C299" s="87"/>
      <c r="D299" s="87"/>
      <c r="E299" s="87"/>
      <c r="F299" s="986"/>
      <c r="G299" s="1091"/>
      <c r="H299" s="1091"/>
      <c r="I299" s="1091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275"/>
      <c r="AT299" s="240" t="s">
        <v>182</v>
      </c>
      <c r="AU299" s="240" t="s">
        <v>76</v>
      </c>
    </row>
    <row r="300" spans="1:65" s="249" customFormat="1" ht="31.5" customHeight="1">
      <c r="A300" s="87"/>
      <c r="B300" s="87"/>
      <c r="C300" s="641"/>
      <c r="D300" s="641"/>
      <c r="E300" s="762"/>
      <c r="F300" s="1085"/>
      <c r="G300" s="1085"/>
      <c r="H300" s="1085"/>
      <c r="I300" s="1085"/>
      <c r="J300" s="735"/>
      <c r="K300" s="736"/>
      <c r="L300" s="1100"/>
      <c r="M300" s="1100"/>
      <c r="N300" s="1100"/>
      <c r="O300" s="1100"/>
      <c r="P300" s="1100"/>
      <c r="Q300" s="1100"/>
      <c r="R300" s="87"/>
      <c r="S300" s="87"/>
      <c r="T300" s="483" t="s">
        <v>5</v>
      </c>
      <c r="U300" s="221" t="s">
        <v>36</v>
      </c>
      <c r="V300" s="408">
        <v>0</v>
      </c>
      <c r="W300" s="408">
        <f>V300*K330</f>
        <v>0</v>
      </c>
      <c r="X300" s="408">
        <v>0</v>
      </c>
      <c r="Y300" s="408">
        <f>X300*K330</f>
        <v>0</v>
      </c>
      <c r="Z300" s="408">
        <v>0</v>
      </c>
      <c r="AA300" s="409">
        <f>Z300*K330</f>
        <v>0</v>
      </c>
      <c r="AR300" s="240" t="s">
        <v>128</v>
      </c>
      <c r="AT300" s="240" t="s">
        <v>126</v>
      </c>
      <c r="AU300" s="240" t="s">
        <v>76</v>
      </c>
      <c r="AY300" s="240" t="s">
        <v>125</v>
      </c>
      <c r="BE300" s="250">
        <f>IF(U300="základní",N330,0)</f>
        <v>0</v>
      </c>
      <c r="BF300" s="250">
        <f>IF(U300="snížená",N330,0)</f>
        <v>0</v>
      </c>
      <c r="BG300" s="250">
        <f>IF(U300="zákl. přenesená",N330,0)</f>
        <v>0</v>
      </c>
      <c r="BH300" s="250">
        <f>IF(U300="sníž. přenesená",N330,0)</f>
        <v>0</v>
      </c>
      <c r="BI300" s="250">
        <f>IF(U300="nulová",N330,0)</f>
        <v>0</v>
      </c>
      <c r="BJ300" s="240" t="s">
        <v>80</v>
      </c>
      <c r="BK300" s="250">
        <f>ROUND(L330*K330,2)</f>
        <v>0</v>
      </c>
      <c r="BL300" s="240" t="s">
        <v>128</v>
      </c>
      <c r="BM300" s="240" t="s">
        <v>163</v>
      </c>
    </row>
    <row r="301" spans="1:47" s="249" customFormat="1" ht="30" customHeight="1">
      <c r="A301" s="87"/>
      <c r="B301" s="87"/>
      <c r="C301" s="87"/>
      <c r="D301" s="87"/>
      <c r="E301" s="87"/>
      <c r="F301" s="986"/>
      <c r="G301" s="1091"/>
      <c r="H301" s="1091"/>
      <c r="I301" s="1091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275"/>
      <c r="AT301" s="240" t="s">
        <v>182</v>
      </c>
      <c r="AU301" s="240" t="s">
        <v>76</v>
      </c>
    </row>
    <row r="302" spans="1:63" s="398" customFormat="1" ht="37.35" customHeight="1">
      <c r="A302" s="181"/>
      <c r="B302" s="181"/>
      <c r="C302" s="641"/>
      <c r="D302" s="641"/>
      <c r="E302" s="762"/>
      <c r="F302" s="1085"/>
      <c r="G302" s="1085"/>
      <c r="H302" s="1085"/>
      <c r="I302" s="1085"/>
      <c r="J302" s="735"/>
      <c r="K302" s="736"/>
      <c r="L302" s="1100"/>
      <c r="M302" s="1100"/>
      <c r="N302" s="1100"/>
      <c r="O302" s="1100"/>
      <c r="P302" s="1100"/>
      <c r="Q302" s="1100"/>
      <c r="R302" s="181"/>
      <c r="S302" s="181"/>
      <c r="T302" s="181"/>
      <c r="U302" s="181"/>
      <c r="V302" s="181"/>
      <c r="W302" s="402">
        <f>SUM(W303:W326)</f>
        <v>0</v>
      </c>
      <c r="X302" s="181"/>
      <c r="Y302" s="402">
        <f>SUM(Y303:Y326)</f>
        <v>0</v>
      </c>
      <c r="Z302" s="181"/>
      <c r="AA302" s="403">
        <f>SUM(AA303:AA326)</f>
        <v>0</v>
      </c>
      <c r="AC302" s="249"/>
      <c r="AR302" s="404" t="s">
        <v>76</v>
      </c>
      <c r="AT302" s="405" t="s">
        <v>68</v>
      </c>
      <c r="AU302" s="405" t="s">
        <v>69</v>
      </c>
      <c r="AY302" s="404" t="s">
        <v>125</v>
      </c>
      <c r="BK302" s="406">
        <f>SUM(BK303:BK326)</f>
        <v>0</v>
      </c>
    </row>
    <row r="303" spans="1:65" s="249" customFormat="1" ht="31.5" customHeight="1">
      <c r="A303" s="87"/>
      <c r="B303" s="87"/>
      <c r="C303" s="87"/>
      <c r="D303" s="87"/>
      <c r="E303" s="87"/>
      <c r="F303" s="986"/>
      <c r="G303" s="1091"/>
      <c r="H303" s="1091"/>
      <c r="I303" s="1091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483" t="s">
        <v>5</v>
      </c>
      <c r="U303" s="221" t="s">
        <v>36</v>
      </c>
      <c r="V303" s="408">
        <v>0</v>
      </c>
      <c r="W303" s="408">
        <f>V303*K333</f>
        <v>0</v>
      </c>
      <c r="X303" s="408">
        <v>0</v>
      </c>
      <c r="Y303" s="408">
        <f>X303*K333</f>
        <v>0</v>
      </c>
      <c r="Z303" s="408">
        <v>0</v>
      </c>
      <c r="AA303" s="409">
        <f>Z303*K333</f>
        <v>0</v>
      </c>
      <c r="AR303" s="240" t="s">
        <v>128</v>
      </c>
      <c r="AT303" s="240" t="s">
        <v>126</v>
      </c>
      <c r="AU303" s="240" t="s">
        <v>76</v>
      </c>
      <c r="AY303" s="240" t="s">
        <v>125</v>
      </c>
      <c r="BE303" s="250">
        <f>IF(U303="základní",N333,0)</f>
        <v>0</v>
      </c>
      <c r="BF303" s="250">
        <f>IF(U303="snížená",N333,0)</f>
        <v>0</v>
      </c>
      <c r="BG303" s="250">
        <f>IF(U303="zákl. přenesená",N333,0)</f>
        <v>0</v>
      </c>
      <c r="BH303" s="250">
        <f>IF(U303="sníž. přenesená",N333,0)</f>
        <v>0</v>
      </c>
      <c r="BI303" s="250">
        <f>IF(U303="nulová",N333,0)</f>
        <v>0</v>
      </c>
      <c r="BJ303" s="240" t="s">
        <v>80</v>
      </c>
      <c r="BK303" s="250">
        <f>ROUND(L333*K333,2)</f>
        <v>0</v>
      </c>
      <c r="BL303" s="240" t="s">
        <v>128</v>
      </c>
      <c r="BM303" s="240" t="s">
        <v>164</v>
      </c>
    </row>
    <row r="304" spans="1:47" s="249" customFormat="1" ht="42" customHeight="1">
      <c r="A304" s="87"/>
      <c r="B304" s="87"/>
      <c r="C304" s="641"/>
      <c r="D304" s="641"/>
      <c r="E304" s="762"/>
      <c r="F304" s="1101"/>
      <c r="G304" s="1085"/>
      <c r="H304" s="1085"/>
      <c r="I304" s="1085"/>
      <c r="J304" s="735"/>
      <c r="K304" s="736"/>
      <c r="L304" s="1100"/>
      <c r="M304" s="1100"/>
      <c r="N304" s="1100"/>
      <c r="O304" s="1100"/>
      <c r="P304" s="1100"/>
      <c r="Q304" s="1100"/>
      <c r="R304" s="87"/>
      <c r="S304" s="87"/>
      <c r="T304" s="87"/>
      <c r="U304" s="87"/>
      <c r="V304" s="87"/>
      <c r="W304" s="87"/>
      <c r="X304" s="87"/>
      <c r="Y304" s="87"/>
      <c r="Z304" s="87"/>
      <c r="AA304" s="275"/>
      <c r="AT304" s="240" t="s">
        <v>182</v>
      </c>
      <c r="AU304" s="240" t="s">
        <v>76</v>
      </c>
    </row>
    <row r="305" spans="1:65" s="249" customFormat="1" ht="31.5" customHeight="1">
      <c r="A305" s="87"/>
      <c r="B305" s="87"/>
      <c r="C305" s="641"/>
      <c r="D305" s="641"/>
      <c r="E305" s="762"/>
      <c r="F305" s="1085"/>
      <c r="G305" s="1085"/>
      <c r="H305" s="1085"/>
      <c r="I305" s="1085"/>
      <c r="J305" s="735"/>
      <c r="K305" s="736"/>
      <c r="L305" s="1100"/>
      <c r="M305" s="1100"/>
      <c r="N305" s="1100"/>
      <c r="O305" s="1100"/>
      <c r="P305" s="1100"/>
      <c r="Q305" s="1100"/>
      <c r="R305" s="87"/>
      <c r="S305" s="87"/>
      <c r="T305" s="483" t="s">
        <v>5</v>
      </c>
      <c r="U305" s="221" t="s">
        <v>36</v>
      </c>
      <c r="V305" s="408">
        <v>0</v>
      </c>
      <c r="W305" s="408">
        <f>V305*K335</f>
        <v>0</v>
      </c>
      <c r="X305" s="408">
        <v>0</v>
      </c>
      <c r="Y305" s="408">
        <f>X305*K335</f>
        <v>0</v>
      </c>
      <c r="Z305" s="408">
        <v>0</v>
      </c>
      <c r="AA305" s="409">
        <f>Z305*K335</f>
        <v>0</v>
      </c>
      <c r="AR305" s="240" t="s">
        <v>128</v>
      </c>
      <c r="AT305" s="240" t="s">
        <v>126</v>
      </c>
      <c r="AU305" s="240" t="s">
        <v>76</v>
      </c>
      <c r="AY305" s="240" t="s">
        <v>125</v>
      </c>
      <c r="BE305" s="250">
        <f>IF(U305="základní",N335,0)</f>
        <v>0</v>
      </c>
      <c r="BF305" s="250">
        <f>IF(U305="snížená",N335,0)</f>
        <v>0</v>
      </c>
      <c r="BG305" s="250">
        <f>IF(U305="zákl. přenesená",N335,0)</f>
        <v>0</v>
      </c>
      <c r="BH305" s="250">
        <f>IF(U305="sníž. přenesená",N335,0)</f>
        <v>0</v>
      </c>
      <c r="BI305" s="250">
        <f>IF(U305="nulová",N335,0)</f>
        <v>0</v>
      </c>
      <c r="BJ305" s="240" t="s">
        <v>80</v>
      </c>
      <c r="BK305" s="250">
        <f>ROUND(L335*K335,2)</f>
        <v>0</v>
      </c>
      <c r="BL305" s="240" t="s">
        <v>128</v>
      </c>
      <c r="BM305" s="240" t="s">
        <v>165</v>
      </c>
    </row>
    <row r="306" spans="1:47" s="249" customFormat="1" ht="30" customHeight="1">
      <c r="A306" s="87"/>
      <c r="B306" s="87"/>
      <c r="C306" s="87"/>
      <c r="D306" s="87"/>
      <c r="E306" s="87"/>
      <c r="F306" s="986"/>
      <c r="G306" s="1091"/>
      <c r="H306" s="1091"/>
      <c r="I306" s="1091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275"/>
      <c r="AT306" s="240" t="s">
        <v>182</v>
      </c>
      <c r="AU306" s="240" t="s">
        <v>76</v>
      </c>
    </row>
    <row r="307" spans="1:65" s="249" customFormat="1" ht="31.5" customHeight="1">
      <c r="A307" s="87"/>
      <c r="B307" s="87"/>
      <c r="C307" s="641"/>
      <c r="D307" s="641"/>
      <c r="E307" s="762"/>
      <c r="F307" s="889"/>
      <c r="G307" s="1085"/>
      <c r="H307" s="1085"/>
      <c r="I307" s="1085"/>
      <c r="J307" s="735"/>
      <c r="K307" s="736"/>
      <c r="L307" s="1100"/>
      <c r="M307" s="1100"/>
      <c r="N307" s="1100"/>
      <c r="O307" s="1100"/>
      <c r="P307" s="1100"/>
      <c r="Q307" s="1100"/>
      <c r="R307" s="87"/>
      <c r="S307" s="87"/>
      <c r="T307" s="483" t="s">
        <v>5</v>
      </c>
      <c r="U307" s="221" t="s">
        <v>36</v>
      </c>
      <c r="V307" s="408">
        <v>0</v>
      </c>
      <c r="W307" s="408">
        <f>V307*K337</f>
        <v>0</v>
      </c>
      <c r="X307" s="408">
        <v>0</v>
      </c>
      <c r="Y307" s="408">
        <f>X307*K337</f>
        <v>0</v>
      </c>
      <c r="Z307" s="408">
        <v>0</v>
      </c>
      <c r="AA307" s="409">
        <f>Z307*K337</f>
        <v>0</v>
      </c>
      <c r="AR307" s="240" t="s">
        <v>128</v>
      </c>
      <c r="AT307" s="240" t="s">
        <v>126</v>
      </c>
      <c r="AU307" s="240" t="s">
        <v>76</v>
      </c>
      <c r="AY307" s="240" t="s">
        <v>125</v>
      </c>
      <c r="BE307" s="250">
        <f>IF(U307="základní",N337,0)</f>
        <v>0</v>
      </c>
      <c r="BF307" s="250">
        <f>IF(U307="snížená",N337,0)</f>
        <v>0</v>
      </c>
      <c r="BG307" s="250">
        <f>IF(U307="zákl. přenesená",N337,0)</f>
        <v>0</v>
      </c>
      <c r="BH307" s="250">
        <f>IF(U307="sníž. přenesená",N337,0)</f>
        <v>0</v>
      </c>
      <c r="BI307" s="250">
        <f>IF(U307="nulová",N337,0)</f>
        <v>0</v>
      </c>
      <c r="BJ307" s="240" t="s">
        <v>80</v>
      </c>
      <c r="BK307" s="250">
        <f>ROUND(L337*K337,2)</f>
        <v>0</v>
      </c>
      <c r="BL307" s="240" t="s">
        <v>128</v>
      </c>
      <c r="BM307" s="240" t="s">
        <v>166</v>
      </c>
    </row>
    <row r="308" spans="1:47" s="249" customFormat="1" ht="32.25" customHeight="1">
      <c r="A308" s="87"/>
      <c r="B308" s="87"/>
      <c r="C308" s="87"/>
      <c r="D308" s="87"/>
      <c r="E308" s="87"/>
      <c r="F308" s="986"/>
      <c r="G308" s="986"/>
      <c r="H308" s="986"/>
      <c r="I308" s="986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275"/>
      <c r="AT308" s="240" t="s">
        <v>182</v>
      </c>
      <c r="AU308" s="240" t="s">
        <v>76</v>
      </c>
    </row>
    <row r="309" spans="1:65" s="249" customFormat="1" ht="31.5" customHeight="1">
      <c r="A309" s="87"/>
      <c r="B309" s="87"/>
      <c r="C309" s="641"/>
      <c r="D309" s="641"/>
      <c r="E309" s="762"/>
      <c r="F309" s="1101"/>
      <c r="G309" s="1085"/>
      <c r="H309" s="1085"/>
      <c r="I309" s="1085"/>
      <c r="J309" s="735"/>
      <c r="K309" s="736"/>
      <c r="L309" s="1100"/>
      <c r="M309" s="1100"/>
      <c r="N309" s="1100"/>
      <c r="O309" s="1100"/>
      <c r="P309" s="1100"/>
      <c r="Q309" s="1100"/>
      <c r="R309" s="87"/>
      <c r="S309" s="87"/>
      <c r="T309" s="483" t="s">
        <v>5</v>
      </c>
      <c r="U309" s="221" t="s">
        <v>36</v>
      </c>
      <c r="V309" s="408">
        <v>0</v>
      </c>
      <c r="W309" s="408">
        <f>V309*K339</f>
        <v>0</v>
      </c>
      <c r="X309" s="408">
        <v>0</v>
      </c>
      <c r="Y309" s="408">
        <f>X309*K339</f>
        <v>0</v>
      </c>
      <c r="Z309" s="408">
        <v>0</v>
      </c>
      <c r="AA309" s="409">
        <f>Z309*K339</f>
        <v>0</v>
      </c>
      <c r="AR309" s="240" t="s">
        <v>128</v>
      </c>
      <c r="AT309" s="240" t="s">
        <v>126</v>
      </c>
      <c r="AU309" s="240" t="s">
        <v>76</v>
      </c>
      <c r="AY309" s="240" t="s">
        <v>125</v>
      </c>
      <c r="BE309" s="250">
        <f>IF(U309="základní",N339,0)</f>
        <v>0</v>
      </c>
      <c r="BF309" s="250">
        <f>IF(U309="snížená",N339,0)</f>
        <v>0</v>
      </c>
      <c r="BG309" s="250">
        <f>IF(U309="zákl. přenesená",N339,0)</f>
        <v>0</v>
      </c>
      <c r="BH309" s="250">
        <f>IF(U309="sníž. přenesená",N339,0)</f>
        <v>0</v>
      </c>
      <c r="BI309" s="250">
        <f>IF(U309="nulová",N339,0)</f>
        <v>0</v>
      </c>
      <c r="BJ309" s="240" t="s">
        <v>80</v>
      </c>
      <c r="BK309" s="250">
        <f>ROUND(L339*K339,2)</f>
        <v>0</v>
      </c>
      <c r="BL309" s="240" t="s">
        <v>128</v>
      </c>
      <c r="BM309" s="240" t="s">
        <v>167</v>
      </c>
    </row>
    <row r="310" spans="1:47" s="249" customFormat="1" ht="42" customHeight="1">
      <c r="A310" s="87"/>
      <c r="B310" s="87"/>
      <c r="C310" s="641"/>
      <c r="D310" s="641"/>
      <c r="E310" s="762"/>
      <c r="F310" s="1101"/>
      <c r="G310" s="1085"/>
      <c r="H310" s="1085"/>
      <c r="I310" s="1085"/>
      <c r="J310" s="735"/>
      <c r="K310" s="736"/>
      <c r="L310" s="1100"/>
      <c r="M310" s="1100"/>
      <c r="N310" s="1100"/>
      <c r="O310" s="1100"/>
      <c r="P310" s="1100"/>
      <c r="Q310" s="1100"/>
      <c r="R310" s="87"/>
      <c r="S310" s="87"/>
      <c r="T310" s="87"/>
      <c r="U310" s="87"/>
      <c r="V310" s="87"/>
      <c r="W310" s="87"/>
      <c r="X310" s="87"/>
      <c r="Y310" s="87"/>
      <c r="Z310" s="87"/>
      <c r="AA310" s="275"/>
      <c r="AT310" s="240" t="s">
        <v>182</v>
      </c>
      <c r="AU310" s="240" t="s">
        <v>76</v>
      </c>
    </row>
    <row r="311" spans="1:65" s="249" customFormat="1" ht="31.5" customHeight="1">
      <c r="A311" s="87"/>
      <c r="B311" s="87"/>
      <c r="C311" s="641"/>
      <c r="D311" s="641"/>
      <c r="E311" s="762"/>
      <c r="F311" s="1085"/>
      <c r="G311" s="1085"/>
      <c r="H311" s="1085"/>
      <c r="I311" s="1085"/>
      <c r="J311" s="735"/>
      <c r="K311" s="736"/>
      <c r="L311" s="1100"/>
      <c r="M311" s="1100"/>
      <c r="N311" s="1100"/>
      <c r="O311" s="1100"/>
      <c r="P311" s="1100"/>
      <c r="Q311" s="1100"/>
      <c r="R311" s="87"/>
      <c r="S311" s="87"/>
      <c r="T311" s="483" t="s">
        <v>5</v>
      </c>
      <c r="U311" s="221" t="s">
        <v>36</v>
      </c>
      <c r="V311" s="408">
        <v>0</v>
      </c>
      <c r="W311" s="408">
        <f>V311*K341</f>
        <v>0</v>
      </c>
      <c r="X311" s="408">
        <v>0</v>
      </c>
      <c r="Y311" s="408">
        <f>X311*K341</f>
        <v>0</v>
      </c>
      <c r="Z311" s="408">
        <v>0</v>
      </c>
      <c r="AA311" s="409">
        <f>Z311*K341</f>
        <v>0</v>
      </c>
      <c r="AR311" s="240" t="s">
        <v>128</v>
      </c>
      <c r="AT311" s="240" t="s">
        <v>126</v>
      </c>
      <c r="AU311" s="240" t="s">
        <v>76</v>
      </c>
      <c r="AY311" s="240" t="s">
        <v>125</v>
      </c>
      <c r="BE311" s="250">
        <f>IF(U311="základní",N341,0)</f>
        <v>0</v>
      </c>
      <c r="BF311" s="250">
        <f>IF(U311="snížená",N341,0)</f>
        <v>0</v>
      </c>
      <c r="BG311" s="250">
        <f>IF(U311="zákl. přenesená",N341,0)</f>
        <v>0</v>
      </c>
      <c r="BH311" s="250">
        <f>IF(U311="sníž. přenesená",N341,0)</f>
        <v>0</v>
      </c>
      <c r="BI311" s="250">
        <f>IF(U311="nulová",N341,0)</f>
        <v>0</v>
      </c>
      <c r="BJ311" s="240" t="s">
        <v>80</v>
      </c>
      <c r="BK311" s="250">
        <f>ROUND(L341*K341,2)</f>
        <v>0</v>
      </c>
      <c r="BL311" s="240" t="s">
        <v>128</v>
      </c>
      <c r="BM311" s="240" t="s">
        <v>168</v>
      </c>
    </row>
    <row r="312" spans="1:47" s="249" customFormat="1" ht="42" customHeight="1">
      <c r="A312" s="87"/>
      <c r="B312" s="87"/>
      <c r="C312" s="87"/>
      <c r="D312" s="87"/>
      <c r="E312" s="87"/>
      <c r="F312" s="986"/>
      <c r="G312" s="1091"/>
      <c r="H312" s="1091"/>
      <c r="I312" s="1091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275"/>
      <c r="AT312" s="240" t="s">
        <v>182</v>
      </c>
      <c r="AU312" s="240" t="s">
        <v>76</v>
      </c>
    </row>
    <row r="313" spans="1:65" s="249" customFormat="1" ht="31.5" customHeight="1">
      <c r="A313" s="87"/>
      <c r="B313" s="87"/>
      <c r="C313" s="641"/>
      <c r="D313" s="641"/>
      <c r="E313" s="762"/>
      <c r="F313" s="889"/>
      <c r="G313" s="1085"/>
      <c r="H313" s="1085"/>
      <c r="I313" s="1085"/>
      <c r="J313" s="735"/>
      <c r="K313" s="736"/>
      <c r="L313" s="1100"/>
      <c r="M313" s="1100"/>
      <c r="N313" s="1100"/>
      <c r="O313" s="1100"/>
      <c r="P313" s="1100"/>
      <c r="Q313" s="1100"/>
      <c r="R313" s="87"/>
      <c r="S313" s="87"/>
      <c r="T313" s="483" t="s">
        <v>5</v>
      </c>
      <c r="U313" s="221" t="s">
        <v>36</v>
      </c>
      <c r="V313" s="408">
        <v>0</v>
      </c>
      <c r="W313" s="408">
        <f>V313*K343</f>
        <v>0</v>
      </c>
      <c r="X313" s="408">
        <v>0</v>
      </c>
      <c r="Y313" s="408">
        <f>X313*K343</f>
        <v>0</v>
      </c>
      <c r="Z313" s="408">
        <v>0</v>
      </c>
      <c r="AA313" s="409">
        <f>Z313*K343</f>
        <v>0</v>
      </c>
      <c r="AR313" s="240" t="s">
        <v>128</v>
      </c>
      <c r="AT313" s="240" t="s">
        <v>126</v>
      </c>
      <c r="AU313" s="240" t="s">
        <v>76</v>
      </c>
      <c r="AY313" s="240" t="s">
        <v>125</v>
      </c>
      <c r="BE313" s="250">
        <f>IF(U313="základní",N343,0)</f>
        <v>0</v>
      </c>
      <c r="BF313" s="250">
        <f>IF(U313="snížená",N343,0)</f>
        <v>0</v>
      </c>
      <c r="BG313" s="250">
        <f>IF(U313="zákl. přenesená",N343,0)</f>
        <v>0</v>
      </c>
      <c r="BH313" s="250">
        <f>IF(U313="sníž. přenesená",N343,0)</f>
        <v>0</v>
      </c>
      <c r="BI313" s="250">
        <f>IF(U313="nulová",N343,0)</f>
        <v>0</v>
      </c>
      <c r="BJ313" s="240" t="s">
        <v>80</v>
      </c>
      <c r="BK313" s="250">
        <f>ROUND(L343*K343,2)</f>
        <v>0</v>
      </c>
      <c r="BL313" s="240" t="s">
        <v>128</v>
      </c>
      <c r="BM313" s="240" t="s">
        <v>169</v>
      </c>
    </row>
    <row r="314" spans="1:47" s="249" customFormat="1" ht="42" customHeight="1">
      <c r="A314" s="87"/>
      <c r="B314" s="87"/>
      <c r="C314" s="87"/>
      <c r="D314" s="87"/>
      <c r="E314" s="87"/>
      <c r="F314" s="986"/>
      <c r="G314" s="1091"/>
      <c r="H314" s="1091"/>
      <c r="I314" s="1091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275"/>
      <c r="AT314" s="240" t="s">
        <v>182</v>
      </c>
      <c r="AU314" s="240" t="s">
        <v>76</v>
      </c>
    </row>
    <row r="315" spans="1:65" s="249" customFormat="1" ht="31.5" customHeight="1">
      <c r="A315" s="87"/>
      <c r="B315" s="87"/>
      <c r="C315" s="641"/>
      <c r="D315" s="641"/>
      <c r="E315" s="762"/>
      <c r="F315" s="1085"/>
      <c r="G315" s="1085"/>
      <c r="H315" s="1085"/>
      <c r="I315" s="1085"/>
      <c r="J315" s="735"/>
      <c r="K315" s="736"/>
      <c r="L315" s="1100"/>
      <c r="M315" s="1100"/>
      <c r="N315" s="1100"/>
      <c r="O315" s="1100"/>
      <c r="P315" s="1100"/>
      <c r="Q315" s="1100"/>
      <c r="R315" s="87"/>
      <c r="S315" s="87"/>
      <c r="T315" s="483" t="s">
        <v>5</v>
      </c>
      <c r="U315" s="221" t="s">
        <v>36</v>
      </c>
      <c r="V315" s="408">
        <v>0</v>
      </c>
      <c r="W315" s="408">
        <f>V315*K345</f>
        <v>0</v>
      </c>
      <c r="X315" s="408">
        <v>0</v>
      </c>
      <c r="Y315" s="408">
        <f>X315*K345</f>
        <v>0</v>
      </c>
      <c r="Z315" s="408">
        <v>0</v>
      </c>
      <c r="AA315" s="409">
        <f>Z315*K345</f>
        <v>0</v>
      </c>
      <c r="AR315" s="240" t="s">
        <v>128</v>
      </c>
      <c r="AT315" s="240" t="s">
        <v>126</v>
      </c>
      <c r="AU315" s="240" t="s">
        <v>76</v>
      </c>
      <c r="AY315" s="240" t="s">
        <v>125</v>
      </c>
      <c r="BE315" s="250">
        <f>IF(U315="základní",N345,0)</f>
        <v>0</v>
      </c>
      <c r="BF315" s="250">
        <f>IF(U315="snížená",N345,0)</f>
        <v>0</v>
      </c>
      <c r="BG315" s="250">
        <f>IF(U315="zákl. přenesená",N345,0)</f>
        <v>0</v>
      </c>
      <c r="BH315" s="250">
        <f>IF(U315="sníž. přenesená",N345,0)</f>
        <v>0</v>
      </c>
      <c r="BI315" s="250">
        <f>IF(U315="nulová",N345,0)</f>
        <v>0</v>
      </c>
      <c r="BJ315" s="240" t="s">
        <v>80</v>
      </c>
      <c r="BK315" s="250">
        <f>ROUND(L345*K345,2)</f>
        <v>0</v>
      </c>
      <c r="BL315" s="240" t="s">
        <v>128</v>
      </c>
      <c r="BM315" s="240" t="s">
        <v>170</v>
      </c>
    </row>
    <row r="316" spans="1:47" s="249" customFormat="1" ht="42" customHeight="1">
      <c r="A316" s="87"/>
      <c r="B316" s="87"/>
      <c r="C316" s="87"/>
      <c r="D316" s="87"/>
      <c r="E316" s="87"/>
      <c r="F316" s="986"/>
      <c r="G316" s="1091"/>
      <c r="H316" s="1091"/>
      <c r="I316" s="1091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275"/>
      <c r="AT316" s="240" t="s">
        <v>182</v>
      </c>
      <c r="AU316" s="240" t="s">
        <v>76</v>
      </c>
    </row>
    <row r="317" spans="1:65" s="249" customFormat="1" ht="31.5" customHeight="1">
      <c r="A317" s="87"/>
      <c r="B317" s="87"/>
      <c r="C317" s="641"/>
      <c r="D317" s="641"/>
      <c r="E317" s="762"/>
      <c r="F317" s="1085"/>
      <c r="G317" s="1085"/>
      <c r="H317" s="1085"/>
      <c r="I317" s="1085"/>
      <c r="J317" s="735"/>
      <c r="K317" s="736"/>
      <c r="L317" s="1100"/>
      <c r="M317" s="1100"/>
      <c r="N317" s="1100"/>
      <c r="O317" s="1100"/>
      <c r="P317" s="1100"/>
      <c r="Q317" s="1100"/>
      <c r="R317" s="87"/>
      <c r="S317" s="87"/>
      <c r="T317" s="483" t="s">
        <v>5</v>
      </c>
      <c r="U317" s="221" t="s">
        <v>36</v>
      </c>
      <c r="V317" s="408">
        <v>0</v>
      </c>
      <c r="W317" s="408">
        <f>V317*K347</f>
        <v>0</v>
      </c>
      <c r="X317" s="408">
        <v>0</v>
      </c>
      <c r="Y317" s="408">
        <f>X317*K347</f>
        <v>0</v>
      </c>
      <c r="Z317" s="408">
        <v>0</v>
      </c>
      <c r="AA317" s="409">
        <f>Z317*K347</f>
        <v>0</v>
      </c>
      <c r="AR317" s="240" t="s">
        <v>128</v>
      </c>
      <c r="AT317" s="240" t="s">
        <v>126</v>
      </c>
      <c r="AU317" s="240" t="s">
        <v>76</v>
      </c>
      <c r="AY317" s="240" t="s">
        <v>125</v>
      </c>
      <c r="BE317" s="250">
        <f>IF(U317="základní",N347,0)</f>
        <v>0</v>
      </c>
      <c r="BF317" s="250">
        <f>IF(U317="snížená",N347,0)</f>
        <v>0</v>
      </c>
      <c r="BG317" s="250">
        <f>IF(U317="zákl. přenesená",N347,0)</f>
        <v>0</v>
      </c>
      <c r="BH317" s="250">
        <f>IF(U317="sníž. přenesená",N347,0)</f>
        <v>0</v>
      </c>
      <c r="BI317" s="250">
        <f>IF(U317="nulová",N347,0)</f>
        <v>0</v>
      </c>
      <c r="BJ317" s="240" t="s">
        <v>80</v>
      </c>
      <c r="BK317" s="250">
        <f>ROUND(L347*K347,2)</f>
        <v>0</v>
      </c>
      <c r="BL317" s="240" t="s">
        <v>128</v>
      </c>
      <c r="BM317" s="240" t="s">
        <v>171</v>
      </c>
    </row>
    <row r="318" spans="1:47" s="249" customFormat="1" ht="42" customHeight="1">
      <c r="A318" s="87"/>
      <c r="B318" s="87"/>
      <c r="C318" s="87"/>
      <c r="D318" s="87"/>
      <c r="E318" s="87"/>
      <c r="F318" s="986"/>
      <c r="G318" s="1091"/>
      <c r="H318" s="1091"/>
      <c r="I318" s="1091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275"/>
      <c r="AT318" s="240" t="s">
        <v>182</v>
      </c>
      <c r="AU318" s="240" t="s">
        <v>76</v>
      </c>
    </row>
    <row r="319" spans="1:65" s="249" customFormat="1" ht="22.5" customHeight="1">
      <c r="A319" s="87"/>
      <c r="B319" s="87"/>
      <c r="C319" s="641"/>
      <c r="D319" s="641"/>
      <c r="E319" s="762"/>
      <c r="F319" s="1085"/>
      <c r="G319" s="1085"/>
      <c r="H319" s="1085"/>
      <c r="I319" s="1085"/>
      <c r="J319" s="735"/>
      <c r="K319" s="736"/>
      <c r="L319" s="1100"/>
      <c r="M319" s="1100"/>
      <c r="N319" s="1100"/>
      <c r="O319" s="1100"/>
      <c r="P319" s="1100"/>
      <c r="Q319" s="1100"/>
      <c r="R319" s="87"/>
      <c r="S319" s="87"/>
      <c r="T319" s="483" t="s">
        <v>5</v>
      </c>
      <c r="U319" s="221" t="s">
        <v>36</v>
      </c>
      <c r="V319" s="408">
        <v>0</v>
      </c>
      <c r="W319" s="408">
        <f>V319*K349</f>
        <v>0</v>
      </c>
      <c r="X319" s="408">
        <v>0</v>
      </c>
      <c r="Y319" s="408">
        <f>X319*K349</f>
        <v>0</v>
      </c>
      <c r="Z319" s="408">
        <v>0</v>
      </c>
      <c r="AA319" s="409">
        <f>Z319*K349</f>
        <v>0</v>
      </c>
      <c r="AR319" s="240" t="s">
        <v>128</v>
      </c>
      <c r="AT319" s="240" t="s">
        <v>126</v>
      </c>
      <c r="AU319" s="240" t="s">
        <v>76</v>
      </c>
      <c r="AY319" s="240" t="s">
        <v>125</v>
      </c>
      <c r="BE319" s="250">
        <f>IF(U319="základní",N349,0)</f>
        <v>0</v>
      </c>
      <c r="BF319" s="250">
        <f>IF(U319="snížená",N349,0)</f>
        <v>0</v>
      </c>
      <c r="BG319" s="250">
        <f>IF(U319="zákl. přenesená",N349,0)</f>
        <v>0</v>
      </c>
      <c r="BH319" s="250">
        <f>IF(U319="sníž. přenesená",N349,0)</f>
        <v>0</v>
      </c>
      <c r="BI319" s="250">
        <f>IF(U319="nulová",N349,0)</f>
        <v>0</v>
      </c>
      <c r="BJ319" s="240" t="s">
        <v>80</v>
      </c>
      <c r="BK319" s="250">
        <f>ROUND(L349*K349,2)</f>
        <v>0</v>
      </c>
      <c r="BL319" s="240" t="s">
        <v>128</v>
      </c>
      <c r="BM319" s="240" t="s">
        <v>172</v>
      </c>
    </row>
    <row r="320" spans="1:47" s="249" customFormat="1" ht="42" customHeight="1">
      <c r="A320" s="87"/>
      <c r="B320" s="87"/>
      <c r="C320" s="87"/>
      <c r="D320" s="87"/>
      <c r="E320" s="87"/>
      <c r="F320" s="986"/>
      <c r="G320" s="1091"/>
      <c r="H320" s="1091"/>
      <c r="I320" s="1091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275"/>
      <c r="AT320" s="240" t="s">
        <v>182</v>
      </c>
      <c r="AU320" s="240" t="s">
        <v>76</v>
      </c>
    </row>
    <row r="321" spans="1:65" s="249" customFormat="1" ht="22.5" customHeight="1">
      <c r="A321" s="87"/>
      <c r="B321" s="87"/>
      <c r="C321" s="641"/>
      <c r="D321" s="641"/>
      <c r="E321" s="762"/>
      <c r="F321" s="1085"/>
      <c r="G321" s="1085"/>
      <c r="H321" s="1085"/>
      <c r="I321" s="1085"/>
      <c r="J321" s="735"/>
      <c r="K321" s="736"/>
      <c r="L321" s="1100"/>
      <c r="M321" s="1100"/>
      <c r="N321" s="1100"/>
      <c r="O321" s="1100"/>
      <c r="P321" s="1100"/>
      <c r="Q321" s="1100"/>
      <c r="R321" s="87"/>
      <c r="S321" s="87"/>
      <c r="T321" s="483" t="s">
        <v>5</v>
      </c>
      <c r="U321" s="221" t="s">
        <v>36</v>
      </c>
      <c r="V321" s="408">
        <v>0</v>
      </c>
      <c r="W321" s="408">
        <f>V321*K351</f>
        <v>0</v>
      </c>
      <c r="X321" s="408">
        <v>0</v>
      </c>
      <c r="Y321" s="408">
        <f>X321*K351</f>
        <v>0</v>
      </c>
      <c r="Z321" s="408">
        <v>0</v>
      </c>
      <c r="AA321" s="409">
        <f>Z321*K351</f>
        <v>0</v>
      </c>
      <c r="AR321" s="240" t="s">
        <v>128</v>
      </c>
      <c r="AT321" s="240" t="s">
        <v>126</v>
      </c>
      <c r="AU321" s="240" t="s">
        <v>76</v>
      </c>
      <c r="AY321" s="240" t="s">
        <v>125</v>
      </c>
      <c r="BE321" s="250">
        <f>IF(U321="základní",N351,0)</f>
        <v>0</v>
      </c>
      <c r="BF321" s="250">
        <f>IF(U321="snížená",N351,0)</f>
        <v>0</v>
      </c>
      <c r="BG321" s="250">
        <f>IF(U321="zákl. přenesená",N351,0)</f>
        <v>0</v>
      </c>
      <c r="BH321" s="250">
        <f>IF(U321="sníž. přenesená",N351,0)</f>
        <v>0</v>
      </c>
      <c r="BI321" s="250">
        <f>IF(U321="nulová",N351,0)</f>
        <v>0</v>
      </c>
      <c r="BJ321" s="240" t="s">
        <v>80</v>
      </c>
      <c r="BK321" s="250">
        <f>ROUND(L351*K351,2)</f>
        <v>0</v>
      </c>
      <c r="BL321" s="240" t="s">
        <v>128</v>
      </c>
      <c r="BM321" s="240" t="s">
        <v>173</v>
      </c>
    </row>
    <row r="322" spans="1:47" s="249" customFormat="1" ht="42" customHeight="1">
      <c r="A322" s="87"/>
      <c r="B322" s="87"/>
      <c r="C322" s="87"/>
      <c r="D322" s="87"/>
      <c r="E322" s="87"/>
      <c r="F322" s="986"/>
      <c r="G322" s="1091"/>
      <c r="H322" s="1091"/>
      <c r="I322" s="1091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275"/>
      <c r="AT322" s="240" t="s">
        <v>182</v>
      </c>
      <c r="AU322" s="240" t="s">
        <v>76</v>
      </c>
    </row>
    <row r="323" spans="1:65" s="249" customFormat="1" ht="31.5" customHeight="1">
      <c r="A323" s="87"/>
      <c r="B323" s="87"/>
      <c r="C323" s="181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971"/>
      <c r="O323" s="926"/>
      <c r="P323" s="926"/>
      <c r="Q323" s="926"/>
      <c r="R323" s="87"/>
      <c r="S323" s="87"/>
      <c r="T323" s="483" t="s">
        <v>5</v>
      </c>
      <c r="U323" s="221" t="s">
        <v>36</v>
      </c>
      <c r="V323" s="408">
        <v>0</v>
      </c>
      <c r="W323" s="408">
        <f>V323*K353</f>
        <v>0</v>
      </c>
      <c r="X323" s="408">
        <v>0</v>
      </c>
      <c r="Y323" s="408">
        <f>X323*K353</f>
        <v>0</v>
      </c>
      <c r="Z323" s="408">
        <v>0</v>
      </c>
      <c r="AA323" s="409">
        <f>Z323*K353</f>
        <v>0</v>
      </c>
      <c r="AR323" s="240" t="s">
        <v>128</v>
      </c>
      <c r="AT323" s="240" t="s">
        <v>126</v>
      </c>
      <c r="AU323" s="240" t="s">
        <v>76</v>
      </c>
      <c r="AY323" s="240" t="s">
        <v>125</v>
      </c>
      <c r="BE323" s="250">
        <f>IF(U323="základní",N353,0)</f>
        <v>0</v>
      </c>
      <c r="BF323" s="250">
        <f>IF(U323="snížená",N353,0)</f>
        <v>0</v>
      </c>
      <c r="BG323" s="250">
        <f>IF(U323="zákl. přenesená",N353,0)</f>
        <v>0</v>
      </c>
      <c r="BH323" s="250">
        <f>IF(U323="sníž. přenesená",N353,0)</f>
        <v>0</v>
      </c>
      <c r="BI323" s="250">
        <f>IF(U323="nulová",N353,0)</f>
        <v>0</v>
      </c>
      <c r="BJ323" s="240" t="s">
        <v>80</v>
      </c>
      <c r="BK323" s="250">
        <f>ROUND(L353*K353,2)</f>
        <v>0</v>
      </c>
      <c r="BL323" s="240" t="s">
        <v>128</v>
      </c>
      <c r="BM323" s="240" t="s">
        <v>174</v>
      </c>
    </row>
    <row r="324" spans="1:47" s="249" customFormat="1" ht="42" customHeight="1">
      <c r="A324" s="87"/>
      <c r="B324" s="87"/>
      <c r="C324" s="641"/>
      <c r="D324" s="641"/>
      <c r="E324" s="762"/>
      <c r="F324" s="1085"/>
      <c r="G324" s="1085"/>
      <c r="H324" s="1085"/>
      <c r="I324" s="1085"/>
      <c r="J324" s="735"/>
      <c r="K324" s="736"/>
      <c r="L324" s="1100"/>
      <c r="M324" s="1100"/>
      <c r="N324" s="1100"/>
      <c r="O324" s="1100"/>
      <c r="P324" s="1100"/>
      <c r="Q324" s="1100"/>
      <c r="R324" s="87"/>
      <c r="S324" s="87"/>
      <c r="T324" s="87"/>
      <c r="U324" s="87"/>
      <c r="V324" s="87"/>
      <c r="W324" s="87"/>
      <c r="X324" s="87"/>
      <c r="Y324" s="87"/>
      <c r="Z324" s="87"/>
      <c r="AA324" s="275"/>
      <c r="AT324" s="240" t="s">
        <v>182</v>
      </c>
      <c r="AU324" s="240" t="s">
        <v>76</v>
      </c>
    </row>
    <row r="325" spans="1:65" s="249" customFormat="1" ht="31.5" customHeight="1">
      <c r="A325" s="87"/>
      <c r="B325" s="87"/>
      <c r="C325" s="87"/>
      <c r="D325" s="87"/>
      <c r="E325" s="87"/>
      <c r="F325" s="986"/>
      <c r="G325" s="1091"/>
      <c r="H325" s="1091"/>
      <c r="I325" s="1091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483" t="s">
        <v>5</v>
      </c>
      <c r="U325" s="221" t="s">
        <v>36</v>
      </c>
      <c r="V325" s="408">
        <v>0</v>
      </c>
      <c r="W325" s="408">
        <f>V325*K355</f>
        <v>0</v>
      </c>
      <c r="X325" s="408">
        <v>0</v>
      </c>
      <c r="Y325" s="408">
        <f>X325*K355</f>
        <v>0</v>
      </c>
      <c r="Z325" s="408">
        <v>0</v>
      </c>
      <c r="AA325" s="409">
        <f>Z325*K355</f>
        <v>0</v>
      </c>
      <c r="AR325" s="240" t="s">
        <v>128</v>
      </c>
      <c r="AT325" s="240" t="s">
        <v>126</v>
      </c>
      <c r="AU325" s="240" t="s">
        <v>76</v>
      </c>
      <c r="AY325" s="240" t="s">
        <v>125</v>
      </c>
      <c r="BE325" s="250">
        <f>IF(U325="základní",N355,0)</f>
        <v>0</v>
      </c>
      <c r="BF325" s="250">
        <f>IF(U325="snížená",N355,0)</f>
        <v>0</v>
      </c>
      <c r="BG325" s="250">
        <f>IF(U325="zákl. přenesená",N355,0)</f>
        <v>0</v>
      </c>
      <c r="BH325" s="250">
        <f>IF(U325="sníž. přenesená",N355,0)</f>
        <v>0</v>
      </c>
      <c r="BI325" s="250">
        <f>IF(U325="nulová",N355,0)</f>
        <v>0</v>
      </c>
      <c r="BJ325" s="240" t="s">
        <v>80</v>
      </c>
      <c r="BK325" s="250">
        <f>ROUND(L355*K355,2)</f>
        <v>0</v>
      </c>
      <c r="BL325" s="240" t="s">
        <v>128</v>
      </c>
      <c r="BM325" s="240" t="s">
        <v>175</v>
      </c>
    </row>
    <row r="326" spans="1:47" s="249" customFormat="1" ht="42" customHeight="1">
      <c r="A326" s="87"/>
      <c r="B326" s="87"/>
      <c r="C326" s="641"/>
      <c r="D326" s="641"/>
      <c r="E326" s="762"/>
      <c r="F326" s="1085"/>
      <c r="G326" s="1085"/>
      <c r="H326" s="1085"/>
      <c r="I326" s="1085"/>
      <c r="J326" s="735"/>
      <c r="K326" s="736"/>
      <c r="L326" s="1100"/>
      <c r="M326" s="1100"/>
      <c r="N326" s="1100"/>
      <c r="O326" s="1100"/>
      <c r="P326" s="1100"/>
      <c r="Q326" s="1100"/>
      <c r="R326" s="87"/>
      <c r="S326" s="87"/>
      <c r="T326" s="87"/>
      <c r="U326" s="87"/>
      <c r="V326" s="87"/>
      <c r="W326" s="87"/>
      <c r="X326" s="87"/>
      <c r="Y326" s="87"/>
      <c r="Z326" s="87"/>
      <c r="AA326" s="275"/>
      <c r="AT326" s="240" t="s">
        <v>182</v>
      </c>
      <c r="AU326" s="240" t="s">
        <v>76</v>
      </c>
    </row>
    <row r="327" spans="1:63" s="398" customFormat="1" ht="37.35" customHeight="1">
      <c r="A327" s="181"/>
      <c r="B327" s="181"/>
      <c r="C327" s="87"/>
      <c r="D327" s="87"/>
      <c r="E327" s="87"/>
      <c r="F327" s="986"/>
      <c r="G327" s="1091"/>
      <c r="H327" s="1091"/>
      <c r="I327" s="1091"/>
      <c r="J327" s="87"/>
      <c r="K327" s="87"/>
      <c r="L327" s="87"/>
      <c r="M327" s="87"/>
      <c r="N327" s="87"/>
      <c r="O327" s="87"/>
      <c r="P327" s="87"/>
      <c r="Q327" s="87"/>
      <c r="R327" s="181"/>
      <c r="S327" s="181"/>
      <c r="T327" s="181"/>
      <c r="U327" s="181"/>
      <c r="V327" s="181"/>
      <c r="W327" s="402">
        <f>SUM(W328:W331)</f>
        <v>0</v>
      </c>
      <c r="X327" s="181"/>
      <c r="Y327" s="402">
        <f>SUM(Y328:Y331)</f>
        <v>0</v>
      </c>
      <c r="Z327" s="181"/>
      <c r="AA327" s="403">
        <f>SUM(AA328:AA331)</f>
        <v>0</v>
      </c>
      <c r="AR327" s="404" t="s">
        <v>76</v>
      </c>
      <c r="AT327" s="405" t="s">
        <v>68</v>
      </c>
      <c r="AU327" s="405" t="s">
        <v>69</v>
      </c>
      <c r="AY327" s="404" t="s">
        <v>125</v>
      </c>
      <c r="BK327" s="406">
        <f>SUM(BK328:BK331)</f>
        <v>0</v>
      </c>
    </row>
    <row r="328" spans="1:65" s="249" customFormat="1" ht="22.5" customHeight="1">
      <c r="A328" s="87"/>
      <c r="B328" s="87"/>
      <c r="C328" s="641"/>
      <c r="D328" s="641"/>
      <c r="E328" s="762"/>
      <c r="F328" s="1085"/>
      <c r="G328" s="1085"/>
      <c r="H328" s="1085"/>
      <c r="I328" s="1085"/>
      <c r="J328" s="735"/>
      <c r="K328" s="736"/>
      <c r="L328" s="1100"/>
      <c r="M328" s="1100"/>
      <c r="N328" s="1100"/>
      <c r="O328" s="1100"/>
      <c r="P328" s="1100"/>
      <c r="Q328" s="1100"/>
      <c r="R328" s="87"/>
      <c r="S328" s="87"/>
      <c r="T328" s="483" t="s">
        <v>5</v>
      </c>
      <c r="U328" s="221" t="s">
        <v>36</v>
      </c>
      <c r="V328" s="408">
        <v>0</v>
      </c>
      <c r="W328" s="408">
        <f>V328*K358</f>
        <v>0</v>
      </c>
      <c r="X328" s="408">
        <v>0</v>
      </c>
      <c r="Y328" s="408">
        <f>X328*K358</f>
        <v>0</v>
      </c>
      <c r="Z328" s="408">
        <v>0</v>
      </c>
      <c r="AA328" s="409">
        <f>Z328*K358</f>
        <v>0</v>
      </c>
      <c r="AR328" s="240" t="s">
        <v>128</v>
      </c>
      <c r="AT328" s="240" t="s">
        <v>126</v>
      </c>
      <c r="AU328" s="240" t="s">
        <v>76</v>
      </c>
      <c r="AY328" s="240" t="s">
        <v>125</v>
      </c>
      <c r="BE328" s="250">
        <f>IF(U328="základní",N358,0)</f>
        <v>0</v>
      </c>
      <c r="BF328" s="250">
        <f>IF(U328="snížená",N358,0)</f>
        <v>0</v>
      </c>
      <c r="BG328" s="250">
        <f>IF(U328="zákl. přenesená",N358,0)</f>
        <v>0</v>
      </c>
      <c r="BH328" s="250">
        <f>IF(U328="sníž. přenesená",N358,0)</f>
        <v>0</v>
      </c>
      <c r="BI328" s="250">
        <f>IF(U328="nulová",N358,0)</f>
        <v>0</v>
      </c>
      <c r="BJ328" s="240" t="s">
        <v>80</v>
      </c>
      <c r="BK328" s="250">
        <f>ROUND(L358*K358,2)</f>
        <v>0</v>
      </c>
      <c r="BL328" s="240" t="s">
        <v>128</v>
      </c>
      <c r="BM328" s="240" t="s">
        <v>176</v>
      </c>
    </row>
    <row r="329" spans="1:47" s="249" customFormat="1" ht="42" customHeight="1">
      <c r="A329" s="87"/>
      <c r="B329" s="87"/>
      <c r="C329" s="87"/>
      <c r="D329" s="87"/>
      <c r="E329" s="87"/>
      <c r="F329" s="986"/>
      <c r="G329" s="1091"/>
      <c r="H329" s="1091"/>
      <c r="I329" s="1091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275"/>
      <c r="AT329" s="240" t="s">
        <v>182</v>
      </c>
      <c r="AU329" s="240" t="s">
        <v>76</v>
      </c>
    </row>
    <row r="330" spans="1:65" s="249" customFormat="1" ht="31.5" customHeight="1">
      <c r="A330" s="87"/>
      <c r="B330" s="87"/>
      <c r="C330" s="641"/>
      <c r="D330" s="641"/>
      <c r="E330" s="762"/>
      <c r="F330" s="1085"/>
      <c r="G330" s="1085"/>
      <c r="H330" s="1085"/>
      <c r="I330" s="1085"/>
      <c r="J330" s="735"/>
      <c r="K330" s="736"/>
      <c r="L330" s="1100"/>
      <c r="M330" s="1100"/>
      <c r="N330" s="1100"/>
      <c r="O330" s="1100"/>
      <c r="P330" s="1100"/>
      <c r="Q330" s="1100"/>
      <c r="R330" s="87"/>
      <c r="S330" s="87"/>
      <c r="T330" s="483" t="s">
        <v>5</v>
      </c>
      <c r="U330" s="221" t="s">
        <v>36</v>
      </c>
      <c r="V330" s="408">
        <v>0</v>
      </c>
      <c r="W330" s="408">
        <f>V330*K360</f>
        <v>0</v>
      </c>
      <c r="X330" s="408">
        <v>0</v>
      </c>
      <c r="Y330" s="408">
        <f>X330*K360</f>
        <v>0</v>
      </c>
      <c r="Z330" s="408">
        <v>0</v>
      </c>
      <c r="AA330" s="409">
        <f>Z330*K360</f>
        <v>0</v>
      </c>
      <c r="AR330" s="240" t="s">
        <v>128</v>
      </c>
      <c r="AT330" s="240" t="s">
        <v>126</v>
      </c>
      <c r="AU330" s="240" t="s">
        <v>76</v>
      </c>
      <c r="AY330" s="240" t="s">
        <v>125</v>
      </c>
      <c r="BE330" s="250">
        <f>IF(U330="základní",N360,0)</f>
        <v>0</v>
      </c>
      <c r="BF330" s="250">
        <f>IF(U330="snížená",N360,0)</f>
        <v>0</v>
      </c>
      <c r="BG330" s="250">
        <f>IF(U330="zákl. přenesená",N360,0)</f>
        <v>0</v>
      </c>
      <c r="BH330" s="250">
        <f>IF(U330="sníž. přenesená",N360,0)</f>
        <v>0</v>
      </c>
      <c r="BI330" s="250">
        <f>IF(U330="nulová",N360,0)</f>
        <v>0</v>
      </c>
      <c r="BJ330" s="240" t="s">
        <v>80</v>
      </c>
      <c r="BK330" s="250">
        <f>ROUND(L360*K360,2)</f>
        <v>0</v>
      </c>
      <c r="BL330" s="240" t="s">
        <v>128</v>
      </c>
      <c r="BM330" s="240" t="s">
        <v>177</v>
      </c>
    </row>
    <row r="331" spans="1:47" s="249" customFormat="1" ht="30" customHeight="1">
      <c r="A331" s="87"/>
      <c r="B331" s="87"/>
      <c r="C331" s="87"/>
      <c r="D331" s="87"/>
      <c r="E331" s="87"/>
      <c r="F331" s="986"/>
      <c r="G331" s="1091"/>
      <c r="H331" s="1091"/>
      <c r="I331" s="1091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275"/>
      <c r="AT331" s="240" t="s">
        <v>182</v>
      </c>
      <c r="AU331" s="240" t="s">
        <v>76</v>
      </c>
    </row>
    <row r="332" spans="1:63" s="398" customFormat="1" ht="37.35" customHeight="1">
      <c r="A332" s="181"/>
      <c r="B332" s="181"/>
      <c r="C332" s="181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971"/>
      <c r="O332" s="926"/>
      <c r="P332" s="926"/>
      <c r="Q332" s="926"/>
      <c r="R332" s="181"/>
      <c r="S332" s="181"/>
      <c r="T332" s="181"/>
      <c r="U332" s="181"/>
      <c r="V332" s="181"/>
      <c r="W332" s="402">
        <f>SUM(W333:W340)</f>
        <v>0</v>
      </c>
      <c r="X332" s="181"/>
      <c r="Y332" s="402">
        <f>SUM(Y333:Y340)</f>
        <v>0</v>
      </c>
      <c r="Z332" s="181"/>
      <c r="AA332" s="403">
        <f>SUM(AA333:AA340)</f>
        <v>0</v>
      </c>
      <c r="AR332" s="404" t="s">
        <v>76</v>
      </c>
      <c r="AT332" s="405" t="s">
        <v>68</v>
      </c>
      <c r="AU332" s="405" t="s">
        <v>69</v>
      </c>
      <c r="AY332" s="404" t="s">
        <v>125</v>
      </c>
      <c r="BK332" s="406">
        <f>SUM(BK333:BK340)</f>
        <v>0</v>
      </c>
    </row>
    <row r="333" spans="1:65" s="249" customFormat="1" ht="31.5" customHeight="1">
      <c r="A333" s="87"/>
      <c r="B333" s="87"/>
      <c r="C333" s="641"/>
      <c r="D333" s="641"/>
      <c r="E333" s="762"/>
      <c r="F333" s="1085"/>
      <c r="G333" s="1085"/>
      <c r="H333" s="1085"/>
      <c r="I333" s="1085"/>
      <c r="J333" s="735"/>
      <c r="K333" s="736"/>
      <c r="L333" s="1100"/>
      <c r="M333" s="1100"/>
      <c r="N333" s="1100"/>
      <c r="O333" s="1100"/>
      <c r="P333" s="1100"/>
      <c r="Q333" s="1100"/>
      <c r="R333" s="87"/>
      <c r="S333" s="87"/>
      <c r="T333" s="483" t="s">
        <v>5</v>
      </c>
      <c r="U333" s="221" t="s">
        <v>36</v>
      </c>
      <c r="V333" s="408">
        <v>0</v>
      </c>
      <c r="W333" s="408">
        <f>V333*K363</f>
        <v>0</v>
      </c>
      <c r="X333" s="408">
        <v>0</v>
      </c>
      <c r="Y333" s="408">
        <f>X333*K363</f>
        <v>0</v>
      </c>
      <c r="Z333" s="408">
        <v>0</v>
      </c>
      <c r="AA333" s="409">
        <f>Z333*K363</f>
        <v>0</v>
      </c>
      <c r="AR333" s="240" t="s">
        <v>128</v>
      </c>
      <c r="AT333" s="240" t="s">
        <v>126</v>
      </c>
      <c r="AU333" s="240" t="s">
        <v>76</v>
      </c>
      <c r="AY333" s="240" t="s">
        <v>125</v>
      </c>
      <c r="BE333" s="250">
        <f>IF(U333="základní",N363,0)</f>
        <v>0</v>
      </c>
      <c r="BF333" s="250">
        <f>IF(U333="snížená",N363,0)</f>
        <v>0</v>
      </c>
      <c r="BG333" s="250">
        <f>IF(U333="zákl. přenesená",N363,0)</f>
        <v>0</v>
      </c>
      <c r="BH333" s="250">
        <f>IF(U333="sníž. přenesená",N363,0)</f>
        <v>0</v>
      </c>
      <c r="BI333" s="250">
        <f>IF(U333="nulová",N363,0)</f>
        <v>0</v>
      </c>
      <c r="BJ333" s="240" t="s">
        <v>80</v>
      </c>
      <c r="BK333" s="250">
        <f>ROUND(L363*K363,2)</f>
        <v>0</v>
      </c>
      <c r="BL333" s="240" t="s">
        <v>128</v>
      </c>
      <c r="BM333" s="240" t="s">
        <v>178</v>
      </c>
    </row>
    <row r="334" spans="1:47" s="249" customFormat="1" ht="66" customHeight="1">
      <c r="A334" s="87"/>
      <c r="B334" s="87"/>
      <c r="C334" s="87"/>
      <c r="D334" s="87"/>
      <c r="E334" s="87"/>
      <c r="F334" s="986"/>
      <c r="G334" s="1091"/>
      <c r="H334" s="1091"/>
      <c r="I334" s="1091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275"/>
      <c r="AT334" s="240" t="s">
        <v>182</v>
      </c>
      <c r="AU334" s="240" t="s">
        <v>76</v>
      </c>
    </row>
    <row r="335" spans="1:65" s="249" customFormat="1" ht="31.5" customHeight="1">
      <c r="A335" s="87"/>
      <c r="B335" s="87"/>
      <c r="C335" s="641"/>
      <c r="D335" s="641"/>
      <c r="E335" s="762"/>
      <c r="F335" s="1085"/>
      <c r="G335" s="1085"/>
      <c r="H335" s="1085"/>
      <c r="I335" s="1085"/>
      <c r="J335" s="735"/>
      <c r="K335" s="736"/>
      <c r="L335" s="1100"/>
      <c r="M335" s="1100"/>
      <c r="N335" s="1100"/>
      <c r="O335" s="1100"/>
      <c r="P335" s="1100"/>
      <c r="Q335" s="1100"/>
      <c r="R335" s="87"/>
      <c r="S335" s="87"/>
      <c r="T335" s="483" t="s">
        <v>5</v>
      </c>
      <c r="U335" s="221" t="s">
        <v>36</v>
      </c>
      <c r="V335" s="408">
        <v>0</v>
      </c>
      <c r="W335" s="408">
        <f>V335*K365</f>
        <v>0</v>
      </c>
      <c r="X335" s="408">
        <v>0</v>
      </c>
      <c r="Y335" s="408">
        <f>X335*K365</f>
        <v>0</v>
      </c>
      <c r="Z335" s="408">
        <v>0</v>
      </c>
      <c r="AA335" s="409">
        <f>Z335*K365</f>
        <v>0</v>
      </c>
      <c r="AR335" s="240" t="s">
        <v>128</v>
      </c>
      <c r="AT335" s="240" t="s">
        <v>126</v>
      </c>
      <c r="AU335" s="240" t="s">
        <v>76</v>
      </c>
      <c r="AY335" s="240" t="s">
        <v>125</v>
      </c>
      <c r="BE335" s="250">
        <f>IF(U335="základní",N365,0)</f>
        <v>0</v>
      </c>
      <c r="BF335" s="250">
        <f>IF(U335="snížená",N365,0)</f>
        <v>0</v>
      </c>
      <c r="BG335" s="250">
        <f>IF(U335="zákl. přenesená",N365,0)</f>
        <v>0</v>
      </c>
      <c r="BH335" s="250">
        <f>IF(U335="sníž. přenesená",N365,0)</f>
        <v>0</v>
      </c>
      <c r="BI335" s="250">
        <f>IF(U335="nulová",N365,0)</f>
        <v>0</v>
      </c>
      <c r="BJ335" s="240" t="s">
        <v>80</v>
      </c>
      <c r="BK335" s="250">
        <f>ROUND(L365*K365,2)</f>
        <v>0</v>
      </c>
      <c r="BL335" s="240" t="s">
        <v>128</v>
      </c>
      <c r="BM335" s="240" t="s">
        <v>179</v>
      </c>
    </row>
    <row r="336" spans="1:47" s="249" customFormat="1" ht="42" customHeight="1">
      <c r="A336" s="87"/>
      <c r="B336" s="87"/>
      <c r="C336" s="87"/>
      <c r="D336" s="87"/>
      <c r="E336" s="87"/>
      <c r="F336" s="986"/>
      <c r="G336" s="1091"/>
      <c r="H336" s="1091"/>
      <c r="I336" s="1091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275"/>
      <c r="AT336" s="240" t="s">
        <v>182</v>
      </c>
      <c r="AU336" s="240" t="s">
        <v>76</v>
      </c>
    </row>
    <row r="337" spans="1:65" s="249" customFormat="1" ht="31.5" customHeight="1">
      <c r="A337" s="87"/>
      <c r="B337" s="87"/>
      <c r="C337" s="641"/>
      <c r="D337" s="641"/>
      <c r="E337" s="762"/>
      <c r="F337" s="1085"/>
      <c r="G337" s="1085"/>
      <c r="H337" s="1085"/>
      <c r="I337" s="1085"/>
      <c r="J337" s="735"/>
      <c r="K337" s="736"/>
      <c r="L337" s="1100"/>
      <c r="M337" s="1100"/>
      <c r="N337" s="1100"/>
      <c r="O337" s="1100"/>
      <c r="P337" s="1100"/>
      <c r="Q337" s="1100"/>
      <c r="R337" s="87"/>
      <c r="S337" s="87"/>
      <c r="T337" s="483" t="s">
        <v>5</v>
      </c>
      <c r="U337" s="221" t="s">
        <v>36</v>
      </c>
      <c r="V337" s="408">
        <v>0</v>
      </c>
      <c r="W337" s="408">
        <f>V337*K367</f>
        <v>0</v>
      </c>
      <c r="X337" s="408">
        <v>0</v>
      </c>
      <c r="Y337" s="408">
        <f>X337*K367</f>
        <v>0</v>
      </c>
      <c r="Z337" s="408">
        <v>0</v>
      </c>
      <c r="AA337" s="409">
        <f>Z337*K367</f>
        <v>0</v>
      </c>
      <c r="AR337" s="240" t="s">
        <v>128</v>
      </c>
      <c r="AT337" s="240" t="s">
        <v>126</v>
      </c>
      <c r="AU337" s="240" t="s">
        <v>76</v>
      </c>
      <c r="AY337" s="240" t="s">
        <v>125</v>
      </c>
      <c r="BE337" s="250">
        <f>IF(U337="základní",N367,0)</f>
        <v>0</v>
      </c>
      <c r="BF337" s="250">
        <f>IF(U337="snížená",N367,0)</f>
        <v>0</v>
      </c>
      <c r="BG337" s="250">
        <f>IF(U337="zákl. přenesená",N367,0)</f>
        <v>0</v>
      </c>
      <c r="BH337" s="250">
        <f>IF(U337="sníž. přenesená",N367,0)</f>
        <v>0</v>
      </c>
      <c r="BI337" s="250">
        <f>IF(U337="nulová",N367,0)</f>
        <v>0</v>
      </c>
      <c r="BJ337" s="240" t="s">
        <v>80</v>
      </c>
      <c r="BK337" s="250">
        <f>ROUND(L367*K367,2)</f>
        <v>0</v>
      </c>
      <c r="BL337" s="240" t="s">
        <v>128</v>
      </c>
      <c r="BM337" s="240" t="s">
        <v>180</v>
      </c>
    </row>
    <row r="338" spans="1:47" s="249" customFormat="1" ht="42" customHeight="1">
      <c r="A338" s="87"/>
      <c r="B338" s="87"/>
      <c r="C338" s="87"/>
      <c r="D338" s="87"/>
      <c r="E338" s="87"/>
      <c r="F338" s="986"/>
      <c r="G338" s="1091"/>
      <c r="H338" s="1091"/>
      <c r="I338" s="1091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275"/>
      <c r="AT338" s="240" t="s">
        <v>182</v>
      </c>
      <c r="AU338" s="240" t="s">
        <v>76</v>
      </c>
    </row>
    <row r="339" spans="1:65" s="249" customFormat="1" ht="31.5" customHeight="1">
      <c r="A339" s="87"/>
      <c r="B339" s="87"/>
      <c r="C339" s="641"/>
      <c r="D339" s="641"/>
      <c r="E339" s="762"/>
      <c r="F339" s="1085"/>
      <c r="G339" s="1085"/>
      <c r="H339" s="1085"/>
      <c r="I339" s="1085"/>
      <c r="J339" s="735"/>
      <c r="K339" s="736"/>
      <c r="L339" s="1100"/>
      <c r="M339" s="1100"/>
      <c r="N339" s="1100"/>
      <c r="O339" s="1100"/>
      <c r="P339" s="1100"/>
      <c r="Q339" s="1100"/>
      <c r="R339" s="87"/>
      <c r="S339" s="87"/>
      <c r="T339" s="483" t="s">
        <v>5</v>
      </c>
      <c r="U339" s="221" t="s">
        <v>36</v>
      </c>
      <c r="V339" s="408">
        <v>0</v>
      </c>
      <c r="W339" s="408">
        <f>V339*K369</f>
        <v>0</v>
      </c>
      <c r="X339" s="408">
        <v>0</v>
      </c>
      <c r="Y339" s="408">
        <f>X339*K369</f>
        <v>0</v>
      </c>
      <c r="Z339" s="408">
        <v>0</v>
      </c>
      <c r="AA339" s="409">
        <f>Z339*K369</f>
        <v>0</v>
      </c>
      <c r="AR339" s="240" t="s">
        <v>128</v>
      </c>
      <c r="AT339" s="240" t="s">
        <v>126</v>
      </c>
      <c r="AU339" s="240" t="s">
        <v>76</v>
      </c>
      <c r="AY339" s="240" t="s">
        <v>125</v>
      </c>
      <c r="BE339" s="250">
        <f>IF(U339="základní",N369,0)</f>
        <v>0</v>
      </c>
      <c r="BF339" s="250">
        <f>IF(U339="snížená",N369,0)</f>
        <v>0</v>
      </c>
      <c r="BG339" s="250">
        <f>IF(U339="zákl. přenesená",N369,0)</f>
        <v>0</v>
      </c>
      <c r="BH339" s="250">
        <f>IF(U339="sníž. přenesená",N369,0)</f>
        <v>0</v>
      </c>
      <c r="BI339" s="250">
        <f>IF(U339="nulová",N369,0)</f>
        <v>0</v>
      </c>
      <c r="BJ339" s="240" t="s">
        <v>80</v>
      </c>
      <c r="BK339" s="250">
        <f>ROUND(L369*K369,2)</f>
        <v>0</v>
      </c>
      <c r="BL339" s="240" t="s">
        <v>128</v>
      </c>
      <c r="BM339" s="240" t="s">
        <v>181</v>
      </c>
    </row>
    <row r="340" spans="1:47" s="249" customFormat="1" ht="42" customHeight="1">
      <c r="A340" s="87"/>
      <c r="B340" s="87"/>
      <c r="C340" s="87"/>
      <c r="D340" s="87"/>
      <c r="E340" s="87"/>
      <c r="F340" s="986"/>
      <c r="G340" s="1091"/>
      <c r="H340" s="1091"/>
      <c r="I340" s="1091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275"/>
      <c r="AT340" s="240" t="s">
        <v>182</v>
      </c>
      <c r="AU340" s="240" t="s">
        <v>76</v>
      </c>
    </row>
    <row r="341" spans="1:63" s="398" customFormat="1" ht="37.35" customHeight="1">
      <c r="A341" s="181"/>
      <c r="B341" s="181"/>
      <c r="C341" s="641"/>
      <c r="D341" s="641"/>
      <c r="E341" s="762"/>
      <c r="F341" s="1085"/>
      <c r="G341" s="1085"/>
      <c r="H341" s="1085"/>
      <c r="I341" s="1085"/>
      <c r="J341" s="735"/>
      <c r="K341" s="736"/>
      <c r="L341" s="1100"/>
      <c r="M341" s="1100"/>
      <c r="N341" s="1100"/>
      <c r="O341" s="1100"/>
      <c r="P341" s="1100"/>
      <c r="Q341" s="1100"/>
      <c r="R341" s="181"/>
      <c r="S341" s="181"/>
      <c r="T341" s="181"/>
      <c r="U341" s="181"/>
      <c r="V341" s="181"/>
      <c r="W341" s="402">
        <f>SUM(W342:W348)</f>
        <v>0</v>
      </c>
      <c r="X341" s="181"/>
      <c r="Y341" s="402">
        <f>SUM(Y342:Y348)</f>
        <v>0</v>
      </c>
      <c r="Z341" s="181"/>
      <c r="AA341" s="403">
        <f>SUM(AA342:AA348)</f>
        <v>0</v>
      </c>
      <c r="AR341" s="404" t="s">
        <v>76</v>
      </c>
      <c r="AT341" s="405" t="s">
        <v>68</v>
      </c>
      <c r="AU341" s="405" t="s">
        <v>69</v>
      </c>
      <c r="AY341" s="404" t="s">
        <v>125</v>
      </c>
      <c r="BK341" s="406">
        <f>SUM(BK342:BK348)</f>
        <v>0</v>
      </c>
    </row>
    <row r="342" spans="1:65" s="249" customFormat="1" ht="31.5" customHeight="1">
      <c r="A342" s="87"/>
      <c r="B342" s="87"/>
      <c r="C342" s="87"/>
      <c r="D342" s="87"/>
      <c r="E342" s="87"/>
      <c r="F342" s="986"/>
      <c r="G342" s="1091"/>
      <c r="H342" s="1091"/>
      <c r="I342" s="1091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483" t="s">
        <v>5</v>
      </c>
      <c r="U342" s="221" t="s">
        <v>36</v>
      </c>
      <c r="V342" s="408">
        <v>0</v>
      </c>
      <c r="W342" s="408">
        <f aca="true" t="shared" si="13" ref="W342:W348">V342*K372</f>
        <v>0</v>
      </c>
      <c r="X342" s="408">
        <v>0</v>
      </c>
      <c r="Y342" s="408">
        <f aca="true" t="shared" si="14" ref="Y342:Y348">X342*K372</f>
        <v>0</v>
      </c>
      <c r="Z342" s="408">
        <v>0</v>
      </c>
      <c r="AA342" s="409">
        <f aca="true" t="shared" si="15" ref="AA342:AA348">Z342*K372</f>
        <v>0</v>
      </c>
      <c r="AR342" s="240" t="s">
        <v>128</v>
      </c>
      <c r="AT342" s="240" t="s">
        <v>126</v>
      </c>
      <c r="AU342" s="240" t="s">
        <v>76</v>
      </c>
      <c r="AY342" s="240" t="s">
        <v>125</v>
      </c>
      <c r="BE342" s="250">
        <f aca="true" t="shared" si="16" ref="BE342:BE348">IF(U342="základní",N372,0)</f>
        <v>0</v>
      </c>
      <c r="BF342" s="250">
        <f aca="true" t="shared" si="17" ref="BF342:BF348">IF(U342="snížená",N372,0)</f>
        <v>0</v>
      </c>
      <c r="BG342" s="250">
        <f aca="true" t="shared" si="18" ref="BG342:BG348">IF(U342="zákl. přenesená",N372,0)</f>
        <v>0</v>
      </c>
      <c r="BH342" s="250">
        <f aca="true" t="shared" si="19" ref="BH342:BH348">IF(U342="sníž. přenesená",N372,0)</f>
        <v>0</v>
      </c>
      <c r="BI342" s="250">
        <f aca="true" t="shared" si="20" ref="BI342:BI348">IF(U342="nulová",N372,0)</f>
        <v>0</v>
      </c>
      <c r="BJ342" s="240" t="s">
        <v>80</v>
      </c>
      <c r="BK342" s="250">
        <f aca="true" t="shared" si="21" ref="BK342:BK348">ROUND(L372*K372,2)</f>
        <v>0</v>
      </c>
      <c r="BL342" s="240" t="s">
        <v>128</v>
      </c>
      <c r="BM342" s="240" t="s">
        <v>183</v>
      </c>
    </row>
    <row r="343" spans="1:65" s="249" customFormat="1" ht="31.5" customHeight="1">
      <c r="A343" s="87"/>
      <c r="B343" s="87"/>
      <c r="C343" s="641"/>
      <c r="D343" s="641"/>
      <c r="E343" s="762"/>
      <c r="F343" s="1085"/>
      <c r="G343" s="1085"/>
      <c r="H343" s="1085"/>
      <c r="I343" s="1085"/>
      <c r="J343" s="735"/>
      <c r="K343" s="736"/>
      <c r="L343" s="1100"/>
      <c r="M343" s="1100"/>
      <c r="N343" s="1100"/>
      <c r="O343" s="1100"/>
      <c r="P343" s="1100"/>
      <c r="Q343" s="1100"/>
      <c r="R343" s="87"/>
      <c r="S343" s="87"/>
      <c r="T343" s="483" t="s">
        <v>5</v>
      </c>
      <c r="U343" s="221" t="s">
        <v>36</v>
      </c>
      <c r="V343" s="408">
        <v>0</v>
      </c>
      <c r="W343" s="408">
        <f t="shared" si="13"/>
        <v>0</v>
      </c>
      <c r="X343" s="408">
        <v>0</v>
      </c>
      <c r="Y343" s="408">
        <f t="shared" si="14"/>
        <v>0</v>
      </c>
      <c r="Z343" s="408">
        <v>0</v>
      </c>
      <c r="AA343" s="409">
        <f t="shared" si="15"/>
        <v>0</v>
      </c>
      <c r="AR343" s="240" t="s">
        <v>128</v>
      </c>
      <c r="AT343" s="240" t="s">
        <v>126</v>
      </c>
      <c r="AU343" s="240" t="s">
        <v>76</v>
      </c>
      <c r="AY343" s="240" t="s">
        <v>125</v>
      </c>
      <c r="BE343" s="250">
        <f t="shared" si="16"/>
        <v>0</v>
      </c>
      <c r="BF343" s="250">
        <f t="shared" si="17"/>
        <v>0</v>
      </c>
      <c r="BG343" s="250">
        <f t="shared" si="18"/>
        <v>0</v>
      </c>
      <c r="BH343" s="250">
        <f t="shared" si="19"/>
        <v>0</v>
      </c>
      <c r="BI343" s="250">
        <f t="shared" si="20"/>
        <v>0</v>
      </c>
      <c r="BJ343" s="240" t="s">
        <v>80</v>
      </c>
      <c r="BK343" s="250">
        <f t="shared" si="21"/>
        <v>0</v>
      </c>
      <c r="BL343" s="240" t="s">
        <v>128</v>
      </c>
      <c r="BM343" s="240" t="s">
        <v>184</v>
      </c>
    </row>
    <row r="344" spans="1:65" s="249" customFormat="1" ht="31.5" customHeight="1">
      <c r="A344" s="87"/>
      <c r="B344" s="87"/>
      <c r="C344" s="87"/>
      <c r="D344" s="87"/>
      <c r="E344" s="87"/>
      <c r="F344" s="986"/>
      <c r="G344" s="1091"/>
      <c r="H344" s="1091"/>
      <c r="I344" s="1091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483" t="s">
        <v>5</v>
      </c>
      <c r="U344" s="221" t="s">
        <v>36</v>
      </c>
      <c r="V344" s="408">
        <v>0</v>
      </c>
      <c r="W344" s="408">
        <f t="shared" si="13"/>
        <v>0</v>
      </c>
      <c r="X344" s="408">
        <v>0</v>
      </c>
      <c r="Y344" s="408">
        <f t="shared" si="14"/>
        <v>0</v>
      </c>
      <c r="Z344" s="408">
        <v>0</v>
      </c>
      <c r="AA344" s="409">
        <f t="shared" si="15"/>
        <v>0</v>
      </c>
      <c r="AR344" s="240" t="s">
        <v>128</v>
      </c>
      <c r="AT344" s="240" t="s">
        <v>126</v>
      </c>
      <c r="AU344" s="240" t="s">
        <v>76</v>
      </c>
      <c r="AY344" s="240" t="s">
        <v>125</v>
      </c>
      <c r="BE344" s="250">
        <f t="shared" si="16"/>
        <v>0</v>
      </c>
      <c r="BF344" s="250">
        <f t="shared" si="17"/>
        <v>0</v>
      </c>
      <c r="BG344" s="250">
        <f t="shared" si="18"/>
        <v>0</v>
      </c>
      <c r="BH344" s="250">
        <f t="shared" si="19"/>
        <v>0</v>
      </c>
      <c r="BI344" s="250">
        <f t="shared" si="20"/>
        <v>0</v>
      </c>
      <c r="BJ344" s="240" t="s">
        <v>80</v>
      </c>
      <c r="BK344" s="250">
        <f t="shared" si="21"/>
        <v>0</v>
      </c>
      <c r="BL344" s="240" t="s">
        <v>128</v>
      </c>
      <c r="BM344" s="240" t="s">
        <v>185</v>
      </c>
    </row>
    <row r="345" spans="1:65" s="249" customFormat="1" ht="31.5" customHeight="1">
      <c r="A345" s="87"/>
      <c r="B345" s="87"/>
      <c r="C345" s="641"/>
      <c r="D345" s="641"/>
      <c r="E345" s="762"/>
      <c r="F345" s="1085"/>
      <c r="G345" s="1085"/>
      <c r="H345" s="1085"/>
      <c r="I345" s="1085"/>
      <c r="J345" s="735"/>
      <c r="K345" s="736"/>
      <c r="L345" s="1100"/>
      <c r="M345" s="1100"/>
      <c r="N345" s="1100"/>
      <c r="O345" s="1100"/>
      <c r="P345" s="1100"/>
      <c r="Q345" s="1100"/>
      <c r="R345" s="87"/>
      <c r="S345" s="87"/>
      <c r="T345" s="483" t="s">
        <v>5</v>
      </c>
      <c r="U345" s="221" t="s">
        <v>36</v>
      </c>
      <c r="V345" s="408">
        <v>0</v>
      </c>
      <c r="W345" s="408">
        <f t="shared" si="13"/>
        <v>0</v>
      </c>
      <c r="X345" s="408">
        <v>0</v>
      </c>
      <c r="Y345" s="408">
        <f t="shared" si="14"/>
        <v>0</v>
      </c>
      <c r="Z345" s="408">
        <v>0</v>
      </c>
      <c r="AA345" s="409">
        <f t="shared" si="15"/>
        <v>0</v>
      </c>
      <c r="AR345" s="240" t="s">
        <v>128</v>
      </c>
      <c r="AT345" s="240" t="s">
        <v>126</v>
      </c>
      <c r="AU345" s="240" t="s">
        <v>76</v>
      </c>
      <c r="AY345" s="240" t="s">
        <v>125</v>
      </c>
      <c r="BE345" s="250">
        <f t="shared" si="16"/>
        <v>0</v>
      </c>
      <c r="BF345" s="250">
        <f t="shared" si="17"/>
        <v>0</v>
      </c>
      <c r="BG345" s="250">
        <f t="shared" si="18"/>
        <v>0</v>
      </c>
      <c r="BH345" s="250">
        <f t="shared" si="19"/>
        <v>0</v>
      </c>
      <c r="BI345" s="250">
        <f t="shared" si="20"/>
        <v>0</v>
      </c>
      <c r="BJ345" s="240" t="s">
        <v>80</v>
      </c>
      <c r="BK345" s="250">
        <f t="shared" si="21"/>
        <v>0</v>
      </c>
      <c r="BL345" s="240" t="s">
        <v>128</v>
      </c>
      <c r="BM345" s="240" t="s">
        <v>186</v>
      </c>
    </row>
    <row r="346" spans="1:65" s="249" customFormat="1" ht="31.5" customHeight="1">
      <c r="A346" s="87"/>
      <c r="B346" s="87"/>
      <c r="C346" s="87"/>
      <c r="D346" s="87"/>
      <c r="E346" s="87"/>
      <c r="F346" s="986"/>
      <c r="G346" s="1091"/>
      <c r="H346" s="1091"/>
      <c r="I346" s="1091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483" t="s">
        <v>5</v>
      </c>
      <c r="U346" s="221" t="s">
        <v>36</v>
      </c>
      <c r="V346" s="408">
        <v>0</v>
      </c>
      <c r="W346" s="408">
        <f t="shared" si="13"/>
        <v>0</v>
      </c>
      <c r="X346" s="408">
        <v>0</v>
      </c>
      <c r="Y346" s="408">
        <f t="shared" si="14"/>
        <v>0</v>
      </c>
      <c r="Z346" s="408">
        <v>0</v>
      </c>
      <c r="AA346" s="409">
        <f t="shared" si="15"/>
        <v>0</v>
      </c>
      <c r="AR346" s="240" t="s">
        <v>128</v>
      </c>
      <c r="AT346" s="240" t="s">
        <v>126</v>
      </c>
      <c r="AU346" s="240" t="s">
        <v>76</v>
      </c>
      <c r="AY346" s="240" t="s">
        <v>125</v>
      </c>
      <c r="BE346" s="250">
        <f t="shared" si="16"/>
        <v>0</v>
      </c>
      <c r="BF346" s="250">
        <f t="shared" si="17"/>
        <v>0</v>
      </c>
      <c r="BG346" s="250">
        <f t="shared" si="18"/>
        <v>0</v>
      </c>
      <c r="BH346" s="250">
        <f t="shared" si="19"/>
        <v>0</v>
      </c>
      <c r="BI346" s="250">
        <f t="shared" si="20"/>
        <v>0</v>
      </c>
      <c r="BJ346" s="240" t="s">
        <v>80</v>
      </c>
      <c r="BK346" s="250">
        <f t="shared" si="21"/>
        <v>0</v>
      </c>
      <c r="BL346" s="240" t="s">
        <v>128</v>
      </c>
      <c r="BM346" s="240" t="s">
        <v>187</v>
      </c>
    </row>
    <row r="347" spans="1:65" s="249" customFormat="1" ht="31.5" customHeight="1">
      <c r="A347" s="87"/>
      <c r="B347" s="87"/>
      <c r="C347" s="641"/>
      <c r="D347" s="641"/>
      <c r="E347" s="762"/>
      <c r="F347" s="1085"/>
      <c r="G347" s="1085"/>
      <c r="H347" s="1085"/>
      <c r="I347" s="1085"/>
      <c r="J347" s="735"/>
      <c r="K347" s="736"/>
      <c r="L347" s="1100"/>
      <c r="M347" s="1100"/>
      <c r="N347" s="1100"/>
      <c r="O347" s="1100"/>
      <c r="P347" s="1100"/>
      <c r="Q347" s="1100"/>
      <c r="R347" s="87"/>
      <c r="S347" s="87"/>
      <c r="T347" s="483" t="s">
        <v>5</v>
      </c>
      <c r="U347" s="221" t="s">
        <v>36</v>
      </c>
      <c r="V347" s="408">
        <v>0</v>
      </c>
      <c r="W347" s="408">
        <f t="shared" si="13"/>
        <v>0</v>
      </c>
      <c r="X347" s="408">
        <v>0</v>
      </c>
      <c r="Y347" s="408">
        <f t="shared" si="14"/>
        <v>0</v>
      </c>
      <c r="Z347" s="408">
        <v>0</v>
      </c>
      <c r="AA347" s="409">
        <f t="shared" si="15"/>
        <v>0</v>
      </c>
      <c r="AR347" s="240" t="s">
        <v>128</v>
      </c>
      <c r="AT347" s="240" t="s">
        <v>126</v>
      </c>
      <c r="AU347" s="240" t="s">
        <v>76</v>
      </c>
      <c r="AY347" s="240" t="s">
        <v>125</v>
      </c>
      <c r="BE347" s="250">
        <f t="shared" si="16"/>
        <v>0</v>
      </c>
      <c r="BF347" s="250">
        <f t="shared" si="17"/>
        <v>0</v>
      </c>
      <c r="BG347" s="250">
        <f t="shared" si="18"/>
        <v>0</v>
      </c>
      <c r="BH347" s="250">
        <f t="shared" si="19"/>
        <v>0</v>
      </c>
      <c r="BI347" s="250">
        <f t="shared" si="20"/>
        <v>0</v>
      </c>
      <c r="BJ347" s="240" t="s">
        <v>80</v>
      </c>
      <c r="BK347" s="250">
        <f t="shared" si="21"/>
        <v>0</v>
      </c>
      <c r="BL347" s="240" t="s">
        <v>128</v>
      </c>
      <c r="BM347" s="240" t="s">
        <v>188</v>
      </c>
    </row>
    <row r="348" spans="1:65" s="249" customFormat="1" ht="44.25" customHeight="1">
      <c r="A348" s="87"/>
      <c r="B348" s="87"/>
      <c r="C348" s="87"/>
      <c r="D348" s="87"/>
      <c r="E348" s="87"/>
      <c r="F348" s="986"/>
      <c r="G348" s="1091"/>
      <c r="H348" s="1091"/>
      <c r="I348" s="1091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483" t="s">
        <v>5</v>
      </c>
      <c r="U348" s="526" t="s">
        <v>36</v>
      </c>
      <c r="V348" s="527">
        <v>0</v>
      </c>
      <c r="W348" s="527">
        <f t="shared" si="13"/>
        <v>0</v>
      </c>
      <c r="X348" s="527">
        <v>0</v>
      </c>
      <c r="Y348" s="527">
        <f t="shared" si="14"/>
        <v>0</v>
      </c>
      <c r="Z348" s="527">
        <v>0</v>
      </c>
      <c r="AA348" s="528">
        <f t="shared" si="15"/>
        <v>0</v>
      </c>
      <c r="AR348" s="240" t="s">
        <v>128</v>
      </c>
      <c r="AT348" s="240" t="s">
        <v>126</v>
      </c>
      <c r="AU348" s="240" t="s">
        <v>76</v>
      </c>
      <c r="AY348" s="240" t="s">
        <v>125</v>
      </c>
      <c r="BE348" s="250">
        <f t="shared" si="16"/>
        <v>0</v>
      </c>
      <c r="BF348" s="250">
        <f t="shared" si="17"/>
        <v>0</v>
      </c>
      <c r="BG348" s="250">
        <f t="shared" si="18"/>
        <v>0</v>
      </c>
      <c r="BH348" s="250">
        <f t="shared" si="19"/>
        <v>0</v>
      </c>
      <c r="BI348" s="250">
        <f t="shared" si="20"/>
        <v>0</v>
      </c>
      <c r="BJ348" s="240" t="s">
        <v>80</v>
      </c>
      <c r="BK348" s="250">
        <f t="shared" si="21"/>
        <v>0</v>
      </c>
      <c r="BL348" s="240" t="s">
        <v>128</v>
      </c>
      <c r="BM348" s="240" t="s">
        <v>189</v>
      </c>
    </row>
    <row r="349" spans="1:19" s="249" customFormat="1" ht="6.95" customHeight="1">
      <c r="A349" s="87"/>
      <c r="B349" s="87"/>
      <c r="C349" s="641"/>
      <c r="D349" s="641"/>
      <c r="E349" s="762"/>
      <c r="F349" s="1085"/>
      <c r="G349" s="1085"/>
      <c r="H349" s="1085"/>
      <c r="I349" s="1085"/>
      <c r="J349" s="735"/>
      <c r="K349" s="736"/>
      <c r="L349" s="1100"/>
      <c r="M349" s="1100"/>
      <c r="N349" s="1100"/>
      <c r="O349" s="1100"/>
      <c r="P349" s="1100"/>
      <c r="Q349" s="1100"/>
      <c r="R349" s="87"/>
      <c r="S349" s="87"/>
    </row>
    <row r="350" spans="1:19" ht="13.5">
      <c r="A350" s="215"/>
      <c r="B350" s="215"/>
      <c r="C350" s="87"/>
      <c r="D350" s="87"/>
      <c r="E350" s="87"/>
      <c r="F350" s="986"/>
      <c r="G350" s="1091"/>
      <c r="H350" s="1091"/>
      <c r="I350" s="1091"/>
      <c r="J350" s="87"/>
      <c r="K350" s="87"/>
      <c r="L350" s="87"/>
      <c r="M350" s="87"/>
      <c r="N350" s="87"/>
      <c r="O350" s="87"/>
      <c r="P350" s="87"/>
      <c r="Q350" s="87"/>
      <c r="R350" s="215"/>
      <c r="S350" s="215"/>
    </row>
    <row r="351" spans="1:19" ht="13.5">
      <c r="A351" s="215"/>
      <c r="B351" s="215"/>
      <c r="C351" s="641"/>
      <c r="D351" s="641"/>
      <c r="E351" s="762"/>
      <c r="F351" s="1085"/>
      <c r="G351" s="1085"/>
      <c r="H351" s="1085"/>
      <c r="I351" s="1085"/>
      <c r="J351" s="735"/>
      <c r="K351" s="736"/>
      <c r="L351" s="1100"/>
      <c r="M351" s="1100"/>
      <c r="N351" s="1100"/>
      <c r="O351" s="1100"/>
      <c r="P351" s="1100"/>
      <c r="Q351" s="1100"/>
      <c r="R351" s="215"/>
      <c r="S351" s="215"/>
    </row>
    <row r="352" spans="1:19" ht="13.5">
      <c r="A352" s="215"/>
      <c r="B352" s="215"/>
      <c r="C352" s="87"/>
      <c r="D352" s="87"/>
      <c r="E352" s="87"/>
      <c r="F352" s="986"/>
      <c r="G352" s="1091"/>
      <c r="H352" s="1091"/>
      <c r="I352" s="1091"/>
      <c r="J352" s="87"/>
      <c r="K352" s="87"/>
      <c r="L352" s="87"/>
      <c r="M352" s="87"/>
      <c r="N352" s="87"/>
      <c r="O352" s="87"/>
      <c r="P352" s="87"/>
      <c r="Q352" s="87"/>
      <c r="R352" s="215"/>
      <c r="S352" s="215"/>
    </row>
    <row r="353" spans="1:19" ht="13.5">
      <c r="A353" s="215"/>
      <c r="B353" s="215"/>
      <c r="C353" s="641"/>
      <c r="D353" s="641"/>
      <c r="E353" s="762"/>
      <c r="F353" s="1085"/>
      <c r="G353" s="1085"/>
      <c r="H353" s="1085"/>
      <c r="I353" s="1085"/>
      <c r="J353" s="735"/>
      <c r="K353" s="736"/>
      <c r="L353" s="1100"/>
      <c r="M353" s="1100"/>
      <c r="N353" s="1100"/>
      <c r="O353" s="1100"/>
      <c r="P353" s="1100"/>
      <c r="Q353" s="1100"/>
      <c r="R353" s="215"/>
      <c r="S353" s="215"/>
    </row>
    <row r="354" spans="1:19" ht="13.5">
      <c r="A354" s="215"/>
      <c r="B354" s="215"/>
      <c r="C354" s="87"/>
      <c r="D354" s="87"/>
      <c r="E354" s="87"/>
      <c r="F354" s="986"/>
      <c r="G354" s="1091"/>
      <c r="H354" s="1091"/>
      <c r="I354" s="1091"/>
      <c r="J354" s="87"/>
      <c r="K354" s="87"/>
      <c r="L354" s="87"/>
      <c r="M354" s="87"/>
      <c r="N354" s="87"/>
      <c r="O354" s="87"/>
      <c r="P354" s="87"/>
      <c r="Q354" s="87"/>
      <c r="R354" s="215"/>
      <c r="S354" s="215"/>
    </row>
    <row r="355" spans="1:19" ht="13.5">
      <c r="A355" s="215"/>
      <c r="B355" s="215"/>
      <c r="C355" s="641"/>
      <c r="D355" s="641"/>
      <c r="E355" s="762"/>
      <c r="F355" s="1085"/>
      <c r="G355" s="1085"/>
      <c r="H355" s="1085"/>
      <c r="I355" s="1085"/>
      <c r="J355" s="735"/>
      <c r="K355" s="736"/>
      <c r="L355" s="1100"/>
      <c r="M355" s="1100"/>
      <c r="N355" s="1100"/>
      <c r="O355" s="1100"/>
      <c r="P355" s="1100"/>
      <c r="Q355" s="1100"/>
      <c r="R355" s="215"/>
      <c r="S355" s="215"/>
    </row>
    <row r="356" spans="1:19" ht="13.5">
      <c r="A356" s="215"/>
      <c r="B356" s="215"/>
      <c r="C356" s="87"/>
      <c r="D356" s="87"/>
      <c r="E356" s="87"/>
      <c r="F356" s="986"/>
      <c r="G356" s="1091"/>
      <c r="H356" s="1091"/>
      <c r="I356" s="1091"/>
      <c r="J356" s="87"/>
      <c r="K356" s="87"/>
      <c r="L356" s="87"/>
      <c r="M356" s="87"/>
      <c r="N356" s="87"/>
      <c r="O356" s="87"/>
      <c r="P356" s="87"/>
      <c r="Q356" s="87"/>
      <c r="R356" s="215"/>
      <c r="S356" s="215"/>
    </row>
    <row r="357" spans="1:19" ht="18">
      <c r="A357" s="215"/>
      <c r="B357" s="215"/>
      <c r="C357" s="181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971"/>
      <c r="O357" s="926"/>
      <c r="P357" s="926"/>
      <c r="Q357" s="926"/>
      <c r="R357" s="215"/>
      <c r="S357" s="215"/>
    </row>
    <row r="358" spans="1:19" ht="13.5">
      <c r="A358" s="215"/>
      <c r="B358" s="215"/>
      <c r="C358" s="641"/>
      <c r="D358" s="641"/>
      <c r="E358" s="762"/>
      <c r="F358" s="1085"/>
      <c r="G358" s="1085"/>
      <c r="H358" s="1085"/>
      <c r="I358" s="1085"/>
      <c r="J358" s="735"/>
      <c r="K358" s="736"/>
      <c r="L358" s="1100"/>
      <c r="M358" s="1100"/>
      <c r="N358" s="1100"/>
      <c r="O358" s="1100"/>
      <c r="P358" s="1100"/>
      <c r="Q358" s="1100"/>
      <c r="R358" s="215"/>
      <c r="S358" s="215"/>
    </row>
    <row r="359" spans="1:19" ht="13.5">
      <c r="A359" s="215"/>
      <c r="B359" s="215"/>
      <c r="C359" s="87"/>
      <c r="D359" s="87"/>
      <c r="E359" s="87"/>
      <c r="F359" s="986"/>
      <c r="G359" s="1091"/>
      <c r="H359" s="1091"/>
      <c r="I359" s="1091"/>
      <c r="J359" s="87"/>
      <c r="K359" s="87"/>
      <c r="L359" s="87"/>
      <c r="M359" s="87"/>
      <c r="N359" s="87"/>
      <c r="O359" s="87"/>
      <c r="P359" s="87"/>
      <c r="Q359" s="87"/>
      <c r="R359" s="215"/>
      <c r="S359" s="215"/>
    </row>
    <row r="360" spans="1:19" ht="13.5">
      <c r="A360" s="215"/>
      <c r="B360" s="215"/>
      <c r="C360" s="641"/>
      <c r="D360" s="641"/>
      <c r="E360" s="762"/>
      <c r="F360" s="1085"/>
      <c r="G360" s="1085"/>
      <c r="H360" s="1085"/>
      <c r="I360" s="1085"/>
      <c r="J360" s="735"/>
      <c r="K360" s="736"/>
      <c r="L360" s="1100"/>
      <c r="M360" s="1100"/>
      <c r="N360" s="1100"/>
      <c r="O360" s="1100"/>
      <c r="P360" s="1100"/>
      <c r="Q360" s="1100"/>
      <c r="R360" s="215"/>
      <c r="S360" s="215"/>
    </row>
    <row r="361" spans="1:19" ht="13.5">
      <c r="A361" s="215"/>
      <c r="B361" s="215"/>
      <c r="C361" s="87"/>
      <c r="D361" s="87"/>
      <c r="E361" s="87"/>
      <c r="F361" s="986"/>
      <c r="G361" s="1091"/>
      <c r="H361" s="1091"/>
      <c r="I361" s="1091"/>
      <c r="J361" s="87"/>
      <c r="K361" s="87"/>
      <c r="L361" s="87"/>
      <c r="M361" s="87"/>
      <c r="N361" s="87"/>
      <c r="O361" s="87"/>
      <c r="P361" s="87"/>
      <c r="Q361" s="87"/>
      <c r="R361" s="215"/>
      <c r="S361" s="215"/>
    </row>
    <row r="362" spans="1:19" ht="18">
      <c r="A362" s="215"/>
      <c r="B362" s="215"/>
      <c r="C362" s="181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971"/>
      <c r="O362" s="926"/>
      <c r="P362" s="926"/>
      <c r="Q362" s="926"/>
      <c r="R362" s="215"/>
      <c r="S362" s="215"/>
    </row>
    <row r="363" spans="1:19" ht="13.5">
      <c r="A363" s="215"/>
      <c r="B363" s="215"/>
      <c r="C363" s="641"/>
      <c r="D363" s="641"/>
      <c r="E363" s="762"/>
      <c r="F363" s="1085"/>
      <c r="G363" s="1085"/>
      <c r="H363" s="1085"/>
      <c r="I363" s="1085"/>
      <c r="J363" s="735"/>
      <c r="K363" s="736"/>
      <c r="L363" s="1100"/>
      <c r="M363" s="1100"/>
      <c r="N363" s="1100"/>
      <c r="O363" s="1100"/>
      <c r="P363" s="1100"/>
      <c r="Q363" s="1100"/>
      <c r="R363" s="215"/>
      <c r="S363" s="215"/>
    </row>
    <row r="364" spans="1:19" ht="13.5">
      <c r="A364" s="215"/>
      <c r="B364" s="215"/>
      <c r="C364" s="87"/>
      <c r="D364" s="87"/>
      <c r="E364" s="87"/>
      <c r="F364" s="986"/>
      <c r="G364" s="1091"/>
      <c r="H364" s="1091"/>
      <c r="I364" s="1091"/>
      <c r="J364" s="87"/>
      <c r="K364" s="87"/>
      <c r="L364" s="87"/>
      <c r="M364" s="87"/>
      <c r="N364" s="87"/>
      <c r="O364" s="87"/>
      <c r="P364" s="87"/>
      <c r="Q364" s="87"/>
      <c r="R364" s="215"/>
      <c r="S364" s="215"/>
    </row>
    <row r="365" spans="1:19" ht="13.5">
      <c r="A365" s="215"/>
      <c r="B365" s="215"/>
      <c r="C365" s="641"/>
      <c r="D365" s="641"/>
      <c r="E365" s="762"/>
      <c r="F365" s="1085"/>
      <c r="G365" s="1085"/>
      <c r="H365" s="1085"/>
      <c r="I365" s="1085"/>
      <c r="J365" s="735"/>
      <c r="K365" s="736"/>
      <c r="L365" s="1100"/>
      <c r="M365" s="1100"/>
      <c r="N365" s="1100"/>
      <c r="O365" s="1100"/>
      <c r="P365" s="1100"/>
      <c r="Q365" s="1100"/>
      <c r="R365" s="215"/>
      <c r="S365" s="215"/>
    </row>
    <row r="366" spans="1:19" ht="13.5">
      <c r="A366" s="215"/>
      <c r="B366" s="215"/>
      <c r="C366" s="87"/>
      <c r="D366" s="87"/>
      <c r="E366" s="87"/>
      <c r="F366" s="986"/>
      <c r="G366" s="1091"/>
      <c r="H366" s="1091"/>
      <c r="I366" s="1091"/>
      <c r="J366" s="87"/>
      <c r="K366" s="87"/>
      <c r="L366" s="87"/>
      <c r="M366" s="87"/>
      <c r="N366" s="87"/>
      <c r="O366" s="87"/>
      <c r="P366" s="87"/>
      <c r="Q366" s="87"/>
      <c r="R366" s="215"/>
      <c r="S366" s="215"/>
    </row>
    <row r="367" spans="1:19" ht="13.5">
      <c r="A367" s="215"/>
      <c r="B367" s="215"/>
      <c r="C367" s="641"/>
      <c r="D367" s="641"/>
      <c r="E367" s="762"/>
      <c r="F367" s="1085"/>
      <c r="G367" s="1085"/>
      <c r="H367" s="1085"/>
      <c r="I367" s="1085"/>
      <c r="J367" s="735"/>
      <c r="K367" s="736"/>
      <c r="L367" s="1100"/>
      <c r="M367" s="1100"/>
      <c r="N367" s="1100"/>
      <c r="O367" s="1100"/>
      <c r="P367" s="1100"/>
      <c r="Q367" s="1100"/>
      <c r="R367" s="215"/>
      <c r="S367" s="215"/>
    </row>
    <row r="368" spans="1:19" ht="13.5">
      <c r="A368" s="215"/>
      <c r="B368" s="215"/>
      <c r="C368" s="87"/>
      <c r="D368" s="87"/>
      <c r="E368" s="87"/>
      <c r="F368" s="986"/>
      <c r="G368" s="1091"/>
      <c r="H368" s="1091"/>
      <c r="I368" s="1091"/>
      <c r="J368" s="87"/>
      <c r="K368" s="87"/>
      <c r="L368" s="87"/>
      <c r="M368" s="87"/>
      <c r="N368" s="87"/>
      <c r="O368" s="87"/>
      <c r="P368" s="87"/>
      <c r="Q368" s="87"/>
      <c r="R368" s="215"/>
      <c r="S368" s="215"/>
    </row>
    <row r="369" spans="1:19" ht="13.5">
      <c r="A369" s="215"/>
      <c r="B369" s="215"/>
      <c r="C369" s="641"/>
      <c r="D369" s="641"/>
      <c r="E369" s="762"/>
      <c r="F369" s="1085"/>
      <c r="G369" s="1085"/>
      <c r="H369" s="1085"/>
      <c r="I369" s="1085"/>
      <c r="J369" s="735"/>
      <c r="K369" s="736"/>
      <c r="L369" s="1100"/>
      <c r="M369" s="1100"/>
      <c r="N369" s="1100"/>
      <c r="O369" s="1100"/>
      <c r="P369" s="1100"/>
      <c r="Q369" s="1100"/>
      <c r="R369" s="215"/>
      <c r="S369" s="215"/>
    </row>
    <row r="370" spans="1:19" ht="13.5">
      <c r="A370" s="215"/>
      <c r="B370" s="215"/>
      <c r="C370" s="87"/>
      <c r="D370" s="87"/>
      <c r="E370" s="87"/>
      <c r="F370" s="986"/>
      <c r="G370" s="1091"/>
      <c r="H370" s="1091"/>
      <c r="I370" s="1091"/>
      <c r="J370" s="87"/>
      <c r="K370" s="87"/>
      <c r="L370" s="87"/>
      <c r="M370" s="87"/>
      <c r="N370" s="87"/>
      <c r="O370" s="87"/>
      <c r="P370" s="87"/>
      <c r="Q370" s="87"/>
      <c r="R370" s="215"/>
      <c r="S370" s="215"/>
    </row>
    <row r="371" spans="1:19" ht="18">
      <c r="A371" s="215"/>
      <c r="B371" s="215"/>
      <c r="C371" s="181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971"/>
      <c r="O371" s="926"/>
      <c r="P371" s="926"/>
      <c r="Q371" s="926"/>
      <c r="R371" s="215"/>
      <c r="S371" s="215"/>
    </row>
    <row r="372" spans="1:19" ht="13.5">
      <c r="A372" s="215"/>
      <c r="B372" s="215"/>
      <c r="C372" s="641"/>
      <c r="D372" s="641"/>
      <c r="E372" s="762"/>
      <c r="F372" s="1085"/>
      <c r="G372" s="1085"/>
      <c r="H372" s="1085"/>
      <c r="I372" s="1085"/>
      <c r="J372" s="735"/>
      <c r="K372" s="736"/>
      <c r="L372" s="1100"/>
      <c r="M372" s="1100"/>
      <c r="N372" s="1100"/>
      <c r="O372" s="1100"/>
      <c r="P372" s="1100"/>
      <c r="Q372" s="1100"/>
      <c r="R372" s="215"/>
      <c r="S372" s="215"/>
    </row>
    <row r="373" spans="1:19" ht="13.5">
      <c r="A373" s="215"/>
      <c r="B373" s="215"/>
      <c r="C373" s="641"/>
      <c r="D373" s="641"/>
      <c r="E373" s="762"/>
      <c r="F373" s="1085"/>
      <c r="G373" s="1085"/>
      <c r="H373" s="1085"/>
      <c r="I373" s="1085"/>
      <c r="J373" s="735"/>
      <c r="K373" s="736"/>
      <c r="L373" s="1100"/>
      <c r="M373" s="1100"/>
      <c r="N373" s="1100"/>
      <c r="O373" s="1100"/>
      <c r="P373" s="1100"/>
      <c r="Q373" s="1100"/>
      <c r="R373" s="215"/>
      <c r="S373" s="215"/>
    </row>
    <row r="374" spans="1:19" ht="13.5">
      <c r="A374" s="215"/>
      <c r="B374" s="215"/>
      <c r="C374" s="641"/>
      <c r="D374" s="641"/>
      <c r="E374" s="762"/>
      <c r="F374" s="1085"/>
      <c r="G374" s="1085"/>
      <c r="H374" s="1085"/>
      <c r="I374" s="1085"/>
      <c r="J374" s="735"/>
      <c r="K374" s="736"/>
      <c r="L374" s="1100"/>
      <c r="M374" s="1100"/>
      <c r="N374" s="1100"/>
      <c r="O374" s="1100"/>
      <c r="P374" s="1100"/>
      <c r="Q374" s="1100"/>
      <c r="R374" s="215"/>
      <c r="S374" s="215"/>
    </row>
    <row r="375" spans="1:19" ht="13.5">
      <c r="A375" s="215"/>
      <c r="B375" s="215"/>
      <c r="C375" s="641"/>
      <c r="D375" s="641"/>
      <c r="E375" s="762"/>
      <c r="F375" s="1085"/>
      <c r="G375" s="1085"/>
      <c r="H375" s="1085"/>
      <c r="I375" s="1085"/>
      <c r="J375" s="735"/>
      <c r="K375" s="736"/>
      <c r="L375" s="1100"/>
      <c r="M375" s="1100"/>
      <c r="N375" s="1100"/>
      <c r="O375" s="1100"/>
      <c r="P375" s="1100"/>
      <c r="Q375" s="1100"/>
      <c r="R375" s="215"/>
      <c r="S375" s="215"/>
    </row>
    <row r="376" spans="1:19" ht="13.5">
      <c r="A376" s="215"/>
      <c r="B376" s="215"/>
      <c r="C376" s="641"/>
      <c r="D376" s="641"/>
      <c r="E376" s="762"/>
      <c r="F376" s="1085"/>
      <c r="G376" s="1085"/>
      <c r="H376" s="1085"/>
      <c r="I376" s="1085"/>
      <c r="J376" s="735"/>
      <c r="K376" s="736"/>
      <c r="L376" s="1100"/>
      <c r="M376" s="1100"/>
      <c r="N376" s="1100"/>
      <c r="O376" s="1100"/>
      <c r="P376" s="1100"/>
      <c r="Q376" s="1100"/>
      <c r="R376" s="215"/>
      <c r="S376" s="215"/>
    </row>
    <row r="377" spans="1:19" ht="13.5">
      <c r="A377" s="215"/>
      <c r="B377" s="215"/>
      <c r="C377" s="641"/>
      <c r="D377" s="641"/>
      <c r="E377" s="762"/>
      <c r="F377" s="1085"/>
      <c r="G377" s="1085"/>
      <c r="H377" s="1085"/>
      <c r="I377" s="1085"/>
      <c r="J377" s="735"/>
      <c r="K377" s="736"/>
      <c r="L377" s="1100"/>
      <c r="M377" s="1100"/>
      <c r="N377" s="1100"/>
      <c r="O377" s="1100"/>
      <c r="P377" s="1100"/>
      <c r="Q377" s="1100"/>
      <c r="R377" s="215"/>
      <c r="S377" s="215"/>
    </row>
    <row r="378" spans="1:19" ht="13.5">
      <c r="A378" s="215"/>
      <c r="B378" s="215"/>
      <c r="C378" s="641"/>
      <c r="D378" s="641"/>
      <c r="E378" s="762"/>
      <c r="F378" s="1085"/>
      <c r="G378" s="1085"/>
      <c r="H378" s="1085"/>
      <c r="I378" s="1085"/>
      <c r="J378" s="735"/>
      <c r="K378" s="736"/>
      <c r="L378" s="1100"/>
      <c r="M378" s="1100"/>
      <c r="N378" s="1100"/>
      <c r="O378" s="1100"/>
      <c r="P378" s="1100"/>
      <c r="Q378" s="1100"/>
      <c r="R378" s="215"/>
      <c r="S378" s="215"/>
    </row>
    <row r="379" spans="1:19" ht="13.5">
      <c r="A379" s="215"/>
      <c r="B379" s="215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215"/>
      <c r="S379" s="215"/>
    </row>
    <row r="380" spans="1:19" ht="13.5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</row>
  </sheetData>
  <sheetProtection sheet="1" objects="1" scenarios="1"/>
  <mergeCells count="530">
    <mergeCell ref="F232:I232"/>
    <mergeCell ref="N235:Q235"/>
    <mergeCell ref="F234:I234"/>
    <mergeCell ref="N234:Q234"/>
    <mergeCell ref="N247:Q247"/>
    <mergeCell ref="F249:I249"/>
    <mergeCell ref="N249:Q249"/>
    <mergeCell ref="F245:I245"/>
    <mergeCell ref="F238:I238"/>
    <mergeCell ref="F239:I239"/>
    <mergeCell ref="F240:I240"/>
    <mergeCell ref="F241:I241"/>
    <mergeCell ref="F242:I242"/>
    <mergeCell ref="N228:Q228"/>
    <mergeCell ref="N229:Q229"/>
    <mergeCell ref="N230:Q230"/>
    <mergeCell ref="N231:Q231"/>
    <mergeCell ref="N232:Q232"/>
    <mergeCell ref="N241:Q241"/>
    <mergeCell ref="N242:Q242"/>
    <mergeCell ref="N244:Q244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02:Q202"/>
    <mergeCell ref="N203:Q203"/>
    <mergeCell ref="N204:Q204"/>
    <mergeCell ref="N205:Q205"/>
    <mergeCell ref="N206:Q206"/>
    <mergeCell ref="N207:Q207"/>
    <mergeCell ref="N208:Q208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181:Q181"/>
    <mergeCell ref="N182:Q182"/>
    <mergeCell ref="N183:Q183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63:Q163"/>
    <mergeCell ref="N164:Q164"/>
    <mergeCell ref="N165:Q165"/>
    <mergeCell ref="N166:Q166"/>
    <mergeCell ref="N175:Q175"/>
    <mergeCell ref="N176:Q176"/>
    <mergeCell ref="N177:Q177"/>
    <mergeCell ref="N178:Q178"/>
    <mergeCell ref="N180:Q180"/>
    <mergeCell ref="N131:Q131"/>
    <mergeCell ref="N143:Q143"/>
    <mergeCell ref="N144:Q144"/>
    <mergeCell ref="N145:Q145"/>
    <mergeCell ref="N146:Q146"/>
    <mergeCell ref="N147:Q147"/>
    <mergeCell ref="N148:Q148"/>
    <mergeCell ref="N149:Q149"/>
    <mergeCell ref="N133:Q133"/>
    <mergeCell ref="N134:Q134"/>
    <mergeCell ref="N136:Q136"/>
    <mergeCell ref="N137:Q137"/>
    <mergeCell ref="N138:Q138"/>
    <mergeCell ref="N139:Q139"/>
    <mergeCell ref="N140:Q140"/>
    <mergeCell ref="N141:Q141"/>
    <mergeCell ref="N142:Q14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F188:I188"/>
    <mergeCell ref="F153:I153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31:I131"/>
    <mergeCell ref="F130:I130"/>
    <mergeCell ref="F134:I134"/>
    <mergeCell ref="F165:I165"/>
    <mergeCell ref="F166:I166"/>
    <mergeCell ref="F229:I229"/>
    <mergeCell ref="F244:I244"/>
    <mergeCell ref="F231:I231"/>
    <mergeCell ref="F151:I151"/>
    <mergeCell ref="F174:I174"/>
    <mergeCell ref="F175:I175"/>
    <mergeCell ref="F204:I204"/>
    <mergeCell ref="F205:I205"/>
    <mergeCell ref="F152:I152"/>
    <mergeCell ref="F173:I173"/>
    <mergeCell ref="F203:I203"/>
    <mergeCell ref="F225:I225"/>
    <mergeCell ref="F226:I226"/>
    <mergeCell ref="F230:I230"/>
    <mergeCell ref="F196:I196"/>
    <mergeCell ref="F197:I197"/>
    <mergeCell ref="F227:I227"/>
    <mergeCell ref="F228:I228"/>
    <mergeCell ref="F215:I215"/>
    <mergeCell ref="F218:I218"/>
    <mergeCell ref="F219:I219"/>
    <mergeCell ref="F220:I220"/>
    <mergeCell ref="F202:I202"/>
    <mergeCell ref="F172:I172"/>
    <mergeCell ref="F216:I216"/>
    <mergeCell ref="F217:I217"/>
    <mergeCell ref="F224:I224"/>
    <mergeCell ref="F221:I221"/>
    <mergeCell ref="F222:I222"/>
    <mergeCell ref="F223:I223"/>
    <mergeCell ref="F198:I198"/>
    <mergeCell ref="F199:I199"/>
    <mergeCell ref="F200:I200"/>
    <mergeCell ref="F210:I210"/>
    <mergeCell ref="F211:I211"/>
    <mergeCell ref="F214:I214"/>
    <mergeCell ref="F212:I212"/>
    <mergeCell ref="F206:I206"/>
    <mergeCell ref="F207:I207"/>
    <mergeCell ref="F208:I208"/>
    <mergeCell ref="H1:K1"/>
    <mergeCell ref="N290:Q290"/>
    <mergeCell ref="N238:Q238"/>
    <mergeCell ref="F344:I344"/>
    <mergeCell ref="N345:Q345"/>
    <mergeCell ref="F340:I340"/>
    <mergeCell ref="F341:I341"/>
    <mergeCell ref="L341:M341"/>
    <mergeCell ref="F338:I338"/>
    <mergeCell ref="F339:I339"/>
    <mergeCell ref="L339:M339"/>
    <mergeCell ref="N239:Q239"/>
    <mergeCell ref="N284:Q284"/>
    <mergeCell ref="N296:Q296"/>
    <mergeCell ref="N286:Q286"/>
    <mergeCell ref="N245:Q245"/>
    <mergeCell ref="F342:I342"/>
    <mergeCell ref="F343:I343"/>
    <mergeCell ref="L343:M343"/>
    <mergeCell ref="N343:Q343"/>
    <mergeCell ref="F345:I345"/>
    <mergeCell ref="N332:Q332"/>
    <mergeCell ref="F324:I324"/>
    <mergeCell ref="F320:I320"/>
    <mergeCell ref="F352:I352"/>
    <mergeCell ref="N347:Q347"/>
    <mergeCell ref="S2:AC2"/>
    <mergeCell ref="N289:Q289"/>
    <mergeCell ref="F295:I295"/>
    <mergeCell ref="F292:I292"/>
    <mergeCell ref="L292:M292"/>
    <mergeCell ref="F334:I334"/>
    <mergeCell ref="F335:I335"/>
    <mergeCell ref="L335:M335"/>
    <mergeCell ref="F336:I336"/>
    <mergeCell ref="N330:Q330"/>
    <mergeCell ref="F333:I333"/>
    <mergeCell ref="L324:M324"/>
    <mergeCell ref="F327:I327"/>
    <mergeCell ref="F328:I328"/>
    <mergeCell ref="L328:M328"/>
    <mergeCell ref="N317:Q317"/>
    <mergeCell ref="F314:I314"/>
    <mergeCell ref="F315:I315"/>
    <mergeCell ref="N324:Q324"/>
    <mergeCell ref="L319:M319"/>
    <mergeCell ref="N319:Q319"/>
    <mergeCell ref="F318:I318"/>
    <mergeCell ref="L345:M345"/>
    <mergeCell ref="F348:I348"/>
    <mergeCell ref="F347:I347"/>
    <mergeCell ref="L347:M347"/>
    <mergeCell ref="F350:I350"/>
    <mergeCell ref="F351:I351"/>
    <mergeCell ref="F346:I346"/>
    <mergeCell ref="N337:Q337"/>
    <mergeCell ref="N339:Q339"/>
    <mergeCell ref="N351:Q351"/>
    <mergeCell ref="N377:Q377"/>
    <mergeCell ref="N376:Q376"/>
    <mergeCell ref="N358:Q358"/>
    <mergeCell ref="N378:Q378"/>
    <mergeCell ref="N369:Q369"/>
    <mergeCell ref="N374:Q374"/>
    <mergeCell ref="N371:Q371"/>
    <mergeCell ref="N372:Q372"/>
    <mergeCell ref="N367:Q367"/>
    <mergeCell ref="N363:Q363"/>
    <mergeCell ref="N362:Q362"/>
    <mergeCell ref="N365:Q365"/>
    <mergeCell ref="N375:Q375"/>
    <mergeCell ref="F363:I363"/>
    <mergeCell ref="F349:I349"/>
    <mergeCell ref="N373:Q373"/>
    <mergeCell ref="L374:M374"/>
    <mergeCell ref="L365:M365"/>
    <mergeCell ref="F367:I367"/>
    <mergeCell ref="L372:M372"/>
    <mergeCell ref="F370:I370"/>
    <mergeCell ref="F368:I368"/>
    <mergeCell ref="F366:I366"/>
    <mergeCell ref="L349:M349"/>
    <mergeCell ref="F365:I365"/>
    <mergeCell ref="L363:M363"/>
    <mergeCell ref="L360:M360"/>
    <mergeCell ref="N360:Q360"/>
    <mergeCell ref="F358:I358"/>
    <mergeCell ref="L358:M358"/>
    <mergeCell ref="L369:M369"/>
    <mergeCell ref="L367:M367"/>
    <mergeCell ref="N357:Q357"/>
    <mergeCell ref="N349:Q349"/>
    <mergeCell ref="F353:I353"/>
    <mergeCell ref="L353:M353"/>
    <mergeCell ref="F361:I361"/>
    <mergeCell ref="F364:I364"/>
    <mergeCell ref="F378:I378"/>
    <mergeCell ref="L378:M378"/>
    <mergeCell ref="F373:I373"/>
    <mergeCell ref="L373:M373"/>
    <mergeCell ref="F369:I369"/>
    <mergeCell ref="F372:I372"/>
    <mergeCell ref="F375:I375"/>
    <mergeCell ref="F377:I377"/>
    <mergeCell ref="L377:M377"/>
    <mergeCell ref="F376:I376"/>
    <mergeCell ref="L376:M376"/>
    <mergeCell ref="L375:M375"/>
    <mergeCell ref="F374:I374"/>
    <mergeCell ref="F359:I359"/>
    <mergeCell ref="F360:I360"/>
    <mergeCell ref="F337:I337"/>
    <mergeCell ref="L337:M337"/>
    <mergeCell ref="L333:M333"/>
    <mergeCell ref="F331:I331"/>
    <mergeCell ref="L326:M326"/>
    <mergeCell ref="N328:Q328"/>
    <mergeCell ref="F325:I325"/>
    <mergeCell ref="F326:I326"/>
    <mergeCell ref="N326:Q326"/>
    <mergeCell ref="F329:I329"/>
    <mergeCell ref="F330:I330"/>
    <mergeCell ref="L330:M330"/>
    <mergeCell ref="L351:M351"/>
    <mergeCell ref="F354:I354"/>
    <mergeCell ref="N333:Q333"/>
    <mergeCell ref="N335:Q335"/>
    <mergeCell ref="N341:Q341"/>
    <mergeCell ref="L355:M355"/>
    <mergeCell ref="N355:Q355"/>
    <mergeCell ref="F356:I356"/>
    <mergeCell ref="N353:Q353"/>
    <mergeCell ref="F355:I355"/>
    <mergeCell ref="N323:Q323"/>
    <mergeCell ref="F312:I312"/>
    <mergeCell ref="F313:I313"/>
    <mergeCell ref="L313:M313"/>
    <mergeCell ref="N313:Q313"/>
    <mergeCell ref="F316:I316"/>
    <mergeCell ref="F317:I317"/>
    <mergeCell ref="L317:M317"/>
    <mergeCell ref="L321:M321"/>
    <mergeCell ref="N321:Q321"/>
    <mergeCell ref="L315:M315"/>
    <mergeCell ref="N315:Q315"/>
    <mergeCell ref="F319:I319"/>
    <mergeCell ref="F322:I322"/>
    <mergeCell ref="F306:I306"/>
    <mergeCell ref="F304:I304"/>
    <mergeCell ref="L304:M304"/>
    <mergeCell ref="N304:Q304"/>
    <mergeCell ref="F302:I302"/>
    <mergeCell ref="L302:M302"/>
    <mergeCell ref="F305:I305"/>
    <mergeCell ref="L305:M305"/>
    <mergeCell ref="F321:I321"/>
    <mergeCell ref="F311:I311"/>
    <mergeCell ref="L311:M311"/>
    <mergeCell ref="N311:Q311"/>
    <mergeCell ref="F307:I307"/>
    <mergeCell ref="L307:M307"/>
    <mergeCell ref="N307:Q307"/>
    <mergeCell ref="F309:I309"/>
    <mergeCell ref="L309:M309"/>
    <mergeCell ref="N309:Q309"/>
    <mergeCell ref="F310:I310"/>
    <mergeCell ref="L310:M310"/>
    <mergeCell ref="N310:Q310"/>
    <mergeCell ref="F308:I308"/>
    <mergeCell ref="N305:Q305"/>
    <mergeCell ref="N302:Q302"/>
    <mergeCell ref="L296:M296"/>
    <mergeCell ref="F297:I297"/>
    <mergeCell ref="F289:I289"/>
    <mergeCell ref="F294:I294"/>
    <mergeCell ref="L294:M294"/>
    <mergeCell ref="L291:M291"/>
    <mergeCell ref="N291:Q291"/>
    <mergeCell ref="N294:Q294"/>
    <mergeCell ref="F301:I301"/>
    <mergeCell ref="F298:I298"/>
    <mergeCell ref="N300:Q300"/>
    <mergeCell ref="F293:I293"/>
    <mergeCell ref="F290:I290"/>
    <mergeCell ref="L298:M298"/>
    <mergeCell ref="F303:I303"/>
    <mergeCell ref="L284:M284"/>
    <mergeCell ref="F286:I286"/>
    <mergeCell ref="F285:I285"/>
    <mergeCell ref="L285:M285"/>
    <mergeCell ref="N292:Q292"/>
    <mergeCell ref="F282:I282"/>
    <mergeCell ref="F284:I284"/>
    <mergeCell ref="L286:M286"/>
    <mergeCell ref="L300:M300"/>
    <mergeCell ref="N298:Q298"/>
    <mergeCell ref="L289:M289"/>
    <mergeCell ref="L290:M290"/>
    <mergeCell ref="F288:I288"/>
    <mergeCell ref="L282:M282"/>
    <mergeCell ref="F283:I283"/>
    <mergeCell ref="L287:M287"/>
    <mergeCell ref="L288:M288"/>
    <mergeCell ref="F287:I287"/>
    <mergeCell ref="F299:I299"/>
    <mergeCell ref="F300:I300"/>
    <mergeCell ref="N283:Q283"/>
    <mergeCell ref="N282:Q282"/>
    <mergeCell ref="L283:M283"/>
    <mergeCell ref="N279:Q279"/>
    <mergeCell ref="F247:I247"/>
    <mergeCell ref="N288:Q288"/>
    <mergeCell ref="N287:Q287"/>
    <mergeCell ref="F296:I296"/>
    <mergeCell ref="F79:P79"/>
    <mergeCell ref="F233:I233"/>
    <mergeCell ref="H33:J33"/>
    <mergeCell ref="N240:Q240"/>
    <mergeCell ref="F80:P80"/>
    <mergeCell ref="N243:Q243"/>
    <mergeCell ref="F246:I246"/>
    <mergeCell ref="N246:Q246"/>
    <mergeCell ref="F236:I236"/>
    <mergeCell ref="N236:Q236"/>
    <mergeCell ref="F235:I235"/>
    <mergeCell ref="N112:Q112"/>
    <mergeCell ref="N233:Q233"/>
    <mergeCell ref="N285:Q285"/>
    <mergeCell ref="F291:I291"/>
    <mergeCell ref="F280:I280"/>
    <mergeCell ref="N280:Q280"/>
    <mergeCell ref="L280:M280"/>
    <mergeCell ref="F281:I281"/>
    <mergeCell ref="M109:Q109"/>
    <mergeCell ref="H35:J35"/>
    <mergeCell ref="M35:P35"/>
    <mergeCell ref="M36:P36"/>
    <mergeCell ref="F78:P78"/>
    <mergeCell ref="F8:P8"/>
    <mergeCell ref="O10:P10"/>
    <mergeCell ref="O12:P12"/>
    <mergeCell ref="O13:P13"/>
    <mergeCell ref="M37:P37"/>
    <mergeCell ref="H36:J36"/>
    <mergeCell ref="M85:Q85"/>
    <mergeCell ref="M34:P34"/>
    <mergeCell ref="L39:P39"/>
    <mergeCell ref="O21:P21"/>
    <mergeCell ref="O22:P22"/>
    <mergeCell ref="O15:P15"/>
    <mergeCell ref="O16:P16"/>
    <mergeCell ref="F82:J82"/>
    <mergeCell ref="N92:Q92"/>
    <mergeCell ref="F102:P102"/>
    <mergeCell ref="F104:P104"/>
    <mergeCell ref="L94:Q94"/>
    <mergeCell ref="F103:P103"/>
    <mergeCell ref="C100:Q100"/>
    <mergeCell ref="C2:Q2"/>
    <mergeCell ref="C4:Q4"/>
    <mergeCell ref="F6:P6"/>
    <mergeCell ref="F7:P7"/>
    <mergeCell ref="M31:P31"/>
    <mergeCell ref="M106:P106"/>
    <mergeCell ref="F243:I243"/>
    <mergeCell ref="N111:Q111"/>
    <mergeCell ref="F115:I115"/>
    <mergeCell ref="N115:Q115"/>
    <mergeCell ref="F111:I111"/>
    <mergeCell ref="L111:M111"/>
    <mergeCell ref="N113:Q113"/>
    <mergeCell ref="F125:I125"/>
    <mergeCell ref="F126:I126"/>
    <mergeCell ref="F127:I127"/>
    <mergeCell ref="F128:I128"/>
    <mergeCell ref="N116:Q116"/>
    <mergeCell ref="N117:Q117"/>
    <mergeCell ref="N118:Q118"/>
    <mergeCell ref="N119:Q119"/>
    <mergeCell ref="N120:Q120"/>
    <mergeCell ref="N121:Q121"/>
    <mergeCell ref="N122:Q122"/>
    <mergeCell ref="F201:I201"/>
    <mergeCell ref="F171:I171"/>
    <mergeCell ref="F157:I157"/>
    <mergeCell ref="F158:I158"/>
    <mergeCell ref="F213:I213"/>
    <mergeCell ref="E25:P25"/>
    <mergeCell ref="O18:P18"/>
    <mergeCell ref="O19:P19"/>
    <mergeCell ref="C76:Q76"/>
    <mergeCell ref="M28:P28"/>
    <mergeCell ref="M29:P29"/>
    <mergeCell ref="M33:P33"/>
    <mergeCell ref="N90:Q90"/>
    <mergeCell ref="F84:J84"/>
    <mergeCell ref="M84:Q84"/>
    <mergeCell ref="C87:G87"/>
    <mergeCell ref="N87:Q87"/>
    <mergeCell ref="N89:Q89"/>
    <mergeCell ref="H34:J34"/>
    <mergeCell ref="H37:J37"/>
    <mergeCell ref="M82:P82"/>
    <mergeCell ref="F195:I195"/>
    <mergeCell ref="M108:Q108"/>
    <mergeCell ref="N132:Q132"/>
    <mergeCell ref="F133:I133"/>
    <mergeCell ref="F154:I154"/>
    <mergeCell ref="F155:I155"/>
    <mergeCell ref="F176:I176"/>
    <mergeCell ref="F136:I136"/>
    <mergeCell ref="F137:I137"/>
    <mergeCell ref="F138:I138"/>
    <mergeCell ref="F139:I139"/>
    <mergeCell ref="F140:I140"/>
    <mergeCell ref="F150:I150"/>
    <mergeCell ref="F159:I159"/>
    <mergeCell ref="N150:Q150"/>
    <mergeCell ref="N151:Q151"/>
    <mergeCell ref="N152:Q152"/>
    <mergeCell ref="N153:Q153"/>
    <mergeCell ref="N154:Q154"/>
    <mergeCell ref="N155:Q155"/>
    <mergeCell ref="N157:Q157"/>
    <mergeCell ref="N158:Q158"/>
    <mergeCell ref="N159:Q159"/>
    <mergeCell ref="N160:Q160"/>
    <mergeCell ref="N161:Q161"/>
    <mergeCell ref="N162:Q162"/>
    <mergeCell ref="F121:I121"/>
    <mergeCell ref="F122:I122"/>
    <mergeCell ref="F123:I123"/>
    <mergeCell ref="F124:I124"/>
    <mergeCell ref="F190:I190"/>
    <mergeCell ref="F191:I191"/>
    <mergeCell ref="F192:I192"/>
    <mergeCell ref="F193:I193"/>
    <mergeCell ref="F116:I116"/>
    <mergeCell ref="F117:I117"/>
    <mergeCell ref="F118:I118"/>
    <mergeCell ref="F119:I119"/>
    <mergeCell ref="F120:I120"/>
    <mergeCell ref="F167:I167"/>
    <mergeCell ref="F168:I168"/>
    <mergeCell ref="F169:I169"/>
    <mergeCell ref="F170:I170"/>
    <mergeCell ref="F129:I129"/>
    <mergeCell ref="F132:I132"/>
    <mergeCell ref="F194:I194"/>
    <mergeCell ref="F178:I178"/>
    <mergeCell ref="F185:I185"/>
    <mergeCell ref="F187:I187"/>
    <mergeCell ref="F189:I189"/>
    <mergeCell ref="F160:I160"/>
    <mergeCell ref="F162:I162"/>
    <mergeCell ref="F163:I163"/>
    <mergeCell ref="F164:I164"/>
    <mergeCell ref="F161:I161"/>
    <mergeCell ref="F180:I180"/>
    <mergeCell ref="F181:I181"/>
    <mergeCell ref="F182:I182"/>
    <mergeCell ref="F183:I183"/>
    <mergeCell ref="F184:I184"/>
    <mergeCell ref="F186:I186"/>
    <mergeCell ref="F177:I177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339"/>
  <sheetViews>
    <sheetView showGridLines="0" view="pageBreakPreview" zoomScaleSheetLayoutView="100" workbookViewId="0" topLeftCell="A1">
      <pane ySplit="1" topLeftCell="A162" activePane="bottomLeft" state="frozen"/>
      <selection pane="bottomLeft" activeCell="F164" sqref="F164:I164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23" t="s">
        <v>253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74">
        <f>IF('[4]Rekapitulace stavby'!AN13="","",'[4]Rekapitulace stavby'!AN13)</f>
        <v>0</v>
      </c>
      <c r="P15" s="974"/>
      <c r="Q15" s="58"/>
      <c r="R15" s="456"/>
    </row>
    <row r="16" spans="2:18" s="162" customFormat="1" ht="18" customHeight="1">
      <c r="B16" s="455"/>
      <c r="C16" s="58"/>
      <c r="D16" s="58"/>
      <c r="E16" s="160" t="str">
        <f>IF('[4]Rekapitulace stavby'!E14="","",'[4]Rekapitulace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74">
        <f>IF('[4]Rekapitulace stavby'!AN14="","",'[4]Rekapitulace stavby'!AN14)</f>
        <v>0</v>
      </c>
      <c r="P16" s="974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f>M31</f>
        <v>0</v>
      </c>
      <c r="I34" s="973"/>
      <c r="J34" s="973"/>
      <c r="K34" s="58"/>
      <c r="L34" s="58"/>
      <c r="M34" s="975">
        <f>H34*F34</f>
        <v>0</v>
      </c>
      <c r="N34" s="973"/>
      <c r="O34" s="973"/>
      <c r="P34" s="973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>ROUND((SUM(BG92:BG93)+SUM(BG112:BG307)),2)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>ROUND((SUM(BH92:BH93)+SUM(BH112:BH307)),2)</f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>ROUND((SUM(BI92:BI93)+SUM(BI112:BI307)),2)</f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29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  <c r="AC65" s="162"/>
    </row>
    <row r="66" spans="2:29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  <c r="AC66" s="162"/>
    </row>
    <row r="67" spans="2:29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  <c r="AC67" s="162"/>
    </row>
    <row r="68" spans="2:29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  <c r="AC68" s="162"/>
    </row>
    <row r="69" spans="2:29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  <c r="AC69" s="162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29" s="58" customFormat="1" ht="14.45" customHeight="1">
      <c r="B71" s="455"/>
      <c r="R71" s="456"/>
      <c r="AC71" s="162"/>
    </row>
    <row r="72" ht="13.5">
      <c r="AC72" s="162"/>
    </row>
    <row r="73" ht="13.5">
      <c r="AC73" s="162"/>
    </row>
    <row r="74" ht="13.5">
      <c r="AC74" s="162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29" ht="30" customHeight="1">
      <c r="B79" s="452"/>
      <c r="C79" s="158" t="s">
        <v>101</v>
      </c>
      <c r="D79" s="157"/>
      <c r="E79" s="157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57"/>
      <c r="R79" s="453"/>
      <c r="AC79" s="162"/>
    </row>
    <row r="80" spans="2:18" s="162" customFormat="1" ht="36.95" customHeight="1">
      <c r="B80" s="455"/>
      <c r="C80" s="174" t="s">
        <v>102</v>
      </c>
      <c r="D80" s="58"/>
      <c r="E80" s="58"/>
      <c r="F80" s="910" t="str">
        <f>F8</f>
        <v>06 - TOPENÍ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78" t="str">
        <f>F12</f>
        <v>R-MOSTY, Z.S.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982"/>
      <c r="P89" s="982"/>
      <c r="Q89" s="982"/>
      <c r="R89" s="456"/>
      <c r="AU89" s="448" t="s">
        <v>109</v>
      </c>
    </row>
    <row r="90" spans="2:29" s="464" customFormat="1" ht="24.95" customHeight="1">
      <c r="B90" s="462"/>
      <c r="C90" s="59"/>
      <c r="D90" s="176" t="str">
        <f>F80</f>
        <v>06 - TOPENÍ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  <c r="AC90" s="162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2">
        <v>0</v>
      </c>
      <c r="O92" s="983"/>
      <c r="P92" s="983"/>
      <c r="Q92" s="983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6" ht="13.5">
      <c r="AC96" s="162"/>
    </row>
    <row r="97" ht="13.5">
      <c r="AC97" s="162"/>
    </row>
    <row r="98" ht="13.5">
      <c r="AC98" s="162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</row>
    <row r="103" spans="2:29" ht="30" customHeight="1">
      <c r="B103" s="452"/>
      <c r="C103" s="158" t="s">
        <v>101</v>
      </c>
      <c r="D103" s="157"/>
      <c r="E103" s="157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57"/>
      <c r="R103" s="453"/>
      <c r="AC103" s="162"/>
    </row>
    <row r="104" spans="2:18" s="162" customFormat="1" ht="36.95" customHeight="1">
      <c r="B104" s="455"/>
      <c r="C104" s="174" t="s">
        <v>102</v>
      </c>
      <c r="D104" s="58"/>
      <c r="E104" s="58"/>
      <c r="F104" s="910" t="str">
        <f>F8</f>
        <v>06 - TOPENÍ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9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162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W113+#REF!+#REF!+#REF!+#REF!+W160+W252+W261+W286+W291+W300</f>
        <v>#REF!</v>
      </c>
      <c r="X112" s="85"/>
      <c r="Y112" s="474" t="e">
        <f>Y113+#REF!+#REF!+#REF!+#REF!+Y160+Y252+Y261+Y286+Y291+Y300</f>
        <v>#REF!</v>
      </c>
      <c r="Z112" s="85"/>
      <c r="AA112" s="475" t="e">
        <f>AA113+#REF!+#REF!+#REF!+#REF!+AA160+AA252+AA261+AA286+AA291+AA300</f>
        <v>#REF!</v>
      </c>
      <c r="AD112" s="472"/>
      <c r="AU112" s="448" t="s">
        <v>109</v>
      </c>
      <c r="BK112" s="476" t="e">
        <f>BK113+#REF!+#REF!+#REF!+#REF!+BK160+BK252+BK261+BK286+BK291+BK300</f>
        <v>#REF!</v>
      </c>
    </row>
    <row r="113" spans="1:63" s="398" customFormat="1" ht="37.35" customHeight="1">
      <c r="A113" s="181"/>
      <c r="B113" s="399"/>
      <c r="C113" s="181"/>
      <c r="D113" s="105" t="str">
        <f>D90</f>
        <v>06 - TOPENÍ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71">
        <f>SUM(N115:Q221)</f>
        <v>0</v>
      </c>
      <c r="O113" s="926"/>
      <c r="P113" s="926"/>
      <c r="Q113" s="926"/>
      <c r="R113" s="400"/>
      <c r="S113" s="400"/>
      <c r="T113" s="181"/>
      <c r="U113" s="181"/>
      <c r="V113" s="181"/>
      <c r="W113" s="402" t="e">
        <f>SUM(W114:W143)</f>
        <v>#REF!</v>
      </c>
      <c r="X113" s="181"/>
      <c r="Y113" s="402" t="e">
        <f>SUM(Y114:Y143)</f>
        <v>#REF!</v>
      </c>
      <c r="Z113" s="181"/>
      <c r="AA113" s="403" t="e">
        <f>SUM(AA114:AA143)</f>
        <v>#REF!</v>
      </c>
      <c r="AC113" s="162"/>
      <c r="AD113" s="472"/>
      <c r="AU113" s="405" t="s">
        <v>69</v>
      </c>
      <c r="AY113" s="404" t="s">
        <v>125</v>
      </c>
      <c r="BK113" s="406" t="e">
        <f>SUM(BK114:BK143)</f>
        <v>#REF!</v>
      </c>
    </row>
    <row r="114" spans="1:65" s="162" customFormat="1" ht="45.6" customHeight="1">
      <c r="A114" s="58"/>
      <c r="B114" s="399"/>
      <c r="C114" s="181"/>
      <c r="D114" s="105" t="s">
        <v>670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764"/>
      <c r="O114" s="235"/>
      <c r="P114" s="235"/>
      <c r="Q114" s="235"/>
      <c r="R114" s="400"/>
      <c r="S114" s="400"/>
      <c r="T114" s="483"/>
      <c r="U114" s="221"/>
      <c r="V114" s="408"/>
      <c r="W114" s="408"/>
      <c r="X114" s="408"/>
      <c r="Y114" s="408"/>
      <c r="Z114" s="408"/>
      <c r="AA114" s="409"/>
      <c r="AD114" s="472"/>
      <c r="AU114" s="448"/>
      <c r="AY114" s="448"/>
      <c r="BE114" s="484"/>
      <c r="BF114" s="484"/>
      <c r="BG114" s="484"/>
      <c r="BH114" s="484"/>
      <c r="BI114" s="484"/>
      <c r="BJ114" s="448"/>
      <c r="BK114" s="484"/>
      <c r="BL114" s="448"/>
      <c r="BM114" s="448"/>
    </row>
    <row r="115" spans="1:65" s="497" customFormat="1" ht="30" customHeight="1">
      <c r="A115" s="492"/>
      <c r="B115" s="489"/>
      <c r="C115" s="195" t="s">
        <v>207</v>
      </c>
      <c r="D115" s="765"/>
      <c r="E115" s="94" t="s">
        <v>1169</v>
      </c>
      <c r="F115" s="995" t="s">
        <v>669</v>
      </c>
      <c r="G115" s="996"/>
      <c r="H115" s="996"/>
      <c r="I115" s="997"/>
      <c r="J115" s="94" t="s">
        <v>131</v>
      </c>
      <c r="K115" s="95">
        <v>1</v>
      </c>
      <c r="L115" s="21"/>
      <c r="M115" s="128"/>
      <c r="N115" s="1113">
        <f>ROUND(L115*K115,2)</f>
        <v>0</v>
      </c>
      <c r="O115" s="1114"/>
      <c r="P115" s="1114"/>
      <c r="Q115" s="1115"/>
      <c r="R115" s="491"/>
      <c r="S115" s="491"/>
      <c r="T115" s="766" t="s">
        <v>5</v>
      </c>
      <c r="U115" s="494" t="s">
        <v>36</v>
      </c>
      <c r="V115" s="495">
        <v>0</v>
      </c>
      <c r="W115" s="495" t="e">
        <f>V115*#REF!</f>
        <v>#REF!</v>
      </c>
      <c r="X115" s="495">
        <v>0</v>
      </c>
      <c r="Y115" s="495" t="e">
        <f>X115*#REF!</f>
        <v>#REF!</v>
      </c>
      <c r="Z115" s="495">
        <v>0</v>
      </c>
      <c r="AA115" s="496" t="e">
        <f>Z115*#REF!</f>
        <v>#REF!</v>
      </c>
      <c r="AC115" s="162"/>
      <c r="AD115" s="162"/>
      <c r="AU115" s="498" t="s">
        <v>76</v>
      </c>
      <c r="AY115" s="498" t="s">
        <v>125</v>
      </c>
      <c r="BE115" s="499">
        <f>IF(U115="základní",#REF!,0)</f>
        <v>0</v>
      </c>
      <c r="BF115" s="499" t="e">
        <f>IF(U115="snížená",#REF!,0)</f>
        <v>#REF!</v>
      </c>
      <c r="BG115" s="499">
        <f>IF(U115="zákl. přenesená",#REF!,0)</f>
        <v>0</v>
      </c>
      <c r="BH115" s="499">
        <f>IF(U115="sníž. přenesená",#REF!,0)</f>
        <v>0</v>
      </c>
      <c r="BI115" s="499">
        <f>IF(U115="nulová",#REF!,0)</f>
        <v>0</v>
      </c>
      <c r="BJ115" s="498" t="s">
        <v>80</v>
      </c>
      <c r="BK115" s="499" t="e">
        <f>ROUND(#REF!*#REF!,2)</f>
        <v>#REF!</v>
      </c>
      <c r="BL115" s="498" t="s">
        <v>128</v>
      </c>
      <c r="BM115" s="498" t="s">
        <v>80</v>
      </c>
    </row>
    <row r="116" spans="1:65" s="497" customFormat="1" ht="30" customHeight="1">
      <c r="A116" s="492"/>
      <c r="B116" s="489"/>
      <c r="C116" s="718" t="s">
        <v>208</v>
      </c>
      <c r="D116" s="718"/>
      <c r="E116" s="767" t="s">
        <v>1170</v>
      </c>
      <c r="F116" s="954" t="s">
        <v>206</v>
      </c>
      <c r="G116" s="954"/>
      <c r="H116" s="954"/>
      <c r="I116" s="954"/>
      <c r="J116" s="103" t="s">
        <v>2227</v>
      </c>
      <c r="K116" s="124">
        <v>1</v>
      </c>
      <c r="L116" s="122"/>
      <c r="M116" s="410"/>
      <c r="N116" s="1112">
        <f>ROUND(L116*K116,2)</f>
        <v>0</v>
      </c>
      <c r="O116" s="1112"/>
      <c r="P116" s="1112"/>
      <c r="Q116" s="1112"/>
      <c r="R116" s="491"/>
      <c r="S116" s="491"/>
      <c r="T116" s="766" t="s">
        <v>5</v>
      </c>
      <c r="U116" s="494" t="s">
        <v>36</v>
      </c>
      <c r="V116" s="495">
        <v>0</v>
      </c>
      <c r="W116" s="495" t="e">
        <f>V116*#REF!</f>
        <v>#REF!</v>
      </c>
      <c r="X116" s="495">
        <v>0</v>
      </c>
      <c r="Y116" s="495" t="e">
        <f>X116*#REF!</f>
        <v>#REF!</v>
      </c>
      <c r="Z116" s="495">
        <v>0</v>
      </c>
      <c r="AA116" s="496" t="e">
        <f>Z116*#REF!</f>
        <v>#REF!</v>
      </c>
      <c r="AC116" s="162"/>
      <c r="AD116" s="162"/>
      <c r="AU116" s="498" t="s">
        <v>76</v>
      </c>
      <c r="AY116" s="498" t="s">
        <v>125</v>
      </c>
      <c r="BE116" s="499">
        <f>IF(U116="základní",#REF!,0)</f>
        <v>0</v>
      </c>
      <c r="BF116" s="499" t="e">
        <f>IF(U116="snížená",#REF!,0)</f>
        <v>#REF!</v>
      </c>
      <c r="BG116" s="499">
        <f>IF(U116="zákl. přenesená",#REF!,0)</f>
        <v>0</v>
      </c>
      <c r="BH116" s="499">
        <f>IF(U116="sníž. přenesená",#REF!,0)</f>
        <v>0</v>
      </c>
      <c r="BI116" s="499">
        <f>IF(U116="nulová",#REF!,0)</f>
        <v>0</v>
      </c>
      <c r="BJ116" s="498" t="s">
        <v>80</v>
      </c>
      <c r="BK116" s="499" t="e">
        <f>ROUND(#REF!*#REF!,2)</f>
        <v>#REF!</v>
      </c>
      <c r="BL116" s="498" t="s">
        <v>128</v>
      </c>
      <c r="BM116" s="498" t="s">
        <v>80</v>
      </c>
    </row>
    <row r="117" spans="1:65" s="162" customFormat="1" ht="30" customHeight="1">
      <c r="A117" s="58"/>
      <c r="B117" s="455"/>
      <c r="C117" s="718" t="s">
        <v>209</v>
      </c>
      <c r="D117" s="718"/>
      <c r="E117" s="767" t="s">
        <v>1171</v>
      </c>
      <c r="F117" s="954" t="s">
        <v>2234</v>
      </c>
      <c r="G117" s="954"/>
      <c r="H117" s="954"/>
      <c r="I117" s="954"/>
      <c r="J117" s="103" t="s">
        <v>2227</v>
      </c>
      <c r="K117" s="124">
        <v>1</v>
      </c>
      <c r="L117" s="122"/>
      <c r="M117" s="410"/>
      <c r="N117" s="1112">
        <f>ROUND(L117*K117,2)</f>
        <v>0</v>
      </c>
      <c r="O117" s="1112"/>
      <c r="P117" s="1112"/>
      <c r="Q117" s="1112"/>
      <c r="R117" s="456"/>
      <c r="S117" s="456"/>
      <c r="T117" s="483" t="s">
        <v>5</v>
      </c>
      <c r="U117" s="221" t="s">
        <v>36</v>
      </c>
      <c r="V117" s="408">
        <v>0</v>
      </c>
      <c r="W117" s="408" t="e">
        <f>V117*#REF!</f>
        <v>#REF!</v>
      </c>
      <c r="X117" s="408">
        <v>0</v>
      </c>
      <c r="Y117" s="408" t="e">
        <f>X117*#REF!</f>
        <v>#REF!</v>
      </c>
      <c r="Z117" s="408">
        <v>0</v>
      </c>
      <c r="AA117" s="409" t="e">
        <f>Z117*#REF!</f>
        <v>#REF!</v>
      </c>
      <c r="AU117" s="448" t="s">
        <v>76</v>
      </c>
      <c r="AY117" s="448" t="s">
        <v>125</v>
      </c>
      <c r="BE117" s="484">
        <f>IF(U117="základní",#REF!,0)</f>
        <v>0</v>
      </c>
      <c r="BF117" s="484" t="e">
        <f>IF(U117="snížená",#REF!,0)</f>
        <v>#REF!</v>
      </c>
      <c r="BG117" s="484">
        <f>IF(U117="zákl. přenesená",#REF!,0)</f>
        <v>0</v>
      </c>
      <c r="BH117" s="484">
        <f>IF(U117="sníž. přenesená",#REF!,0)</f>
        <v>0</v>
      </c>
      <c r="BI117" s="484">
        <f>IF(U117="nulová",#REF!,0)</f>
        <v>0</v>
      </c>
      <c r="BJ117" s="448" t="s">
        <v>80</v>
      </c>
      <c r="BK117" s="484" t="e">
        <f>ROUND(#REF!*#REF!,2)</f>
        <v>#REF!</v>
      </c>
      <c r="BL117" s="448" t="s">
        <v>128</v>
      </c>
      <c r="BM117" s="448" t="s">
        <v>80</v>
      </c>
    </row>
    <row r="118" spans="1:65" s="162" customFormat="1" ht="45.6" customHeight="1">
      <c r="A118" s="58"/>
      <c r="B118" s="399"/>
      <c r="C118" s="181"/>
      <c r="D118" s="105" t="s">
        <v>672</v>
      </c>
      <c r="E118" s="128"/>
      <c r="F118" s="128"/>
      <c r="G118" s="128"/>
      <c r="H118" s="128"/>
      <c r="I118" s="128"/>
      <c r="J118" s="128"/>
      <c r="K118" s="128"/>
      <c r="L118" s="800"/>
      <c r="M118" s="128"/>
      <c r="N118" s="768"/>
      <c r="O118" s="769"/>
      <c r="P118" s="769"/>
      <c r="Q118" s="769"/>
      <c r="R118" s="400"/>
      <c r="S118" s="400"/>
      <c r="T118" s="483"/>
      <c r="U118" s="221"/>
      <c r="V118" s="408"/>
      <c r="W118" s="408"/>
      <c r="X118" s="408"/>
      <c r="Y118" s="408"/>
      <c r="Z118" s="408"/>
      <c r="AA118" s="409"/>
      <c r="AU118" s="448"/>
      <c r="AY118" s="448"/>
      <c r="BE118" s="484"/>
      <c r="BF118" s="484"/>
      <c r="BG118" s="484"/>
      <c r="BH118" s="484"/>
      <c r="BI118" s="484"/>
      <c r="BJ118" s="448"/>
      <c r="BK118" s="484"/>
      <c r="BL118" s="448"/>
      <c r="BM118" s="448"/>
    </row>
    <row r="119" spans="1:65" s="162" customFormat="1" ht="30" customHeight="1">
      <c r="A119" s="58"/>
      <c r="B119" s="455"/>
      <c r="C119" s="195" t="s">
        <v>210</v>
      </c>
      <c r="D119" s="490"/>
      <c r="E119" s="94" t="s">
        <v>1172</v>
      </c>
      <c r="F119" s="995" t="s">
        <v>671</v>
      </c>
      <c r="G119" s="996"/>
      <c r="H119" s="996"/>
      <c r="I119" s="997"/>
      <c r="J119" s="94" t="s">
        <v>198</v>
      </c>
      <c r="K119" s="125">
        <v>14</v>
      </c>
      <c r="L119" s="21"/>
      <c r="M119" s="128"/>
      <c r="N119" s="1110">
        <f aca="true" t="shared" si="0" ref="N119:N124">ROUND(L119*K119,2)</f>
        <v>0</v>
      </c>
      <c r="O119" s="1110"/>
      <c r="P119" s="1110"/>
      <c r="Q119" s="1110"/>
      <c r="R119" s="456"/>
      <c r="S119" s="456"/>
      <c r="T119" s="483"/>
      <c r="U119" s="221"/>
      <c r="V119" s="408"/>
      <c r="W119" s="408"/>
      <c r="X119" s="408"/>
      <c r="Y119" s="408"/>
      <c r="Z119" s="408"/>
      <c r="AA119" s="409"/>
      <c r="AU119" s="448"/>
      <c r="AY119" s="448"/>
      <c r="BE119" s="484"/>
      <c r="BF119" s="484"/>
      <c r="BG119" s="484"/>
      <c r="BH119" s="484"/>
      <c r="BI119" s="484"/>
      <c r="BJ119" s="448"/>
      <c r="BK119" s="484"/>
      <c r="BL119" s="448"/>
      <c r="BM119" s="448"/>
    </row>
    <row r="120" spans="1:65" s="778" customFormat="1" ht="74.25" customHeight="1">
      <c r="A120" s="770"/>
      <c r="B120" s="771"/>
      <c r="C120" s="772" t="s">
        <v>211</v>
      </c>
      <c r="D120" s="772"/>
      <c r="E120" s="94" t="s">
        <v>1173</v>
      </c>
      <c r="F120" s="1117" t="s">
        <v>673</v>
      </c>
      <c r="G120" s="1118"/>
      <c r="H120" s="1118"/>
      <c r="I120" s="1119"/>
      <c r="J120" s="137" t="s">
        <v>198</v>
      </c>
      <c r="K120" s="126">
        <v>11</v>
      </c>
      <c r="L120" s="13"/>
      <c r="M120" s="128"/>
      <c r="N120" s="1111">
        <f t="shared" si="0"/>
        <v>0</v>
      </c>
      <c r="O120" s="1111"/>
      <c r="P120" s="1111"/>
      <c r="Q120" s="1111"/>
      <c r="R120" s="773"/>
      <c r="S120" s="773"/>
      <c r="T120" s="774"/>
      <c r="U120" s="775"/>
      <c r="V120" s="776"/>
      <c r="W120" s="776"/>
      <c r="X120" s="776"/>
      <c r="Y120" s="776"/>
      <c r="Z120" s="776"/>
      <c r="AA120" s="777"/>
      <c r="AC120" s="162"/>
      <c r="AD120" s="162"/>
      <c r="AU120" s="779"/>
      <c r="AY120" s="779"/>
      <c r="BE120" s="780"/>
      <c r="BF120" s="780"/>
      <c r="BG120" s="780"/>
      <c r="BH120" s="780"/>
      <c r="BI120" s="780"/>
      <c r="BJ120" s="779"/>
      <c r="BK120" s="780"/>
      <c r="BL120" s="779"/>
      <c r="BM120" s="779"/>
    </row>
    <row r="121" spans="1:65" s="778" customFormat="1" ht="74.25" customHeight="1">
      <c r="A121" s="770"/>
      <c r="B121" s="771"/>
      <c r="C121" s="772" t="s">
        <v>212</v>
      </c>
      <c r="D121" s="772"/>
      <c r="E121" s="94" t="s">
        <v>1174</v>
      </c>
      <c r="F121" s="1117" t="s">
        <v>674</v>
      </c>
      <c r="G121" s="1118"/>
      <c r="H121" s="1118"/>
      <c r="I121" s="1119"/>
      <c r="J121" s="137" t="s">
        <v>198</v>
      </c>
      <c r="K121" s="126">
        <v>1</v>
      </c>
      <c r="L121" s="13"/>
      <c r="M121" s="128"/>
      <c r="N121" s="1111">
        <f t="shared" si="0"/>
        <v>0</v>
      </c>
      <c r="O121" s="1111"/>
      <c r="P121" s="1111"/>
      <c r="Q121" s="1111"/>
      <c r="R121" s="773"/>
      <c r="S121" s="773"/>
      <c r="T121" s="774"/>
      <c r="U121" s="775"/>
      <c r="V121" s="776"/>
      <c r="W121" s="776"/>
      <c r="X121" s="776"/>
      <c r="Y121" s="776"/>
      <c r="Z121" s="776"/>
      <c r="AA121" s="777"/>
      <c r="AC121" s="162"/>
      <c r="AD121" s="162"/>
      <c r="AU121" s="779"/>
      <c r="AY121" s="779"/>
      <c r="BE121" s="780"/>
      <c r="BF121" s="780"/>
      <c r="BG121" s="780"/>
      <c r="BH121" s="780"/>
      <c r="BI121" s="780"/>
      <c r="BJ121" s="779"/>
      <c r="BK121" s="780"/>
      <c r="BL121" s="779"/>
      <c r="BM121" s="779"/>
    </row>
    <row r="122" spans="1:65" s="778" customFormat="1" ht="74.25" customHeight="1">
      <c r="A122" s="770"/>
      <c r="B122" s="771"/>
      <c r="C122" s="772" t="s">
        <v>213</v>
      </c>
      <c r="D122" s="772"/>
      <c r="E122" s="94" t="s">
        <v>1175</v>
      </c>
      <c r="F122" s="1117" t="s">
        <v>675</v>
      </c>
      <c r="G122" s="1118"/>
      <c r="H122" s="1118"/>
      <c r="I122" s="1119"/>
      <c r="J122" s="137" t="s">
        <v>198</v>
      </c>
      <c r="K122" s="126">
        <v>1</v>
      </c>
      <c r="L122" s="13"/>
      <c r="M122" s="128"/>
      <c r="N122" s="1111">
        <f t="shared" si="0"/>
        <v>0</v>
      </c>
      <c r="O122" s="1111"/>
      <c r="P122" s="1111"/>
      <c r="Q122" s="1111"/>
      <c r="R122" s="773"/>
      <c r="S122" s="770"/>
      <c r="T122" s="774"/>
      <c r="U122" s="775"/>
      <c r="V122" s="776"/>
      <c r="W122" s="776"/>
      <c r="X122" s="776"/>
      <c r="Y122" s="776"/>
      <c r="Z122" s="776"/>
      <c r="AA122" s="777"/>
      <c r="AC122" s="162"/>
      <c r="AD122" s="162"/>
      <c r="AU122" s="779"/>
      <c r="AY122" s="779"/>
      <c r="BE122" s="780"/>
      <c r="BF122" s="780"/>
      <c r="BG122" s="780"/>
      <c r="BH122" s="780"/>
      <c r="BI122" s="780"/>
      <c r="BJ122" s="779"/>
      <c r="BK122" s="780"/>
      <c r="BL122" s="779"/>
      <c r="BM122" s="779"/>
    </row>
    <row r="123" spans="1:65" s="778" customFormat="1" ht="39" customHeight="1">
      <c r="A123" s="770"/>
      <c r="B123" s="771"/>
      <c r="C123" s="772" t="s">
        <v>214</v>
      </c>
      <c r="D123" s="772"/>
      <c r="E123" s="94" t="s">
        <v>1176</v>
      </c>
      <c r="F123" s="1120" t="s">
        <v>676</v>
      </c>
      <c r="G123" s="1121"/>
      <c r="H123" s="1121"/>
      <c r="I123" s="1122"/>
      <c r="J123" s="132" t="s">
        <v>198</v>
      </c>
      <c r="K123" s="127">
        <v>13</v>
      </c>
      <c r="L123" s="13"/>
      <c r="M123" s="128"/>
      <c r="N123" s="1111">
        <f t="shared" si="0"/>
        <v>0</v>
      </c>
      <c r="O123" s="1111"/>
      <c r="P123" s="1111"/>
      <c r="Q123" s="1111"/>
      <c r="R123" s="773"/>
      <c r="S123" s="770"/>
      <c r="T123" s="774"/>
      <c r="U123" s="775"/>
      <c r="V123" s="776"/>
      <c r="W123" s="776"/>
      <c r="X123" s="776"/>
      <c r="Y123" s="776"/>
      <c r="Z123" s="776"/>
      <c r="AA123" s="777"/>
      <c r="AC123" s="162"/>
      <c r="AD123" s="162"/>
      <c r="AU123" s="779"/>
      <c r="AY123" s="779"/>
      <c r="BE123" s="780"/>
      <c r="BF123" s="780"/>
      <c r="BG123" s="780"/>
      <c r="BH123" s="780"/>
      <c r="BI123" s="780"/>
      <c r="BJ123" s="779"/>
      <c r="BK123" s="780"/>
      <c r="BL123" s="779"/>
      <c r="BM123" s="779"/>
    </row>
    <row r="124" spans="1:65" s="778" customFormat="1" ht="42" customHeight="1">
      <c r="A124" s="770"/>
      <c r="B124" s="771"/>
      <c r="C124" s="772" t="s">
        <v>215</v>
      </c>
      <c r="D124" s="772"/>
      <c r="E124" s="94" t="s">
        <v>1177</v>
      </c>
      <c r="F124" s="1094" t="s">
        <v>2238</v>
      </c>
      <c r="G124" s="1094"/>
      <c r="H124" s="1094"/>
      <c r="I124" s="1094"/>
      <c r="J124" s="132" t="s">
        <v>198</v>
      </c>
      <c r="K124" s="127">
        <v>13</v>
      </c>
      <c r="L124" s="14"/>
      <c r="M124" s="128"/>
      <c r="N124" s="1111">
        <f t="shared" si="0"/>
        <v>0</v>
      </c>
      <c r="O124" s="1111"/>
      <c r="P124" s="1111"/>
      <c r="Q124" s="1111"/>
      <c r="R124" s="773"/>
      <c r="S124" s="770"/>
      <c r="T124" s="774" t="s">
        <v>5</v>
      </c>
      <c r="U124" s="775" t="s">
        <v>36</v>
      </c>
      <c r="V124" s="776">
        <v>0</v>
      </c>
      <c r="W124" s="776" t="e">
        <f>V124*#REF!</f>
        <v>#REF!</v>
      </c>
      <c r="X124" s="776">
        <v>0</v>
      </c>
      <c r="Y124" s="776" t="e">
        <f>X124*#REF!</f>
        <v>#REF!</v>
      </c>
      <c r="Z124" s="776">
        <v>0</v>
      </c>
      <c r="AA124" s="777" t="e">
        <f>Z124*#REF!</f>
        <v>#REF!</v>
      </c>
      <c r="AC124" s="162"/>
      <c r="AD124" s="162"/>
      <c r="AU124" s="779" t="s">
        <v>76</v>
      </c>
      <c r="AY124" s="779" t="s">
        <v>125</v>
      </c>
      <c r="BE124" s="780">
        <f>IF(U124="základní",#REF!,0)</f>
        <v>0</v>
      </c>
      <c r="BF124" s="780" t="e">
        <f>IF(U124="snížená",#REF!,0)</f>
        <v>#REF!</v>
      </c>
      <c r="BG124" s="780">
        <f>IF(U124="zákl. přenesená",#REF!,0)</f>
        <v>0</v>
      </c>
      <c r="BH124" s="780">
        <f>IF(U124="sníž. přenesená",#REF!,0)</f>
        <v>0</v>
      </c>
      <c r="BI124" s="780">
        <f>IF(U124="nulová",#REF!,0)</f>
        <v>0</v>
      </c>
      <c r="BJ124" s="779" t="s">
        <v>80</v>
      </c>
      <c r="BK124" s="780" t="e">
        <f>ROUND(#REF!*#REF!,2)</f>
        <v>#REF!</v>
      </c>
      <c r="BL124" s="779" t="s">
        <v>128</v>
      </c>
      <c r="BM124" s="779" t="s">
        <v>128</v>
      </c>
    </row>
    <row r="125" spans="1:65" s="778" customFormat="1" ht="64.15" customHeight="1">
      <c r="A125" s="770"/>
      <c r="B125" s="771"/>
      <c r="C125" s="772" t="s">
        <v>216</v>
      </c>
      <c r="D125" s="772"/>
      <c r="E125" s="94" t="s">
        <v>1178</v>
      </c>
      <c r="F125" s="1116" t="s">
        <v>677</v>
      </c>
      <c r="G125" s="1116"/>
      <c r="H125" s="1116"/>
      <c r="I125" s="1116"/>
      <c r="J125" s="137" t="s">
        <v>131</v>
      </c>
      <c r="K125" s="126">
        <v>1</v>
      </c>
      <c r="L125" s="13"/>
      <c r="M125" s="128"/>
      <c r="N125" s="1126">
        <f aca="true" t="shared" si="1" ref="N125:N130">K125*L125</f>
        <v>0</v>
      </c>
      <c r="O125" s="1127"/>
      <c r="P125" s="1127"/>
      <c r="Q125" s="1128"/>
      <c r="R125" s="773"/>
      <c r="S125" s="770"/>
      <c r="T125" s="774"/>
      <c r="U125" s="775"/>
      <c r="V125" s="776"/>
      <c r="W125" s="776"/>
      <c r="X125" s="776"/>
      <c r="Y125" s="776"/>
      <c r="Z125" s="776"/>
      <c r="AA125" s="777"/>
      <c r="AC125" s="162"/>
      <c r="AD125" s="162"/>
      <c r="AU125" s="779"/>
      <c r="AY125" s="779"/>
      <c r="BE125" s="780"/>
      <c r="BF125" s="780"/>
      <c r="BG125" s="780"/>
      <c r="BH125" s="780"/>
      <c r="BI125" s="780"/>
      <c r="BJ125" s="779"/>
      <c r="BK125" s="780"/>
      <c r="BL125" s="779"/>
      <c r="BM125" s="779"/>
    </row>
    <row r="126" spans="1:65" s="778" customFormat="1" ht="58.15" customHeight="1">
      <c r="A126" s="770"/>
      <c r="B126" s="771"/>
      <c r="C126" s="772" t="s">
        <v>217</v>
      </c>
      <c r="D126" s="772"/>
      <c r="E126" s="94" t="s">
        <v>1179</v>
      </c>
      <c r="F126" s="1116" t="s">
        <v>678</v>
      </c>
      <c r="G126" s="1116"/>
      <c r="H126" s="1116"/>
      <c r="I126" s="1116"/>
      <c r="J126" s="137" t="s">
        <v>198</v>
      </c>
      <c r="K126" s="126">
        <v>14</v>
      </c>
      <c r="L126" s="13"/>
      <c r="M126" s="128"/>
      <c r="N126" s="1126">
        <f t="shared" si="1"/>
        <v>0</v>
      </c>
      <c r="O126" s="1127"/>
      <c r="P126" s="1127"/>
      <c r="Q126" s="1128"/>
      <c r="R126" s="773"/>
      <c r="S126" s="770"/>
      <c r="T126" s="774"/>
      <c r="U126" s="775"/>
      <c r="V126" s="776"/>
      <c r="W126" s="776"/>
      <c r="X126" s="776"/>
      <c r="Y126" s="776"/>
      <c r="Z126" s="776"/>
      <c r="AA126" s="777"/>
      <c r="AC126" s="162"/>
      <c r="AD126" s="162"/>
      <c r="AU126" s="779"/>
      <c r="AY126" s="779"/>
      <c r="BE126" s="780"/>
      <c r="BF126" s="780"/>
      <c r="BG126" s="780"/>
      <c r="BH126" s="780"/>
      <c r="BI126" s="780"/>
      <c r="BJ126" s="779"/>
      <c r="BK126" s="780"/>
      <c r="BL126" s="779"/>
      <c r="BM126" s="779"/>
    </row>
    <row r="127" spans="1:65" s="778" customFormat="1" ht="37.9" customHeight="1">
      <c r="A127" s="770"/>
      <c r="B127" s="771"/>
      <c r="C127" s="772" t="s">
        <v>218</v>
      </c>
      <c r="D127" s="772"/>
      <c r="E127" s="94" t="s">
        <v>1180</v>
      </c>
      <c r="F127" s="1116" t="s">
        <v>679</v>
      </c>
      <c r="G127" s="1116"/>
      <c r="H127" s="1116"/>
      <c r="I127" s="1116"/>
      <c r="J127" s="137" t="s">
        <v>198</v>
      </c>
      <c r="K127" s="126">
        <v>14</v>
      </c>
      <c r="L127" s="13"/>
      <c r="M127" s="128"/>
      <c r="N127" s="1126">
        <f t="shared" si="1"/>
        <v>0</v>
      </c>
      <c r="O127" s="1127"/>
      <c r="P127" s="1127"/>
      <c r="Q127" s="1128"/>
      <c r="R127" s="773"/>
      <c r="S127" s="770"/>
      <c r="T127" s="774"/>
      <c r="U127" s="775"/>
      <c r="V127" s="776"/>
      <c r="W127" s="776"/>
      <c r="X127" s="776"/>
      <c r="Y127" s="776"/>
      <c r="Z127" s="776"/>
      <c r="AA127" s="777"/>
      <c r="AC127" s="162"/>
      <c r="AD127" s="162"/>
      <c r="AU127" s="779"/>
      <c r="AY127" s="779"/>
      <c r="BE127" s="780"/>
      <c r="BF127" s="780"/>
      <c r="BG127" s="780"/>
      <c r="BH127" s="780"/>
      <c r="BI127" s="780"/>
      <c r="BJ127" s="779"/>
      <c r="BK127" s="780"/>
      <c r="BL127" s="779"/>
      <c r="BM127" s="779"/>
    </row>
    <row r="128" spans="1:65" s="497" customFormat="1" ht="39.6" customHeight="1">
      <c r="A128" s="492"/>
      <c r="B128" s="489"/>
      <c r="C128" s="195" t="s">
        <v>219</v>
      </c>
      <c r="D128" s="765"/>
      <c r="E128" s="94" t="s">
        <v>1181</v>
      </c>
      <c r="F128" s="960" t="s">
        <v>680</v>
      </c>
      <c r="G128" s="960"/>
      <c r="H128" s="960"/>
      <c r="I128" s="960"/>
      <c r="J128" s="94" t="s">
        <v>127</v>
      </c>
      <c r="K128" s="95">
        <v>600</v>
      </c>
      <c r="L128" s="21"/>
      <c r="M128" s="128"/>
      <c r="N128" s="1113">
        <f t="shared" si="1"/>
        <v>0</v>
      </c>
      <c r="O128" s="1114"/>
      <c r="P128" s="1114"/>
      <c r="Q128" s="1115"/>
      <c r="R128" s="491"/>
      <c r="S128" s="492"/>
      <c r="T128" s="766"/>
      <c r="U128" s="494"/>
      <c r="V128" s="495"/>
      <c r="W128" s="495"/>
      <c r="X128" s="495"/>
      <c r="Y128" s="495"/>
      <c r="Z128" s="495"/>
      <c r="AA128" s="496"/>
      <c r="AC128" s="162"/>
      <c r="AD128" s="162"/>
      <c r="AU128" s="498"/>
      <c r="AY128" s="498"/>
      <c r="BE128" s="499"/>
      <c r="BF128" s="499"/>
      <c r="BG128" s="499"/>
      <c r="BH128" s="499"/>
      <c r="BI128" s="499"/>
      <c r="BJ128" s="498"/>
      <c r="BK128" s="499"/>
      <c r="BL128" s="498"/>
      <c r="BM128" s="498"/>
    </row>
    <row r="129" spans="1:65" s="778" customFormat="1" ht="80.25" customHeight="1">
      <c r="A129" s="770"/>
      <c r="B129" s="771"/>
      <c r="C129" s="772" t="s">
        <v>220</v>
      </c>
      <c r="D129" s="772"/>
      <c r="E129" s="94" t="s">
        <v>1182</v>
      </c>
      <c r="F129" s="1116" t="s">
        <v>685</v>
      </c>
      <c r="G129" s="1116"/>
      <c r="H129" s="1116"/>
      <c r="I129" s="1116"/>
      <c r="J129" s="137" t="s">
        <v>127</v>
      </c>
      <c r="K129" s="126">
        <v>600</v>
      </c>
      <c r="L129" s="13"/>
      <c r="M129" s="128"/>
      <c r="N129" s="1126">
        <f t="shared" si="1"/>
        <v>0</v>
      </c>
      <c r="O129" s="1127"/>
      <c r="P129" s="1127"/>
      <c r="Q129" s="1128"/>
      <c r="R129" s="773"/>
      <c r="S129" s="770"/>
      <c r="T129" s="774"/>
      <c r="U129" s="775"/>
      <c r="V129" s="776"/>
      <c r="W129" s="776"/>
      <c r="X129" s="776"/>
      <c r="Y129" s="776"/>
      <c r="Z129" s="776"/>
      <c r="AA129" s="777"/>
      <c r="AC129" s="162"/>
      <c r="AD129" s="162"/>
      <c r="AU129" s="779"/>
      <c r="AY129" s="779"/>
      <c r="BE129" s="780"/>
      <c r="BF129" s="780"/>
      <c r="BG129" s="780"/>
      <c r="BH129" s="780"/>
      <c r="BI129" s="780"/>
      <c r="BJ129" s="779"/>
      <c r="BK129" s="780"/>
      <c r="BL129" s="779"/>
      <c r="BM129" s="779"/>
    </row>
    <row r="130" spans="1:65" s="778" customFormat="1" ht="80.25" customHeight="1">
      <c r="A130" s="770"/>
      <c r="B130" s="771"/>
      <c r="C130" s="772" t="s">
        <v>221</v>
      </c>
      <c r="D130" s="772"/>
      <c r="E130" s="94" t="s">
        <v>1183</v>
      </c>
      <c r="F130" s="1116" t="s">
        <v>681</v>
      </c>
      <c r="G130" s="1116"/>
      <c r="H130" s="1116"/>
      <c r="I130" s="1116"/>
      <c r="J130" s="137" t="s">
        <v>198</v>
      </c>
      <c r="K130" s="126">
        <v>1</v>
      </c>
      <c r="L130" s="13"/>
      <c r="M130" s="128"/>
      <c r="N130" s="1126">
        <f t="shared" si="1"/>
        <v>0</v>
      </c>
      <c r="O130" s="1127"/>
      <c r="P130" s="1127"/>
      <c r="Q130" s="1128"/>
      <c r="R130" s="773"/>
      <c r="S130" s="770"/>
      <c r="T130" s="774"/>
      <c r="U130" s="775"/>
      <c r="V130" s="776"/>
      <c r="W130" s="776"/>
      <c r="X130" s="776"/>
      <c r="Y130" s="776"/>
      <c r="Z130" s="776"/>
      <c r="AA130" s="777"/>
      <c r="AC130" s="162"/>
      <c r="AD130" s="162"/>
      <c r="AU130" s="779"/>
      <c r="AY130" s="779"/>
      <c r="BE130" s="780"/>
      <c r="BF130" s="780"/>
      <c r="BG130" s="780"/>
      <c r="BH130" s="780"/>
      <c r="BI130" s="780"/>
      <c r="BJ130" s="779"/>
      <c r="BK130" s="780"/>
      <c r="BL130" s="779"/>
      <c r="BM130" s="779"/>
    </row>
    <row r="131" spans="1:65" s="778" customFormat="1" ht="80.25" customHeight="1">
      <c r="A131" s="770"/>
      <c r="B131" s="771"/>
      <c r="C131" s="772" t="s">
        <v>222</v>
      </c>
      <c r="D131" s="772"/>
      <c r="E131" s="94" t="s">
        <v>1184</v>
      </c>
      <c r="F131" s="1116" t="s">
        <v>682</v>
      </c>
      <c r="G131" s="1116"/>
      <c r="H131" s="1116"/>
      <c r="I131" s="1116"/>
      <c r="J131" s="137" t="s">
        <v>198</v>
      </c>
      <c r="K131" s="126">
        <v>1</v>
      </c>
      <c r="L131" s="13"/>
      <c r="M131" s="128"/>
      <c r="N131" s="1126">
        <f aca="true" t="shared" si="2" ref="N131:N136">K131*L131</f>
        <v>0</v>
      </c>
      <c r="O131" s="1127"/>
      <c r="P131" s="1127"/>
      <c r="Q131" s="1128"/>
      <c r="R131" s="773"/>
      <c r="S131" s="770"/>
      <c r="T131" s="774"/>
      <c r="U131" s="775"/>
      <c r="V131" s="776"/>
      <c r="W131" s="776"/>
      <c r="X131" s="776"/>
      <c r="Y131" s="776"/>
      <c r="Z131" s="776"/>
      <c r="AA131" s="777"/>
      <c r="AC131" s="162"/>
      <c r="AD131" s="162"/>
      <c r="AU131" s="779"/>
      <c r="AY131" s="779"/>
      <c r="BE131" s="780"/>
      <c r="BF131" s="780"/>
      <c r="BG131" s="780"/>
      <c r="BH131" s="780"/>
      <c r="BI131" s="780"/>
      <c r="BJ131" s="779"/>
      <c r="BK131" s="780"/>
      <c r="BL131" s="779"/>
      <c r="BM131" s="779"/>
    </row>
    <row r="132" spans="1:65" s="778" customFormat="1" ht="80.25" customHeight="1">
      <c r="A132" s="770"/>
      <c r="B132" s="771"/>
      <c r="C132" s="772" t="s">
        <v>223</v>
      </c>
      <c r="D132" s="772"/>
      <c r="E132" s="94" t="s">
        <v>1185</v>
      </c>
      <c r="F132" s="1116" t="s">
        <v>683</v>
      </c>
      <c r="G132" s="1116"/>
      <c r="H132" s="1116"/>
      <c r="I132" s="1116"/>
      <c r="J132" s="137" t="s">
        <v>198</v>
      </c>
      <c r="K132" s="126">
        <v>1</v>
      </c>
      <c r="L132" s="13"/>
      <c r="M132" s="128"/>
      <c r="N132" s="1126">
        <f t="shared" si="2"/>
        <v>0</v>
      </c>
      <c r="O132" s="1127"/>
      <c r="P132" s="1127"/>
      <c r="Q132" s="1128"/>
      <c r="R132" s="773"/>
      <c r="S132" s="770"/>
      <c r="T132" s="774"/>
      <c r="U132" s="775"/>
      <c r="V132" s="776"/>
      <c r="W132" s="776"/>
      <c r="X132" s="776"/>
      <c r="Y132" s="776"/>
      <c r="Z132" s="776"/>
      <c r="AA132" s="777"/>
      <c r="AC132" s="162"/>
      <c r="AD132" s="162"/>
      <c r="AU132" s="779"/>
      <c r="AY132" s="779"/>
      <c r="BE132" s="780"/>
      <c r="BF132" s="780"/>
      <c r="BG132" s="780"/>
      <c r="BH132" s="780"/>
      <c r="BI132" s="780"/>
      <c r="BJ132" s="779"/>
      <c r="BK132" s="780"/>
      <c r="BL132" s="779"/>
      <c r="BM132" s="779"/>
    </row>
    <row r="133" spans="1:65" s="778" customFormat="1" ht="80.25" customHeight="1">
      <c r="A133" s="770"/>
      <c r="B133" s="771"/>
      <c r="C133" s="772" t="s">
        <v>224</v>
      </c>
      <c r="D133" s="772"/>
      <c r="E133" s="94" t="s">
        <v>1186</v>
      </c>
      <c r="F133" s="1116" t="s">
        <v>684</v>
      </c>
      <c r="G133" s="1116"/>
      <c r="H133" s="1116"/>
      <c r="I133" s="1116"/>
      <c r="J133" s="137" t="s">
        <v>198</v>
      </c>
      <c r="K133" s="126">
        <v>2</v>
      </c>
      <c r="L133" s="13"/>
      <c r="M133" s="128"/>
      <c r="N133" s="1126">
        <f t="shared" si="2"/>
        <v>0</v>
      </c>
      <c r="O133" s="1127"/>
      <c r="P133" s="1127"/>
      <c r="Q133" s="1128"/>
      <c r="R133" s="773"/>
      <c r="S133" s="770"/>
      <c r="T133" s="774"/>
      <c r="U133" s="775"/>
      <c r="V133" s="776"/>
      <c r="W133" s="776"/>
      <c r="X133" s="776"/>
      <c r="Y133" s="776"/>
      <c r="Z133" s="776"/>
      <c r="AA133" s="777"/>
      <c r="AC133" s="162"/>
      <c r="AD133" s="162"/>
      <c r="AU133" s="779"/>
      <c r="AY133" s="779"/>
      <c r="BE133" s="780"/>
      <c r="BF133" s="780"/>
      <c r="BG133" s="780"/>
      <c r="BH133" s="780"/>
      <c r="BI133" s="780"/>
      <c r="BJ133" s="779"/>
      <c r="BK133" s="780"/>
      <c r="BL133" s="779"/>
      <c r="BM133" s="779"/>
    </row>
    <row r="134" spans="1:65" s="778" customFormat="1" ht="80.25" customHeight="1">
      <c r="A134" s="770"/>
      <c r="B134" s="771"/>
      <c r="C134" s="772" t="s">
        <v>225</v>
      </c>
      <c r="D134" s="772"/>
      <c r="E134" s="94" t="s">
        <v>1187</v>
      </c>
      <c r="F134" s="1116" t="s">
        <v>686</v>
      </c>
      <c r="G134" s="1116"/>
      <c r="H134" s="1116"/>
      <c r="I134" s="1116"/>
      <c r="J134" s="137" t="s">
        <v>198</v>
      </c>
      <c r="K134" s="126">
        <v>1</v>
      </c>
      <c r="L134" s="13"/>
      <c r="M134" s="128"/>
      <c r="N134" s="1126">
        <f t="shared" si="2"/>
        <v>0</v>
      </c>
      <c r="O134" s="1127"/>
      <c r="P134" s="1127"/>
      <c r="Q134" s="1128"/>
      <c r="R134" s="773"/>
      <c r="S134" s="770"/>
      <c r="T134" s="774"/>
      <c r="U134" s="775"/>
      <c r="V134" s="776"/>
      <c r="W134" s="776"/>
      <c r="X134" s="776"/>
      <c r="Y134" s="776"/>
      <c r="Z134" s="776"/>
      <c r="AA134" s="777"/>
      <c r="AC134" s="162"/>
      <c r="AD134" s="162"/>
      <c r="AU134" s="779"/>
      <c r="AY134" s="779"/>
      <c r="BE134" s="780"/>
      <c r="BF134" s="780"/>
      <c r="BG134" s="780"/>
      <c r="BH134" s="780"/>
      <c r="BI134" s="780"/>
      <c r="BJ134" s="779"/>
      <c r="BK134" s="780"/>
      <c r="BL134" s="779"/>
      <c r="BM134" s="779"/>
    </row>
    <row r="135" spans="1:65" s="778" customFormat="1" ht="80.25" customHeight="1">
      <c r="A135" s="770"/>
      <c r="B135" s="771"/>
      <c r="C135" s="772" t="s">
        <v>226</v>
      </c>
      <c r="D135" s="772"/>
      <c r="E135" s="94" t="s">
        <v>1188</v>
      </c>
      <c r="F135" s="1116" t="s">
        <v>687</v>
      </c>
      <c r="G135" s="1116"/>
      <c r="H135" s="1116"/>
      <c r="I135" s="1116"/>
      <c r="J135" s="137" t="s">
        <v>198</v>
      </c>
      <c r="K135" s="126">
        <v>1</v>
      </c>
      <c r="L135" s="13"/>
      <c r="M135" s="128"/>
      <c r="N135" s="1126">
        <f t="shared" si="2"/>
        <v>0</v>
      </c>
      <c r="O135" s="1127"/>
      <c r="P135" s="1127"/>
      <c r="Q135" s="1128"/>
      <c r="R135" s="773"/>
      <c r="S135" s="770"/>
      <c r="T135" s="774"/>
      <c r="U135" s="775"/>
      <c r="V135" s="776"/>
      <c r="W135" s="776"/>
      <c r="X135" s="776"/>
      <c r="Y135" s="776"/>
      <c r="Z135" s="776"/>
      <c r="AA135" s="777"/>
      <c r="AC135" s="162"/>
      <c r="AD135" s="162"/>
      <c r="AU135" s="779"/>
      <c r="AY135" s="779"/>
      <c r="BE135" s="780"/>
      <c r="BF135" s="780"/>
      <c r="BG135" s="780"/>
      <c r="BH135" s="780"/>
      <c r="BI135" s="780"/>
      <c r="BJ135" s="779"/>
      <c r="BK135" s="780"/>
      <c r="BL135" s="779"/>
      <c r="BM135" s="779"/>
    </row>
    <row r="136" spans="1:65" s="778" customFormat="1" ht="80.25" customHeight="1">
      <c r="A136" s="770"/>
      <c r="B136" s="771"/>
      <c r="C136" s="772" t="s">
        <v>227</v>
      </c>
      <c r="D136" s="772"/>
      <c r="E136" s="94" t="s">
        <v>1189</v>
      </c>
      <c r="F136" s="1116" t="s">
        <v>688</v>
      </c>
      <c r="G136" s="1116"/>
      <c r="H136" s="1116"/>
      <c r="I136" s="1116"/>
      <c r="J136" s="137" t="s">
        <v>198</v>
      </c>
      <c r="K136" s="126">
        <v>3</v>
      </c>
      <c r="L136" s="13"/>
      <c r="M136" s="128"/>
      <c r="N136" s="1126">
        <f t="shared" si="2"/>
        <v>0</v>
      </c>
      <c r="O136" s="1127"/>
      <c r="P136" s="1127"/>
      <c r="Q136" s="1128"/>
      <c r="R136" s="773"/>
      <c r="S136" s="770"/>
      <c r="T136" s="774"/>
      <c r="U136" s="775"/>
      <c r="V136" s="776"/>
      <c r="W136" s="776"/>
      <c r="X136" s="776"/>
      <c r="Y136" s="776"/>
      <c r="Z136" s="776"/>
      <c r="AA136" s="777"/>
      <c r="AC136" s="162"/>
      <c r="AD136" s="162"/>
      <c r="AU136" s="779"/>
      <c r="AY136" s="779"/>
      <c r="BE136" s="780"/>
      <c r="BF136" s="780"/>
      <c r="BG136" s="780"/>
      <c r="BH136" s="780"/>
      <c r="BI136" s="780"/>
      <c r="BJ136" s="779"/>
      <c r="BK136" s="780"/>
      <c r="BL136" s="779"/>
      <c r="BM136" s="779"/>
    </row>
    <row r="137" spans="1:65" s="778" customFormat="1" ht="80.25" customHeight="1">
      <c r="A137" s="770"/>
      <c r="B137" s="771"/>
      <c r="C137" s="772" t="s">
        <v>228</v>
      </c>
      <c r="D137" s="772"/>
      <c r="E137" s="94" t="s">
        <v>1190</v>
      </c>
      <c r="F137" s="1129" t="s">
        <v>689</v>
      </c>
      <c r="G137" s="1129"/>
      <c r="H137" s="1129"/>
      <c r="I137" s="1129"/>
      <c r="J137" s="132" t="s">
        <v>198</v>
      </c>
      <c r="K137" s="127">
        <v>5</v>
      </c>
      <c r="L137" s="13"/>
      <c r="M137" s="128"/>
      <c r="N137" s="1126">
        <f>K137*L137</f>
        <v>0</v>
      </c>
      <c r="O137" s="1127"/>
      <c r="P137" s="1127"/>
      <c r="Q137" s="1128"/>
      <c r="R137" s="773"/>
      <c r="S137" s="770"/>
      <c r="T137" s="774"/>
      <c r="U137" s="775"/>
      <c r="V137" s="776"/>
      <c r="W137" s="776"/>
      <c r="X137" s="776"/>
      <c r="Y137" s="776"/>
      <c r="Z137" s="776"/>
      <c r="AA137" s="777"/>
      <c r="AC137" s="162"/>
      <c r="AD137" s="162"/>
      <c r="AU137" s="779"/>
      <c r="AY137" s="779"/>
      <c r="BE137" s="780"/>
      <c r="BF137" s="780"/>
      <c r="BG137" s="780"/>
      <c r="BH137" s="780"/>
      <c r="BI137" s="780"/>
      <c r="BJ137" s="779"/>
      <c r="BK137" s="780"/>
      <c r="BL137" s="779"/>
      <c r="BM137" s="779"/>
    </row>
    <row r="138" spans="1:65" s="778" customFormat="1" ht="80.25" customHeight="1">
      <c r="A138" s="770"/>
      <c r="B138" s="771"/>
      <c r="C138" s="772" t="s">
        <v>229</v>
      </c>
      <c r="D138" s="772"/>
      <c r="E138" s="94" t="s">
        <v>1191</v>
      </c>
      <c r="F138" s="1116" t="s">
        <v>690</v>
      </c>
      <c r="G138" s="1116"/>
      <c r="H138" s="1116"/>
      <c r="I138" s="1116"/>
      <c r="J138" s="137" t="s">
        <v>198</v>
      </c>
      <c r="K138" s="126">
        <v>3</v>
      </c>
      <c r="L138" s="13"/>
      <c r="M138" s="128"/>
      <c r="N138" s="1126">
        <f>K138*L138</f>
        <v>0</v>
      </c>
      <c r="O138" s="1127"/>
      <c r="P138" s="1127"/>
      <c r="Q138" s="1128"/>
      <c r="R138" s="773"/>
      <c r="S138" s="770"/>
      <c r="T138" s="774"/>
      <c r="U138" s="775"/>
      <c r="V138" s="776"/>
      <c r="W138" s="776"/>
      <c r="X138" s="776"/>
      <c r="Y138" s="776"/>
      <c r="Z138" s="776"/>
      <c r="AA138" s="777"/>
      <c r="AC138" s="162"/>
      <c r="AD138" s="162"/>
      <c r="AU138" s="779"/>
      <c r="AY138" s="779"/>
      <c r="BE138" s="780"/>
      <c r="BF138" s="780"/>
      <c r="BG138" s="780"/>
      <c r="BH138" s="780"/>
      <c r="BI138" s="780"/>
      <c r="BJ138" s="779"/>
      <c r="BK138" s="780"/>
      <c r="BL138" s="779"/>
      <c r="BM138" s="779"/>
    </row>
    <row r="139" spans="1:65" s="778" customFormat="1" ht="36" customHeight="1">
      <c r="A139" s="770"/>
      <c r="B139" s="771"/>
      <c r="C139" s="772" t="s">
        <v>230</v>
      </c>
      <c r="D139" s="772"/>
      <c r="E139" s="94" t="s">
        <v>1192</v>
      </c>
      <c r="F139" s="1129" t="s">
        <v>691</v>
      </c>
      <c r="G139" s="1129"/>
      <c r="H139" s="1129"/>
      <c r="I139" s="1129"/>
      <c r="J139" s="132" t="s">
        <v>373</v>
      </c>
      <c r="K139" s="127">
        <v>50</v>
      </c>
      <c r="L139" s="13"/>
      <c r="M139" s="128"/>
      <c r="N139" s="1126">
        <f>K139*L139</f>
        <v>0</v>
      </c>
      <c r="O139" s="1127"/>
      <c r="P139" s="1127"/>
      <c r="Q139" s="1128"/>
      <c r="R139" s="773"/>
      <c r="S139" s="770"/>
      <c r="T139" s="774"/>
      <c r="U139" s="775"/>
      <c r="V139" s="776"/>
      <c r="W139" s="776"/>
      <c r="X139" s="776"/>
      <c r="Y139" s="776"/>
      <c r="Z139" s="776"/>
      <c r="AA139" s="777"/>
      <c r="AC139" s="162"/>
      <c r="AD139" s="162"/>
      <c r="AU139" s="779"/>
      <c r="AY139" s="779"/>
      <c r="BE139" s="780"/>
      <c r="BF139" s="780"/>
      <c r="BG139" s="780"/>
      <c r="BH139" s="780"/>
      <c r="BI139" s="780"/>
      <c r="BJ139" s="779"/>
      <c r="BK139" s="780"/>
      <c r="BL139" s="779"/>
      <c r="BM139" s="779"/>
    </row>
    <row r="140" spans="1:65" s="778" customFormat="1" ht="44.45" customHeight="1">
      <c r="A140" s="770"/>
      <c r="B140" s="771"/>
      <c r="C140" s="772" t="s">
        <v>231</v>
      </c>
      <c r="D140" s="772"/>
      <c r="E140" s="94" t="s">
        <v>1193</v>
      </c>
      <c r="F140" s="1116" t="s">
        <v>692</v>
      </c>
      <c r="G140" s="1116"/>
      <c r="H140" s="1116"/>
      <c r="I140" s="1116"/>
      <c r="J140" s="137" t="s">
        <v>131</v>
      </c>
      <c r="K140" s="126">
        <v>1</v>
      </c>
      <c r="L140" s="13"/>
      <c r="M140" s="128"/>
      <c r="N140" s="1126">
        <f>K140*L140</f>
        <v>0</v>
      </c>
      <c r="O140" s="1127"/>
      <c r="P140" s="1127"/>
      <c r="Q140" s="1128"/>
      <c r="R140" s="773"/>
      <c r="S140" s="770"/>
      <c r="T140" s="774"/>
      <c r="U140" s="775"/>
      <c r="V140" s="776"/>
      <c r="W140" s="776"/>
      <c r="X140" s="776"/>
      <c r="Y140" s="776"/>
      <c r="Z140" s="776"/>
      <c r="AA140" s="777"/>
      <c r="AC140" s="162"/>
      <c r="AD140" s="162"/>
      <c r="AU140" s="779"/>
      <c r="AY140" s="779"/>
      <c r="BE140" s="780"/>
      <c r="BF140" s="780"/>
      <c r="BG140" s="780"/>
      <c r="BH140" s="780"/>
      <c r="BI140" s="780"/>
      <c r="BJ140" s="779"/>
      <c r="BK140" s="780"/>
      <c r="BL140" s="779"/>
      <c r="BM140" s="779"/>
    </row>
    <row r="141" spans="1:65" s="497" customFormat="1" ht="45.6" customHeight="1">
      <c r="A141" s="492"/>
      <c r="B141" s="489"/>
      <c r="C141" s="195" t="s">
        <v>232</v>
      </c>
      <c r="D141" s="765"/>
      <c r="E141" s="94" t="s">
        <v>1194</v>
      </c>
      <c r="F141" s="960" t="s">
        <v>693</v>
      </c>
      <c r="G141" s="960"/>
      <c r="H141" s="960"/>
      <c r="I141" s="960"/>
      <c r="J141" s="94" t="s">
        <v>694</v>
      </c>
      <c r="K141" s="95">
        <v>20</v>
      </c>
      <c r="L141" s="21"/>
      <c r="M141" s="128"/>
      <c r="N141" s="1113">
        <f>K141*L141</f>
        <v>0</v>
      </c>
      <c r="O141" s="1114"/>
      <c r="P141" s="1114"/>
      <c r="Q141" s="1115"/>
      <c r="R141" s="491"/>
      <c r="S141" s="492"/>
      <c r="T141" s="766"/>
      <c r="U141" s="494"/>
      <c r="V141" s="495"/>
      <c r="W141" s="495"/>
      <c r="X141" s="495"/>
      <c r="Y141" s="495"/>
      <c r="Z141" s="495"/>
      <c r="AA141" s="496"/>
      <c r="AC141" s="162"/>
      <c r="AD141" s="162"/>
      <c r="AU141" s="498"/>
      <c r="AY141" s="498"/>
      <c r="BE141" s="499"/>
      <c r="BF141" s="499"/>
      <c r="BG141" s="499"/>
      <c r="BH141" s="499"/>
      <c r="BI141" s="499"/>
      <c r="BJ141" s="498"/>
      <c r="BK141" s="499"/>
      <c r="BL141" s="498"/>
      <c r="BM141" s="498"/>
    </row>
    <row r="142" spans="1:65" s="497" customFormat="1" ht="36.6" customHeight="1">
      <c r="A142" s="492"/>
      <c r="B142" s="489"/>
      <c r="C142" s="195" t="s">
        <v>233</v>
      </c>
      <c r="D142" s="765"/>
      <c r="E142" s="94" t="s">
        <v>1195</v>
      </c>
      <c r="F142" s="960" t="s">
        <v>695</v>
      </c>
      <c r="G142" s="960"/>
      <c r="H142" s="960"/>
      <c r="I142" s="960"/>
      <c r="J142" s="781" t="s">
        <v>198</v>
      </c>
      <c r="K142" s="98">
        <v>14</v>
      </c>
      <c r="L142" s="21"/>
      <c r="M142" s="128"/>
      <c r="N142" s="1110">
        <f>ROUND(L142*K142,2)</f>
        <v>0</v>
      </c>
      <c r="O142" s="1110"/>
      <c r="P142" s="1110"/>
      <c r="Q142" s="1110"/>
      <c r="R142" s="491"/>
      <c r="S142" s="492"/>
      <c r="T142" s="766" t="s">
        <v>5</v>
      </c>
      <c r="U142" s="494" t="s">
        <v>36</v>
      </c>
      <c r="V142" s="495">
        <v>0</v>
      </c>
      <c r="W142" s="495" t="e">
        <f>V142*#REF!</f>
        <v>#REF!</v>
      </c>
      <c r="X142" s="495">
        <v>0</v>
      </c>
      <c r="Y142" s="495" t="e">
        <f>X142*#REF!</f>
        <v>#REF!</v>
      </c>
      <c r="Z142" s="495">
        <v>0</v>
      </c>
      <c r="AA142" s="496" t="e">
        <f>Z142*#REF!</f>
        <v>#REF!</v>
      </c>
      <c r="AC142" s="162"/>
      <c r="AD142" s="162"/>
      <c r="AU142" s="498" t="s">
        <v>76</v>
      </c>
      <c r="AY142" s="498" t="s">
        <v>125</v>
      </c>
      <c r="BE142" s="499">
        <f>IF(U142="základní",#REF!,0)</f>
        <v>0</v>
      </c>
      <c r="BF142" s="499" t="e">
        <f>IF(U142="snížená",#REF!,0)</f>
        <v>#REF!</v>
      </c>
      <c r="BG142" s="499">
        <f>IF(U142="zákl. přenesená",#REF!,0)</f>
        <v>0</v>
      </c>
      <c r="BH142" s="499">
        <f>IF(U142="sníž. přenesená",#REF!,0)</f>
        <v>0</v>
      </c>
      <c r="BI142" s="499">
        <f>IF(U142="nulová",#REF!,0)</f>
        <v>0</v>
      </c>
      <c r="BJ142" s="498" t="s">
        <v>80</v>
      </c>
      <c r="BK142" s="499" t="e">
        <f>ROUND(#REF!*#REF!,2)</f>
        <v>#REF!</v>
      </c>
      <c r="BL142" s="498" t="s">
        <v>128</v>
      </c>
      <c r="BM142" s="498" t="s">
        <v>128</v>
      </c>
    </row>
    <row r="143" spans="1:65" s="778" customFormat="1" ht="44.45" customHeight="1">
      <c r="A143" s="770"/>
      <c r="B143" s="771"/>
      <c r="C143" s="772" t="s">
        <v>234</v>
      </c>
      <c r="D143" s="772"/>
      <c r="E143" s="94" t="s">
        <v>1196</v>
      </c>
      <c r="F143" s="1116" t="s">
        <v>696</v>
      </c>
      <c r="G143" s="1116"/>
      <c r="H143" s="1116"/>
      <c r="I143" s="1116"/>
      <c r="J143" s="137" t="s">
        <v>198</v>
      </c>
      <c r="K143" s="126">
        <v>1</v>
      </c>
      <c r="L143" s="13"/>
      <c r="M143" s="128"/>
      <c r="N143" s="1111">
        <f>ROUND(L143*K143,2)</f>
        <v>0</v>
      </c>
      <c r="O143" s="1111"/>
      <c r="P143" s="1111"/>
      <c r="Q143" s="1111"/>
      <c r="R143" s="773"/>
      <c r="S143" s="770"/>
      <c r="T143" s="774" t="s">
        <v>5</v>
      </c>
      <c r="U143" s="775" t="s">
        <v>36</v>
      </c>
      <c r="V143" s="776">
        <v>0</v>
      </c>
      <c r="W143" s="776" t="e">
        <f>V143*#REF!</f>
        <v>#REF!</v>
      </c>
      <c r="X143" s="776">
        <v>0</v>
      </c>
      <c r="Y143" s="776" t="e">
        <f>X143*#REF!</f>
        <v>#REF!</v>
      </c>
      <c r="Z143" s="776">
        <v>0</v>
      </c>
      <c r="AA143" s="777" t="e">
        <f>Z143*#REF!</f>
        <v>#REF!</v>
      </c>
      <c r="AC143" s="162"/>
      <c r="AD143" s="162"/>
      <c r="AU143" s="779" t="s">
        <v>76</v>
      </c>
      <c r="AY143" s="779" t="s">
        <v>125</v>
      </c>
      <c r="BE143" s="780">
        <f>IF(U143="základní",#REF!,0)</f>
        <v>0</v>
      </c>
      <c r="BF143" s="780" t="e">
        <f>IF(U143="snížená",#REF!,0)</f>
        <v>#REF!</v>
      </c>
      <c r="BG143" s="780">
        <f>IF(U143="zákl. přenesená",#REF!,0)</f>
        <v>0</v>
      </c>
      <c r="BH143" s="780">
        <f>IF(U143="sníž. přenesená",#REF!,0)</f>
        <v>0</v>
      </c>
      <c r="BI143" s="780">
        <f>IF(U143="nulová",#REF!,0)</f>
        <v>0</v>
      </c>
      <c r="BJ143" s="779" t="s">
        <v>80</v>
      </c>
      <c r="BK143" s="780" t="e">
        <f>ROUND(#REF!*#REF!,2)</f>
        <v>#REF!</v>
      </c>
      <c r="BL143" s="779" t="s">
        <v>128</v>
      </c>
      <c r="BM143" s="779" t="s">
        <v>132</v>
      </c>
    </row>
    <row r="144" spans="1:65" s="497" customFormat="1" ht="42.6" customHeight="1">
      <c r="A144" s="492"/>
      <c r="B144" s="489"/>
      <c r="C144" s="195" t="s">
        <v>235</v>
      </c>
      <c r="D144" s="765"/>
      <c r="E144" s="94" t="s">
        <v>1197</v>
      </c>
      <c r="F144" s="960" t="s">
        <v>697</v>
      </c>
      <c r="G144" s="960"/>
      <c r="H144" s="960"/>
      <c r="I144" s="960"/>
      <c r="J144" s="781" t="s">
        <v>198</v>
      </c>
      <c r="K144" s="98">
        <v>14</v>
      </c>
      <c r="L144" s="21"/>
      <c r="M144" s="128"/>
      <c r="N144" s="1110">
        <f>ROUND(L144*K144,2)</f>
        <v>0</v>
      </c>
      <c r="O144" s="1110"/>
      <c r="P144" s="1110"/>
      <c r="Q144" s="1110"/>
      <c r="R144" s="491"/>
      <c r="S144" s="492"/>
      <c r="T144" s="766" t="s">
        <v>5</v>
      </c>
      <c r="U144" s="494" t="s">
        <v>36</v>
      </c>
      <c r="V144" s="495">
        <v>0</v>
      </c>
      <c r="W144" s="495" t="e">
        <f>V144*#REF!</f>
        <v>#REF!</v>
      </c>
      <c r="X144" s="495">
        <v>0</v>
      </c>
      <c r="Y144" s="495" t="e">
        <f>X144*#REF!</f>
        <v>#REF!</v>
      </c>
      <c r="Z144" s="495">
        <v>0</v>
      </c>
      <c r="AA144" s="496" t="e">
        <f>Z144*#REF!</f>
        <v>#REF!</v>
      </c>
      <c r="AC144" s="162"/>
      <c r="AD144" s="162"/>
      <c r="AU144" s="498" t="s">
        <v>76</v>
      </c>
      <c r="AY144" s="498" t="s">
        <v>125</v>
      </c>
      <c r="BE144" s="499">
        <f>IF(U144="základní",#REF!,0)</f>
        <v>0</v>
      </c>
      <c r="BF144" s="499" t="e">
        <f>IF(U144="snížená",#REF!,0)</f>
        <v>#REF!</v>
      </c>
      <c r="BG144" s="499">
        <f>IF(U144="zákl. přenesená",#REF!,0)</f>
        <v>0</v>
      </c>
      <c r="BH144" s="499">
        <f>IF(U144="sníž. přenesená",#REF!,0)</f>
        <v>0</v>
      </c>
      <c r="BI144" s="499">
        <f>IF(U144="nulová",#REF!,0)</f>
        <v>0</v>
      </c>
      <c r="BJ144" s="498" t="s">
        <v>80</v>
      </c>
      <c r="BK144" s="499" t="e">
        <f>ROUND(#REF!*#REF!,2)</f>
        <v>#REF!</v>
      </c>
      <c r="BL144" s="498" t="s">
        <v>128</v>
      </c>
      <c r="BM144" s="498" t="s">
        <v>137</v>
      </c>
    </row>
    <row r="145" spans="1:65" s="162" customFormat="1" ht="45.6" customHeight="1">
      <c r="A145" s="58"/>
      <c r="B145" s="399"/>
      <c r="C145" s="181"/>
      <c r="D145" s="105" t="s">
        <v>698</v>
      </c>
      <c r="E145" s="128"/>
      <c r="F145" s="128"/>
      <c r="G145" s="128"/>
      <c r="H145" s="128"/>
      <c r="I145" s="128"/>
      <c r="J145" s="128"/>
      <c r="K145" s="128"/>
      <c r="L145" s="800"/>
      <c r="M145" s="128"/>
      <c r="N145" s="768"/>
      <c r="O145" s="769"/>
      <c r="P145" s="769"/>
      <c r="Q145" s="769"/>
      <c r="R145" s="400"/>
      <c r="S145" s="400"/>
      <c r="T145" s="483"/>
      <c r="U145" s="221"/>
      <c r="V145" s="408"/>
      <c r="W145" s="408"/>
      <c r="X145" s="408"/>
      <c r="Y145" s="408"/>
      <c r="Z145" s="408"/>
      <c r="AA145" s="409"/>
      <c r="AU145" s="448"/>
      <c r="AY145" s="448"/>
      <c r="BE145" s="484"/>
      <c r="BF145" s="484"/>
      <c r="BG145" s="484"/>
      <c r="BH145" s="484"/>
      <c r="BI145" s="484"/>
      <c r="BJ145" s="448"/>
      <c r="BK145" s="484"/>
      <c r="BL145" s="448"/>
      <c r="BM145" s="448"/>
    </row>
    <row r="146" spans="1:65" s="497" customFormat="1" ht="40.9" customHeight="1">
      <c r="A146" s="492"/>
      <c r="B146" s="489"/>
      <c r="C146" s="195" t="s">
        <v>769</v>
      </c>
      <c r="D146" s="782"/>
      <c r="E146" s="94" t="s">
        <v>1198</v>
      </c>
      <c r="F146" s="960" t="s">
        <v>699</v>
      </c>
      <c r="G146" s="960"/>
      <c r="H146" s="960"/>
      <c r="I146" s="960"/>
      <c r="J146" s="783" t="s">
        <v>131</v>
      </c>
      <c r="K146" s="129">
        <v>1</v>
      </c>
      <c r="L146" s="21"/>
      <c r="M146" s="128"/>
      <c r="N146" s="1110">
        <f aca="true" t="shared" si="3" ref="N146:N161">ROUND(L146*K146,2)</f>
        <v>0</v>
      </c>
      <c r="O146" s="1110"/>
      <c r="P146" s="1110"/>
      <c r="Q146" s="1110"/>
      <c r="R146" s="491"/>
      <c r="S146" s="492"/>
      <c r="T146" s="766"/>
      <c r="U146" s="494"/>
      <c r="V146" s="495"/>
      <c r="W146" s="495"/>
      <c r="X146" s="495"/>
      <c r="Y146" s="495"/>
      <c r="Z146" s="495"/>
      <c r="AA146" s="496"/>
      <c r="AC146" s="162"/>
      <c r="AD146" s="162"/>
      <c r="AU146" s="498"/>
      <c r="AY146" s="498"/>
      <c r="BE146" s="499"/>
      <c r="BF146" s="499"/>
      <c r="BG146" s="499"/>
      <c r="BH146" s="499"/>
      <c r="BI146" s="499"/>
      <c r="BJ146" s="498"/>
      <c r="BK146" s="499"/>
      <c r="BL146" s="498"/>
      <c r="BM146" s="498"/>
    </row>
    <row r="147" spans="1:65" s="778" customFormat="1" ht="54" customHeight="1">
      <c r="A147" s="770"/>
      <c r="B147" s="771"/>
      <c r="C147" s="772" t="s">
        <v>770</v>
      </c>
      <c r="D147" s="772"/>
      <c r="E147" s="94" t="s">
        <v>1199</v>
      </c>
      <c r="F147" s="1117" t="s">
        <v>700</v>
      </c>
      <c r="G147" s="1118"/>
      <c r="H147" s="1118"/>
      <c r="I147" s="1119"/>
      <c r="J147" s="137" t="s">
        <v>133</v>
      </c>
      <c r="K147" s="126">
        <v>76</v>
      </c>
      <c r="L147" s="13"/>
      <c r="M147" s="128"/>
      <c r="N147" s="1111">
        <f t="shared" si="3"/>
        <v>0</v>
      </c>
      <c r="O147" s="1111"/>
      <c r="P147" s="1111"/>
      <c r="Q147" s="1111"/>
      <c r="R147" s="773"/>
      <c r="S147" s="770"/>
      <c r="T147" s="774"/>
      <c r="U147" s="775"/>
      <c r="V147" s="776"/>
      <c r="W147" s="776"/>
      <c r="X147" s="776"/>
      <c r="Y147" s="776"/>
      <c r="Z147" s="776"/>
      <c r="AA147" s="777"/>
      <c r="AC147" s="162"/>
      <c r="AD147" s="162"/>
      <c r="AU147" s="779"/>
      <c r="AY147" s="779"/>
      <c r="BE147" s="780"/>
      <c r="BF147" s="780"/>
      <c r="BG147" s="780"/>
      <c r="BH147" s="780"/>
      <c r="BI147" s="780"/>
      <c r="BJ147" s="779"/>
      <c r="BK147" s="780"/>
      <c r="BL147" s="779"/>
      <c r="BM147" s="779"/>
    </row>
    <row r="148" spans="1:65" s="778" customFormat="1" ht="54" customHeight="1">
      <c r="A148" s="770"/>
      <c r="B148" s="771"/>
      <c r="C148" s="772" t="s">
        <v>771</v>
      </c>
      <c r="D148" s="772"/>
      <c r="E148" s="94" t="s">
        <v>1200</v>
      </c>
      <c r="F148" s="1117" t="s">
        <v>701</v>
      </c>
      <c r="G148" s="1118"/>
      <c r="H148" s="1118"/>
      <c r="I148" s="1119"/>
      <c r="J148" s="137" t="s">
        <v>133</v>
      </c>
      <c r="K148" s="126">
        <v>150</v>
      </c>
      <c r="L148" s="13"/>
      <c r="M148" s="128"/>
      <c r="N148" s="1111">
        <f t="shared" si="3"/>
        <v>0</v>
      </c>
      <c r="O148" s="1111"/>
      <c r="P148" s="1111"/>
      <c r="Q148" s="1111"/>
      <c r="R148" s="773"/>
      <c r="S148" s="770"/>
      <c r="T148" s="774"/>
      <c r="U148" s="775"/>
      <c r="V148" s="776"/>
      <c r="W148" s="776"/>
      <c r="X148" s="776"/>
      <c r="Y148" s="776"/>
      <c r="Z148" s="776"/>
      <c r="AA148" s="777"/>
      <c r="AC148" s="162"/>
      <c r="AD148" s="162"/>
      <c r="AU148" s="779"/>
      <c r="AY148" s="779"/>
      <c r="BE148" s="780"/>
      <c r="BF148" s="780"/>
      <c r="BG148" s="780"/>
      <c r="BH148" s="780"/>
      <c r="BI148" s="780"/>
      <c r="BJ148" s="779"/>
      <c r="BK148" s="780"/>
      <c r="BL148" s="779"/>
      <c r="BM148" s="779"/>
    </row>
    <row r="149" spans="1:65" s="778" customFormat="1" ht="54" customHeight="1">
      <c r="A149" s="770"/>
      <c r="B149" s="771"/>
      <c r="C149" s="772" t="s">
        <v>772</v>
      </c>
      <c r="D149" s="772"/>
      <c r="E149" s="94" t="s">
        <v>1201</v>
      </c>
      <c r="F149" s="1117" t="s">
        <v>702</v>
      </c>
      <c r="G149" s="1118"/>
      <c r="H149" s="1118"/>
      <c r="I149" s="1119"/>
      <c r="J149" s="137" t="s">
        <v>133</v>
      </c>
      <c r="K149" s="126">
        <v>14</v>
      </c>
      <c r="L149" s="13"/>
      <c r="M149" s="128"/>
      <c r="N149" s="1111">
        <f t="shared" si="3"/>
        <v>0</v>
      </c>
      <c r="O149" s="1111"/>
      <c r="P149" s="1111"/>
      <c r="Q149" s="1111"/>
      <c r="R149" s="773"/>
      <c r="S149" s="770"/>
      <c r="T149" s="774"/>
      <c r="U149" s="775"/>
      <c r="V149" s="776"/>
      <c r="W149" s="776"/>
      <c r="X149" s="776"/>
      <c r="Y149" s="776"/>
      <c r="Z149" s="776"/>
      <c r="AA149" s="777"/>
      <c r="AC149" s="162"/>
      <c r="AD149" s="162"/>
      <c r="AU149" s="779"/>
      <c r="AY149" s="779"/>
      <c r="BE149" s="780"/>
      <c r="BF149" s="780"/>
      <c r="BG149" s="780"/>
      <c r="BH149" s="780"/>
      <c r="BI149" s="780"/>
      <c r="BJ149" s="779"/>
      <c r="BK149" s="780"/>
      <c r="BL149" s="779"/>
      <c r="BM149" s="779"/>
    </row>
    <row r="150" spans="1:65" s="778" customFormat="1" ht="54" customHeight="1">
      <c r="A150" s="770"/>
      <c r="B150" s="771"/>
      <c r="C150" s="772" t="s">
        <v>773</v>
      </c>
      <c r="D150" s="772"/>
      <c r="E150" s="94" t="s">
        <v>1202</v>
      </c>
      <c r="F150" s="1117" t="s">
        <v>703</v>
      </c>
      <c r="G150" s="1118"/>
      <c r="H150" s="1118"/>
      <c r="I150" s="1119"/>
      <c r="J150" s="137" t="s">
        <v>133</v>
      </c>
      <c r="K150" s="126">
        <v>3</v>
      </c>
      <c r="L150" s="13"/>
      <c r="M150" s="128"/>
      <c r="N150" s="1111">
        <f t="shared" si="3"/>
        <v>0</v>
      </c>
      <c r="O150" s="1111"/>
      <c r="P150" s="1111"/>
      <c r="Q150" s="1111"/>
      <c r="R150" s="773"/>
      <c r="S150" s="770"/>
      <c r="T150" s="774"/>
      <c r="U150" s="775"/>
      <c r="V150" s="776"/>
      <c r="W150" s="776"/>
      <c r="X150" s="776"/>
      <c r="Y150" s="776"/>
      <c r="Z150" s="776"/>
      <c r="AA150" s="777"/>
      <c r="AC150" s="162"/>
      <c r="AD150" s="162"/>
      <c r="AU150" s="779"/>
      <c r="AY150" s="779"/>
      <c r="BE150" s="780"/>
      <c r="BF150" s="780"/>
      <c r="BG150" s="780"/>
      <c r="BH150" s="780"/>
      <c r="BI150" s="780"/>
      <c r="BJ150" s="779"/>
      <c r="BK150" s="780"/>
      <c r="BL150" s="779"/>
      <c r="BM150" s="779"/>
    </row>
    <row r="151" spans="1:65" s="778" customFormat="1" ht="54" customHeight="1">
      <c r="A151" s="770"/>
      <c r="B151" s="771"/>
      <c r="C151" s="772" t="s">
        <v>774</v>
      </c>
      <c r="D151" s="772"/>
      <c r="E151" s="94" t="s">
        <v>1203</v>
      </c>
      <c r="F151" s="1117" t="s">
        <v>704</v>
      </c>
      <c r="G151" s="1118"/>
      <c r="H151" s="1118"/>
      <c r="I151" s="1119"/>
      <c r="J151" s="137" t="s">
        <v>133</v>
      </c>
      <c r="K151" s="126">
        <v>62</v>
      </c>
      <c r="L151" s="13"/>
      <c r="M151" s="128"/>
      <c r="N151" s="1111">
        <f t="shared" si="3"/>
        <v>0</v>
      </c>
      <c r="O151" s="1111"/>
      <c r="P151" s="1111"/>
      <c r="Q151" s="1111"/>
      <c r="R151" s="773"/>
      <c r="S151" s="770"/>
      <c r="T151" s="774"/>
      <c r="U151" s="775"/>
      <c r="V151" s="776"/>
      <c r="W151" s="776"/>
      <c r="X151" s="776"/>
      <c r="Y151" s="776"/>
      <c r="Z151" s="776"/>
      <c r="AA151" s="777"/>
      <c r="AC151" s="162"/>
      <c r="AD151" s="162"/>
      <c r="AU151" s="779"/>
      <c r="AY151" s="779"/>
      <c r="BE151" s="780"/>
      <c r="BF151" s="780"/>
      <c r="BG151" s="780"/>
      <c r="BH151" s="780"/>
      <c r="BI151" s="780"/>
      <c r="BJ151" s="779"/>
      <c r="BK151" s="780"/>
      <c r="BL151" s="779"/>
      <c r="BM151" s="779"/>
    </row>
    <row r="152" spans="2:47" s="778" customFormat="1" ht="54" customHeight="1">
      <c r="B152" s="771"/>
      <c r="C152" s="772" t="s">
        <v>775</v>
      </c>
      <c r="D152" s="772"/>
      <c r="E152" s="94" t="s">
        <v>1204</v>
      </c>
      <c r="F152" s="1117" t="s">
        <v>705</v>
      </c>
      <c r="G152" s="1118"/>
      <c r="H152" s="1118"/>
      <c r="I152" s="1119"/>
      <c r="J152" s="137" t="s">
        <v>133</v>
      </c>
      <c r="K152" s="126">
        <v>30</v>
      </c>
      <c r="L152" s="15"/>
      <c r="M152" s="128"/>
      <c r="N152" s="1111">
        <f t="shared" si="3"/>
        <v>0</v>
      </c>
      <c r="O152" s="1111"/>
      <c r="P152" s="1111"/>
      <c r="Q152" s="1111"/>
      <c r="R152" s="773"/>
      <c r="T152" s="784"/>
      <c r="U152" s="770"/>
      <c r="V152" s="770"/>
      <c r="W152" s="770"/>
      <c r="X152" s="770"/>
      <c r="Y152" s="770"/>
      <c r="Z152" s="770"/>
      <c r="AA152" s="785"/>
      <c r="AC152" s="162"/>
      <c r="AD152" s="162"/>
      <c r="AU152" s="779" t="s">
        <v>76</v>
      </c>
    </row>
    <row r="153" spans="2:47" s="778" customFormat="1" ht="54" customHeight="1">
      <c r="B153" s="771"/>
      <c r="C153" s="772" t="s">
        <v>776</v>
      </c>
      <c r="D153" s="772"/>
      <c r="E153" s="94" t="s">
        <v>1205</v>
      </c>
      <c r="F153" s="1117" t="s">
        <v>706</v>
      </c>
      <c r="G153" s="1118"/>
      <c r="H153" s="1118"/>
      <c r="I153" s="1119"/>
      <c r="J153" s="137" t="s">
        <v>133</v>
      </c>
      <c r="K153" s="126">
        <v>44</v>
      </c>
      <c r="L153" s="13"/>
      <c r="M153" s="128"/>
      <c r="N153" s="1111">
        <f t="shared" si="3"/>
        <v>0</v>
      </c>
      <c r="O153" s="1111"/>
      <c r="P153" s="1111"/>
      <c r="Q153" s="1111"/>
      <c r="R153" s="773"/>
      <c r="T153" s="784"/>
      <c r="U153" s="770"/>
      <c r="V153" s="770"/>
      <c r="W153" s="770"/>
      <c r="X153" s="770"/>
      <c r="Y153" s="770"/>
      <c r="Z153" s="770"/>
      <c r="AA153" s="785"/>
      <c r="AC153" s="162"/>
      <c r="AD153" s="162"/>
      <c r="AU153" s="779"/>
    </row>
    <row r="154" spans="1:65" s="778" customFormat="1" ht="74.25" customHeight="1">
      <c r="A154" s="770"/>
      <c r="B154" s="771"/>
      <c r="C154" s="772" t="s">
        <v>777</v>
      </c>
      <c r="D154" s="772"/>
      <c r="E154" s="94" t="s">
        <v>1206</v>
      </c>
      <c r="F154" s="1116" t="s">
        <v>707</v>
      </c>
      <c r="G154" s="1116"/>
      <c r="H154" s="1116"/>
      <c r="I154" s="1116"/>
      <c r="J154" s="137" t="s">
        <v>133</v>
      </c>
      <c r="K154" s="126">
        <v>13</v>
      </c>
      <c r="L154" s="13"/>
      <c r="M154" s="128"/>
      <c r="N154" s="1111">
        <f t="shared" si="3"/>
        <v>0</v>
      </c>
      <c r="O154" s="1111"/>
      <c r="P154" s="1111"/>
      <c r="Q154" s="1111"/>
      <c r="R154" s="773"/>
      <c r="S154" s="770"/>
      <c r="T154" s="774"/>
      <c r="U154" s="775"/>
      <c r="V154" s="776"/>
      <c r="W154" s="776"/>
      <c r="X154" s="776"/>
      <c r="Y154" s="776"/>
      <c r="Z154" s="776"/>
      <c r="AA154" s="777"/>
      <c r="AC154" s="162"/>
      <c r="AD154" s="162"/>
      <c r="AU154" s="779"/>
      <c r="AY154" s="779"/>
      <c r="BE154" s="780"/>
      <c r="BF154" s="780"/>
      <c r="BG154" s="780"/>
      <c r="BH154" s="780"/>
      <c r="BI154" s="780"/>
      <c r="BJ154" s="779"/>
      <c r="BK154" s="780"/>
      <c r="BL154" s="779"/>
      <c r="BM154" s="779"/>
    </row>
    <row r="155" spans="1:65" s="778" customFormat="1" ht="74.25" customHeight="1">
      <c r="A155" s="770"/>
      <c r="B155" s="771"/>
      <c r="C155" s="772" t="s">
        <v>778</v>
      </c>
      <c r="D155" s="772"/>
      <c r="E155" s="94" t="s">
        <v>1207</v>
      </c>
      <c r="F155" s="1116" t="s">
        <v>708</v>
      </c>
      <c r="G155" s="1116"/>
      <c r="H155" s="1116"/>
      <c r="I155" s="1116"/>
      <c r="J155" s="137" t="s">
        <v>133</v>
      </c>
      <c r="K155" s="126">
        <v>3</v>
      </c>
      <c r="L155" s="13"/>
      <c r="M155" s="128"/>
      <c r="N155" s="1111">
        <f t="shared" si="3"/>
        <v>0</v>
      </c>
      <c r="O155" s="1111"/>
      <c r="P155" s="1111"/>
      <c r="Q155" s="1111"/>
      <c r="R155" s="773"/>
      <c r="S155" s="770"/>
      <c r="T155" s="786"/>
      <c r="U155" s="775"/>
      <c r="V155" s="776"/>
      <c r="W155" s="776"/>
      <c r="X155" s="776"/>
      <c r="Y155" s="776"/>
      <c r="Z155" s="776"/>
      <c r="AA155" s="777"/>
      <c r="AC155" s="162"/>
      <c r="AD155" s="162"/>
      <c r="AU155" s="779"/>
      <c r="AY155" s="779"/>
      <c r="BE155" s="780"/>
      <c r="BF155" s="780"/>
      <c r="BG155" s="780"/>
      <c r="BH155" s="780"/>
      <c r="BI155" s="780"/>
      <c r="BJ155" s="779"/>
      <c r="BK155" s="780"/>
      <c r="BL155" s="779"/>
      <c r="BM155" s="779"/>
    </row>
    <row r="156" spans="1:65" s="778" customFormat="1" ht="74.25" customHeight="1">
      <c r="A156" s="770"/>
      <c r="B156" s="771"/>
      <c r="C156" s="772" t="s">
        <v>779</v>
      </c>
      <c r="D156" s="772"/>
      <c r="E156" s="94" t="s">
        <v>1208</v>
      </c>
      <c r="F156" s="1116" t="s">
        <v>709</v>
      </c>
      <c r="G156" s="1116"/>
      <c r="H156" s="1116"/>
      <c r="I156" s="1116"/>
      <c r="J156" s="137" t="s">
        <v>133</v>
      </c>
      <c r="K156" s="126">
        <v>60</v>
      </c>
      <c r="L156" s="13"/>
      <c r="M156" s="128"/>
      <c r="N156" s="1111">
        <f t="shared" si="3"/>
        <v>0</v>
      </c>
      <c r="O156" s="1111"/>
      <c r="P156" s="1111"/>
      <c r="Q156" s="1111"/>
      <c r="R156" s="773"/>
      <c r="S156" s="770"/>
      <c r="T156" s="786"/>
      <c r="U156" s="775"/>
      <c r="V156" s="776"/>
      <c r="W156" s="776"/>
      <c r="X156" s="776"/>
      <c r="Y156" s="776"/>
      <c r="Z156" s="776"/>
      <c r="AA156" s="777"/>
      <c r="AC156" s="162"/>
      <c r="AD156" s="162"/>
      <c r="AU156" s="779"/>
      <c r="AY156" s="779"/>
      <c r="BE156" s="780"/>
      <c r="BF156" s="780"/>
      <c r="BG156" s="780"/>
      <c r="BH156" s="780"/>
      <c r="BI156" s="780"/>
      <c r="BJ156" s="779"/>
      <c r="BK156" s="780"/>
      <c r="BL156" s="779"/>
      <c r="BM156" s="779"/>
    </row>
    <row r="157" spans="1:65" s="778" customFormat="1" ht="74.25" customHeight="1">
      <c r="A157" s="770"/>
      <c r="B157" s="771"/>
      <c r="C157" s="772" t="s">
        <v>780</v>
      </c>
      <c r="D157" s="772"/>
      <c r="E157" s="94" t="s">
        <v>1209</v>
      </c>
      <c r="F157" s="1116" t="s">
        <v>710</v>
      </c>
      <c r="G157" s="1116"/>
      <c r="H157" s="1116"/>
      <c r="I157" s="1116"/>
      <c r="J157" s="137" t="s">
        <v>133</v>
      </c>
      <c r="K157" s="126">
        <v>30</v>
      </c>
      <c r="L157" s="13"/>
      <c r="M157" s="128"/>
      <c r="N157" s="1111">
        <f t="shared" si="3"/>
        <v>0</v>
      </c>
      <c r="O157" s="1111"/>
      <c r="P157" s="1111"/>
      <c r="Q157" s="1111"/>
      <c r="R157" s="773"/>
      <c r="S157" s="770"/>
      <c r="T157" s="786"/>
      <c r="U157" s="775"/>
      <c r="V157" s="776"/>
      <c r="W157" s="776"/>
      <c r="X157" s="776"/>
      <c r="Y157" s="776"/>
      <c r="Z157" s="776"/>
      <c r="AA157" s="777"/>
      <c r="AC157" s="162"/>
      <c r="AD157" s="162"/>
      <c r="AU157" s="779"/>
      <c r="AY157" s="779"/>
      <c r="BE157" s="780"/>
      <c r="BF157" s="780"/>
      <c r="BG157" s="780"/>
      <c r="BH157" s="780"/>
      <c r="BI157" s="780"/>
      <c r="BJ157" s="779"/>
      <c r="BK157" s="780"/>
      <c r="BL157" s="779"/>
      <c r="BM157" s="779"/>
    </row>
    <row r="158" spans="1:65" s="778" customFormat="1" ht="74.25" customHeight="1">
      <c r="A158" s="770"/>
      <c r="B158" s="771"/>
      <c r="C158" s="772" t="s">
        <v>781</v>
      </c>
      <c r="D158" s="772"/>
      <c r="E158" s="94" t="s">
        <v>1210</v>
      </c>
      <c r="F158" s="1116" t="s">
        <v>711</v>
      </c>
      <c r="G158" s="1116"/>
      <c r="H158" s="1116"/>
      <c r="I158" s="1116"/>
      <c r="J158" s="137" t="s">
        <v>133</v>
      </c>
      <c r="K158" s="126">
        <v>36</v>
      </c>
      <c r="L158" s="13"/>
      <c r="M158" s="128"/>
      <c r="N158" s="1111">
        <f t="shared" si="3"/>
        <v>0</v>
      </c>
      <c r="O158" s="1111"/>
      <c r="P158" s="1111"/>
      <c r="Q158" s="1111"/>
      <c r="R158" s="773"/>
      <c r="S158" s="770"/>
      <c r="T158" s="786"/>
      <c r="U158" s="775"/>
      <c r="V158" s="776"/>
      <c r="W158" s="776"/>
      <c r="X158" s="776"/>
      <c r="Y158" s="776"/>
      <c r="Z158" s="776"/>
      <c r="AA158" s="777"/>
      <c r="AC158" s="162"/>
      <c r="AD158" s="162"/>
      <c r="AU158" s="779"/>
      <c r="AY158" s="779"/>
      <c r="BE158" s="780"/>
      <c r="BF158" s="780"/>
      <c r="BG158" s="780"/>
      <c r="BH158" s="780"/>
      <c r="BI158" s="780"/>
      <c r="BJ158" s="779"/>
      <c r="BK158" s="780"/>
      <c r="BL158" s="779"/>
      <c r="BM158" s="779"/>
    </row>
    <row r="159" spans="2:47" s="778" customFormat="1" ht="61.5" customHeight="1">
      <c r="B159" s="771"/>
      <c r="C159" s="772" t="s">
        <v>782</v>
      </c>
      <c r="D159" s="772"/>
      <c r="E159" s="94" t="s">
        <v>1211</v>
      </c>
      <c r="F159" s="1116" t="s">
        <v>712</v>
      </c>
      <c r="G159" s="1116"/>
      <c r="H159" s="1116"/>
      <c r="I159" s="1116"/>
      <c r="J159" s="137" t="s">
        <v>133</v>
      </c>
      <c r="K159" s="126">
        <v>8</v>
      </c>
      <c r="L159" s="13"/>
      <c r="M159" s="128"/>
      <c r="N159" s="1111">
        <f t="shared" si="3"/>
        <v>0</v>
      </c>
      <c r="O159" s="1111"/>
      <c r="P159" s="1111"/>
      <c r="Q159" s="1111"/>
      <c r="R159" s="773"/>
      <c r="T159" s="784"/>
      <c r="U159" s="770"/>
      <c r="V159" s="770"/>
      <c r="W159" s="770"/>
      <c r="X159" s="770"/>
      <c r="Y159" s="770"/>
      <c r="Z159" s="770"/>
      <c r="AA159" s="785"/>
      <c r="AC159" s="162"/>
      <c r="AD159" s="162"/>
      <c r="AU159" s="779"/>
    </row>
    <row r="160" spans="2:63" s="787" customFormat="1" ht="49.9" customHeight="1">
      <c r="B160" s="771"/>
      <c r="C160" s="772" t="s">
        <v>783</v>
      </c>
      <c r="D160" s="772"/>
      <c r="E160" s="94" t="s">
        <v>1212</v>
      </c>
      <c r="F160" s="1116" t="s">
        <v>713</v>
      </c>
      <c r="G160" s="1116"/>
      <c r="H160" s="1116"/>
      <c r="I160" s="1116"/>
      <c r="J160" s="137" t="s">
        <v>133</v>
      </c>
      <c r="K160" s="126">
        <v>8</v>
      </c>
      <c r="L160" s="13"/>
      <c r="M160" s="128"/>
      <c r="N160" s="1111">
        <f t="shared" si="3"/>
        <v>0</v>
      </c>
      <c r="O160" s="1111"/>
      <c r="P160" s="1111"/>
      <c r="Q160" s="1111"/>
      <c r="R160" s="773"/>
      <c r="T160" s="788"/>
      <c r="U160" s="789"/>
      <c r="V160" s="789"/>
      <c r="W160" s="790">
        <f>SUM(W222:W251)</f>
        <v>0</v>
      </c>
      <c r="X160" s="789"/>
      <c r="Y160" s="790">
        <f>SUM(Y222:Y251)</f>
        <v>0</v>
      </c>
      <c r="Z160" s="789"/>
      <c r="AA160" s="791">
        <f>SUM(AA222:AA251)</f>
        <v>0</v>
      </c>
      <c r="AC160" s="162"/>
      <c r="AD160" s="162"/>
      <c r="AU160" s="792" t="s">
        <v>69</v>
      </c>
      <c r="AY160" s="793" t="s">
        <v>125</v>
      </c>
      <c r="BK160" s="780">
        <f>SUM(BK222:BK251)</f>
        <v>0</v>
      </c>
    </row>
    <row r="161" spans="2:63" s="787" customFormat="1" ht="49.9" customHeight="1">
      <c r="B161" s="771"/>
      <c r="C161" s="772" t="s">
        <v>784</v>
      </c>
      <c r="D161" s="772"/>
      <c r="E161" s="94" t="s">
        <v>1213</v>
      </c>
      <c r="F161" s="1117" t="s">
        <v>714</v>
      </c>
      <c r="G161" s="1118"/>
      <c r="H161" s="1118"/>
      <c r="I161" s="1119"/>
      <c r="J161" s="137" t="s">
        <v>131</v>
      </c>
      <c r="K161" s="126">
        <v>1</v>
      </c>
      <c r="L161" s="13"/>
      <c r="M161" s="128"/>
      <c r="N161" s="1111">
        <f t="shared" si="3"/>
        <v>0</v>
      </c>
      <c r="O161" s="1111"/>
      <c r="P161" s="1111"/>
      <c r="Q161" s="1111"/>
      <c r="R161" s="773"/>
      <c r="T161" s="788"/>
      <c r="U161" s="789"/>
      <c r="V161" s="789"/>
      <c r="W161" s="790"/>
      <c r="X161" s="789"/>
      <c r="Y161" s="790"/>
      <c r="Z161" s="789"/>
      <c r="AA161" s="791"/>
      <c r="AC161" s="162"/>
      <c r="AD161" s="162"/>
      <c r="AU161" s="792"/>
      <c r="AY161" s="793"/>
      <c r="BK161" s="780"/>
    </row>
    <row r="162" spans="1:65" s="162" customFormat="1" ht="45.6" customHeight="1">
      <c r="A162" s="58"/>
      <c r="B162" s="399"/>
      <c r="C162" s="181"/>
      <c r="D162" s="105" t="s">
        <v>715</v>
      </c>
      <c r="E162" s="128"/>
      <c r="F162" s="128"/>
      <c r="G162" s="128"/>
      <c r="H162" s="128"/>
      <c r="I162" s="128"/>
      <c r="J162" s="128"/>
      <c r="K162" s="128"/>
      <c r="L162" s="800"/>
      <c r="M162" s="128"/>
      <c r="N162" s="768"/>
      <c r="O162" s="769"/>
      <c r="P162" s="769"/>
      <c r="Q162" s="769"/>
      <c r="R162" s="400"/>
      <c r="S162" s="400"/>
      <c r="T162" s="483"/>
      <c r="U162" s="221"/>
      <c r="V162" s="408"/>
      <c r="W162" s="408"/>
      <c r="X162" s="408"/>
      <c r="Y162" s="408"/>
      <c r="Z162" s="408"/>
      <c r="AA162" s="409"/>
      <c r="AU162" s="448"/>
      <c r="AY162" s="448"/>
      <c r="BE162" s="484"/>
      <c r="BF162" s="484"/>
      <c r="BG162" s="484"/>
      <c r="BH162" s="484"/>
      <c r="BI162" s="484"/>
      <c r="BJ162" s="448"/>
      <c r="BK162" s="484"/>
      <c r="BL162" s="448"/>
      <c r="BM162" s="448"/>
    </row>
    <row r="163" spans="1:65" s="162" customFormat="1" ht="45.6" customHeight="1">
      <c r="A163" s="58"/>
      <c r="B163" s="399"/>
      <c r="C163" s="149" t="s">
        <v>785</v>
      </c>
      <c r="D163" s="486"/>
      <c r="E163" s="94" t="s">
        <v>1214</v>
      </c>
      <c r="F163" s="995" t="s">
        <v>716</v>
      </c>
      <c r="G163" s="996"/>
      <c r="H163" s="996"/>
      <c r="I163" s="997"/>
      <c r="J163" s="94" t="s">
        <v>131</v>
      </c>
      <c r="K163" s="95">
        <v>1</v>
      </c>
      <c r="L163" s="21"/>
      <c r="M163" s="128"/>
      <c r="N163" s="1110">
        <f>ROUND(L163*K163,2)</f>
        <v>0</v>
      </c>
      <c r="O163" s="1110"/>
      <c r="P163" s="1110"/>
      <c r="Q163" s="1110"/>
      <c r="R163" s="400"/>
      <c r="S163" s="181"/>
      <c r="T163" s="89"/>
      <c r="U163" s="221"/>
      <c r="V163" s="408"/>
      <c r="W163" s="408"/>
      <c r="X163" s="408"/>
      <c r="Y163" s="408"/>
      <c r="Z163" s="408"/>
      <c r="AA163" s="409"/>
      <c r="AU163" s="448"/>
      <c r="AY163" s="448"/>
      <c r="BE163" s="484"/>
      <c r="BF163" s="484"/>
      <c r="BG163" s="484"/>
      <c r="BH163" s="484"/>
      <c r="BI163" s="484"/>
      <c r="BJ163" s="448"/>
      <c r="BK163" s="484"/>
      <c r="BL163" s="448"/>
      <c r="BM163" s="448"/>
    </row>
    <row r="164" spans="2:63" s="787" customFormat="1" ht="150" customHeight="1">
      <c r="B164" s="771"/>
      <c r="C164" s="794" t="s">
        <v>786</v>
      </c>
      <c r="D164" s="772"/>
      <c r="E164" s="94" t="s">
        <v>1215</v>
      </c>
      <c r="F164" s="1117" t="s">
        <v>1168</v>
      </c>
      <c r="G164" s="1118"/>
      <c r="H164" s="1118"/>
      <c r="I164" s="1119"/>
      <c r="J164" s="137" t="s">
        <v>198</v>
      </c>
      <c r="K164" s="126">
        <v>1</v>
      </c>
      <c r="L164" s="13"/>
      <c r="M164" s="128"/>
      <c r="N164" s="1111">
        <f>ROUND(L164*K164,2)</f>
        <v>0</v>
      </c>
      <c r="O164" s="1111"/>
      <c r="P164" s="1111"/>
      <c r="Q164" s="1111"/>
      <c r="R164" s="773"/>
      <c r="T164" s="788"/>
      <c r="U164" s="789"/>
      <c r="V164" s="789"/>
      <c r="W164" s="790"/>
      <c r="X164" s="789"/>
      <c r="Y164" s="790"/>
      <c r="Z164" s="789"/>
      <c r="AA164" s="791"/>
      <c r="AC164" s="162"/>
      <c r="AD164" s="162"/>
      <c r="AU164" s="792"/>
      <c r="AY164" s="793"/>
      <c r="BK164" s="780"/>
    </row>
    <row r="165" spans="2:63" s="787" customFormat="1" ht="49.9" customHeight="1">
      <c r="B165" s="771"/>
      <c r="C165" s="794" t="s">
        <v>787</v>
      </c>
      <c r="D165" s="772"/>
      <c r="E165" s="94" t="s">
        <v>1216</v>
      </c>
      <c r="F165" s="1117" t="s">
        <v>717</v>
      </c>
      <c r="G165" s="1118"/>
      <c r="H165" s="1118"/>
      <c r="I165" s="1119"/>
      <c r="J165" s="795" t="s">
        <v>198</v>
      </c>
      <c r="K165" s="130">
        <v>1</v>
      </c>
      <c r="L165" s="13"/>
      <c r="M165" s="128"/>
      <c r="N165" s="1111">
        <f>ROUND(L165*K165,2)</f>
        <v>0</v>
      </c>
      <c r="O165" s="1111"/>
      <c r="P165" s="1111"/>
      <c r="Q165" s="1111"/>
      <c r="R165" s="773"/>
      <c r="T165" s="788"/>
      <c r="U165" s="789"/>
      <c r="V165" s="789"/>
      <c r="W165" s="790"/>
      <c r="X165" s="789"/>
      <c r="Y165" s="790"/>
      <c r="Z165" s="789"/>
      <c r="AA165" s="791"/>
      <c r="AC165" s="162"/>
      <c r="AD165" s="162"/>
      <c r="AU165" s="792"/>
      <c r="AY165" s="793"/>
      <c r="BK165" s="780"/>
    </row>
    <row r="166" spans="2:63" s="1182" customFormat="1" ht="65.25" customHeight="1">
      <c r="B166" s="1190"/>
      <c r="C166" s="1191" t="s">
        <v>788</v>
      </c>
      <c r="D166" s="1185"/>
      <c r="E166" s="1174" t="s">
        <v>1217</v>
      </c>
      <c r="F166" s="1187" t="s">
        <v>2252</v>
      </c>
      <c r="G166" s="1188"/>
      <c r="H166" s="1188"/>
      <c r="I166" s="1189"/>
      <c r="J166" s="1174" t="s">
        <v>198</v>
      </c>
      <c r="K166" s="1192">
        <v>1</v>
      </c>
      <c r="L166" s="35">
        <v>0</v>
      </c>
      <c r="M166" s="1175"/>
      <c r="N166" s="1193">
        <f aca="true" t="shared" si="4" ref="N166:N176">ROUND(L166*K166,2)</f>
        <v>0</v>
      </c>
      <c r="O166" s="1193"/>
      <c r="P166" s="1193"/>
      <c r="Q166" s="1193"/>
      <c r="R166" s="1194"/>
      <c r="T166" s="1195"/>
      <c r="U166" s="1196"/>
      <c r="V166" s="1196"/>
      <c r="W166" s="1197"/>
      <c r="X166" s="1196"/>
      <c r="Y166" s="1197"/>
      <c r="Z166" s="1196"/>
      <c r="AA166" s="1198"/>
      <c r="AC166" s="1181"/>
      <c r="AD166" s="1181"/>
      <c r="AU166" s="1199"/>
      <c r="AY166" s="1200"/>
      <c r="BK166" s="1184"/>
    </row>
    <row r="167" spans="2:63" s="787" customFormat="1" ht="49.9" customHeight="1">
      <c r="B167" s="771"/>
      <c r="C167" s="794" t="s">
        <v>789</v>
      </c>
      <c r="D167" s="772"/>
      <c r="E167" s="94" t="s">
        <v>1218</v>
      </c>
      <c r="F167" s="1117" t="s">
        <v>718</v>
      </c>
      <c r="G167" s="1118"/>
      <c r="H167" s="1118"/>
      <c r="I167" s="1119"/>
      <c r="J167" s="795" t="s">
        <v>131</v>
      </c>
      <c r="K167" s="130">
        <v>1</v>
      </c>
      <c r="L167" s="13"/>
      <c r="M167" s="128"/>
      <c r="N167" s="1111">
        <f t="shared" si="4"/>
        <v>0</v>
      </c>
      <c r="O167" s="1111"/>
      <c r="P167" s="1111"/>
      <c r="Q167" s="1111"/>
      <c r="R167" s="773"/>
      <c r="T167" s="788"/>
      <c r="U167" s="789"/>
      <c r="V167" s="789"/>
      <c r="W167" s="790"/>
      <c r="X167" s="789"/>
      <c r="Y167" s="790"/>
      <c r="Z167" s="789"/>
      <c r="AA167" s="791"/>
      <c r="AC167" s="162"/>
      <c r="AD167" s="162"/>
      <c r="AU167" s="792"/>
      <c r="AY167" s="793"/>
      <c r="BK167" s="780"/>
    </row>
    <row r="168" spans="2:63" s="787" customFormat="1" ht="49.9" customHeight="1">
      <c r="B168" s="771"/>
      <c r="C168" s="794" t="s">
        <v>790</v>
      </c>
      <c r="D168" s="772"/>
      <c r="E168" s="94" t="s">
        <v>1219</v>
      </c>
      <c r="F168" s="1117" t="s">
        <v>719</v>
      </c>
      <c r="G168" s="1118"/>
      <c r="H168" s="1118"/>
      <c r="I168" s="1119"/>
      <c r="J168" s="137" t="s">
        <v>198</v>
      </c>
      <c r="K168" s="126">
        <v>1</v>
      </c>
      <c r="L168" s="13"/>
      <c r="M168" s="128"/>
      <c r="N168" s="1111">
        <f t="shared" si="4"/>
        <v>0</v>
      </c>
      <c r="O168" s="1111"/>
      <c r="P168" s="1111"/>
      <c r="Q168" s="1111"/>
      <c r="R168" s="773"/>
      <c r="T168" s="788"/>
      <c r="U168" s="789"/>
      <c r="V168" s="789"/>
      <c r="W168" s="790"/>
      <c r="X168" s="789"/>
      <c r="Y168" s="790"/>
      <c r="Z168" s="789"/>
      <c r="AA168" s="791"/>
      <c r="AC168" s="162"/>
      <c r="AD168" s="162"/>
      <c r="AU168" s="792"/>
      <c r="AY168" s="793"/>
      <c r="BK168" s="780"/>
    </row>
    <row r="169" spans="2:63" s="787" customFormat="1" ht="49.9" customHeight="1">
      <c r="B169" s="771"/>
      <c r="C169" s="794" t="s">
        <v>791</v>
      </c>
      <c r="D169" s="772"/>
      <c r="E169" s="94" t="s">
        <v>1220</v>
      </c>
      <c r="F169" s="1117" t="s">
        <v>720</v>
      </c>
      <c r="G169" s="1118"/>
      <c r="H169" s="1118"/>
      <c r="I169" s="1119"/>
      <c r="J169" s="137" t="s">
        <v>198</v>
      </c>
      <c r="K169" s="126">
        <v>1</v>
      </c>
      <c r="L169" s="13"/>
      <c r="M169" s="128"/>
      <c r="N169" s="1111">
        <f t="shared" si="4"/>
        <v>0</v>
      </c>
      <c r="O169" s="1111"/>
      <c r="P169" s="1111"/>
      <c r="Q169" s="1111"/>
      <c r="R169" s="773"/>
      <c r="T169" s="788"/>
      <c r="U169" s="789"/>
      <c r="V169" s="789"/>
      <c r="W169" s="790"/>
      <c r="X169" s="789"/>
      <c r="Y169" s="790"/>
      <c r="Z169" s="789"/>
      <c r="AA169" s="791"/>
      <c r="AC169" s="162"/>
      <c r="AD169" s="162"/>
      <c r="AU169" s="792"/>
      <c r="AY169" s="793"/>
      <c r="BK169" s="780"/>
    </row>
    <row r="170" spans="2:63" s="787" customFormat="1" ht="64.9" customHeight="1">
      <c r="B170" s="771"/>
      <c r="C170" s="794" t="s">
        <v>792</v>
      </c>
      <c r="D170" s="772"/>
      <c r="E170" s="94" t="s">
        <v>1221</v>
      </c>
      <c r="F170" s="1117" t="s">
        <v>721</v>
      </c>
      <c r="G170" s="1118"/>
      <c r="H170" s="1118"/>
      <c r="I170" s="1119"/>
      <c r="J170" s="795" t="s">
        <v>198</v>
      </c>
      <c r="K170" s="130">
        <v>1</v>
      </c>
      <c r="L170" s="13"/>
      <c r="M170" s="128"/>
      <c r="N170" s="1111">
        <f t="shared" si="4"/>
        <v>0</v>
      </c>
      <c r="O170" s="1111"/>
      <c r="P170" s="1111"/>
      <c r="Q170" s="1111"/>
      <c r="R170" s="773"/>
      <c r="T170" s="788"/>
      <c r="U170" s="789"/>
      <c r="V170" s="789"/>
      <c r="W170" s="790"/>
      <c r="X170" s="789"/>
      <c r="Y170" s="790"/>
      <c r="Z170" s="789"/>
      <c r="AA170" s="791"/>
      <c r="AC170" s="162"/>
      <c r="AD170" s="162"/>
      <c r="AU170" s="792"/>
      <c r="AY170" s="793"/>
      <c r="BK170" s="780"/>
    </row>
    <row r="171" spans="2:63" s="787" customFormat="1" ht="49.9" customHeight="1">
      <c r="B171" s="771"/>
      <c r="C171" s="794" t="s">
        <v>793</v>
      </c>
      <c r="D171" s="772"/>
      <c r="E171" s="94" t="s">
        <v>1222</v>
      </c>
      <c r="F171" s="1130" t="s">
        <v>2237</v>
      </c>
      <c r="G171" s="1131"/>
      <c r="H171" s="1131"/>
      <c r="I171" s="1132"/>
      <c r="J171" s="137" t="s">
        <v>131</v>
      </c>
      <c r="K171" s="126">
        <v>1</v>
      </c>
      <c r="L171" s="13"/>
      <c r="M171" s="128"/>
      <c r="N171" s="1111">
        <f t="shared" si="4"/>
        <v>0</v>
      </c>
      <c r="O171" s="1111"/>
      <c r="P171" s="1111"/>
      <c r="Q171" s="1111"/>
      <c r="R171" s="773"/>
      <c r="T171" s="788"/>
      <c r="U171" s="789"/>
      <c r="V171" s="789"/>
      <c r="W171" s="790"/>
      <c r="X171" s="789"/>
      <c r="Y171" s="790"/>
      <c r="Z171" s="789"/>
      <c r="AA171" s="791"/>
      <c r="AC171" s="162"/>
      <c r="AD171" s="162"/>
      <c r="AU171" s="792"/>
      <c r="AY171" s="793"/>
      <c r="BK171" s="780"/>
    </row>
    <row r="172" spans="2:63" s="787" customFormat="1" ht="84" customHeight="1">
      <c r="B172" s="771"/>
      <c r="C172" s="794" t="s">
        <v>794</v>
      </c>
      <c r="D172" s="772"/>
      <c r="E172" s="94" t="s">
        <v>1223</v>
      </c>
      <c r="F172" s="1117" t="s">
        <v>722</v>
      </c>
      <c r="G172" s="1118"/>
      <c r="H172" s="1118"/>
      <c r="I172" s="1119"/>
      <c r="J172" s="137" t="s">
        <v>131</v>
      </c>
      <c r="K172" s="126">
        <v>1</v>
      </c>
      <c r="L172" s="13"/>
      <c r="M172" s="128"/>
      <c r="N172" s="1111">
        <f t="shared" si="4"/>
        <v>0</v>
      </c>
      <c r="O172" s="1111"/>
      <c r="P172" s="1111"/>
      <c r="Q172" s="1111"/>
      <c r="R172" s="773"/>
      <c r="T172" s="788"/>
      <c r="U172" s="789"/>
      <c r="V172" s="789"/>
      <c r="W172" s="790"/>
      <c r="X172" s="789"/>
      <c r="Y172" s="790"/>
      <c r="Z172" s="789"/>
      <c r="AA172" s="791"/>
      <c r="AC172" s="162"/>
      <c r="AD172" s="162"/>
      <c r="AU172" s="792"/>
      <c r="AY172" s="793"/>
      <c r="BK172" s="780"/>
    </row>
    <row r="173" spans="2:63" s="787" customFormat="1" ht="49.9" customHeight="1">
      <c r="B173" s="771"/>
      <c r="C173" s="794" t="s">
        <v>795</v>
      </c>
      <c r="D173" s="772"/>
      <c r="E173" s="94" t="s">
        <v>1224</v>
      </c>
      <c r="F173" s="1117" t="s">
        <v>723</v>
      </c>
      <c r="G173" s="1118"/>
      <c r="H173" s="1118"/>
      <c r="I173" s="1119"/>
      <c r="J173" s="137" t="s">
        <v>131</v>
      </c>
      <c r="K173" s="126">
        <v>1</v>
      </c>
      <c r="L173" s="13"/>
      <c r="M173" s="128"/>
      <c r="N173" s="1111">
        <f t="shared" si="4"/>
        <v>0</v>
      </c>
      <c r="O173" s="1111"/>
      <c r="P173" s="1111"/>
      <c r="Q173" s="1111"/>
      <c r="R173" s="773"/>
      <c r="T173" s="788"/>
      <c r="U173" s="789"/>
      <c r="V173" s="789"/>
      <c r="W173" s="790"/>
      <c r="X173" s="789"/>
      <c r="Y173" s="790"/>
      <c r="Z173" s="789"/>
      <c r="AA173" s="791"/>
      <c r="AC173" s="162"/>
      <c r="AD173" s="162"/>
      <c r="AU173" s="792"/>
      <c r="AY173" s="793"/>
      <c r="BK173" s="780"/>
    </row>
    <row r="174" spans="2:63" s="787" customFormat="1" ht="49.9" customHeight="1">
      <c r="B174" s="771"/>
      <c r="C174" s="794" t="s">
        <v>796</v>
      </c>
      <c r="D174" s="772"/>
      <c r="E174" s="94" t="s">
        <v>1225</v>
      </c>
      <c r="F174" s="1117" t="s">
        <v>724</v>
      </c>
      <c r="G174" s="1118"/>
      <c r="H174" s="1118"/>
      <c r="I174" s="1119"/>
      <c r="J174" s="137" t="s">
        <v>131</v>
      </c>
      <c r="K174" s="126">
        <v>1</v>
      </c>
      <c r="L174" s="13"/>
      <c r="M174" s="128"/>
      <c r="N174" s="1111">
        <f t="shared" si="4"/>
        <v>0</v>
      </c>
      <c r="O174" s="1111"/>
      <c r="P174" s="1111"/>
      <c r="Q174" s="1111"/>
      <c r="R174" s="773"/>
      <c r="T174" s="788"/>
      <c r="U174" s="789"/>
      <c r="V174" s="789"/>
      <c r="W174" s="790"/>
      <c r="X174" s="789"/>
      <c r="Y174" s="790"/>
      <c r="Z174" s="789"/>
      <c r="AA174" s="791"/>
      <c r="AC174" s="162"/>
      <c r="AD174" s="162"/>
      <c r="AU174" s="792"/>
      <c r="AY174" s="793"/>
      <c r="BK174" s="780"/>
    </row>
    <row r="175" spans="2:63" s="787" customFormat="1" ht="82.9" customHeight="1">
      <c r="B175" s="771"/>
      <c r="C175" s="794" t="s">
        <v>797</v>
      </c>
      <c r="D175" s="772"/>
      <c r="E175" s="94" t="s">
        <v>1226</v>
      </c>
      <c r="F175" s="1117" t="s">
        <v>725</v>
      </c>
      <c r="G175" s="1118"/>
      <c r="H175" s="1118"/>
      <c r="I175" s="1119"/>
      <c r="J175" s="137" t="s">
        <v>131</v>
      </c>
      <c r="K175" s="126">
        <v>1</v>
      </c>
      <c r="L175" s="13"/>
      <c r="M175" s="128"/>
      <c r="N175" s="1111">
        <f t="shared" si="4"/>
        <v>0</v>
      </c>
      <c r="O175" s="1111"/>
      <c r="P175" s="1111"/>
      <c r="Q175" s="1111"/>
      <c r="R175" s="773"/>
      <c r="T175" s="788"/>
      <c r="U175" s="789"/>
      <c r="V175" s="789"/>
      <c r="W175" s="790"/>
      <c r="X175" s="789"/>
      <c r="Y175" s="790"/>
      <c r="Z175" s="789"/>
      <c r="AA175" s="791"/>
      <c r="AC175" s="162"/>
      <c r="AD175" s="162"/>
      <c r="AU175" s="792"/>
      <c r="AY175" s="793"/>
      <c r="BK175" s="780"/>
    </row>
    <row r="176" spans="2:63" s="787" customFormat="1" ht="49.9" customHeight="1">
      <c r="B176" s="771"/>
      <c r="C176" s="794" t="s">
        <v>798</v>
      </c>
      <c r="D176" s="772"/>
      <c r="E176" s="94" t="s">
        <v>1227</v>
      </c>
      <c r="F176" s="1117" t="s">
        <v>726</v>
      </c>
      <c r="G176" s="1118"/>
      <c r="H176" s="1118"/>
      <c r="I176" s="1119"/>
      <c r="J176" s="137" t="s">
        <v>131</v>
      </c>
      <c r="K176" s="126">
        <v>1</v>
      </c>
      <c r="L176" s="13"/>
      <c r="M176" s="128"/>
      <c r="N176" s="1111">
        <f t="shared" si="4"/>
        <v>0</v>
      </c>
      <c r="O176" s="1111"/>
      <c r="P176" s="1111"/>
      <c r="Q176" s="1111"/>
      <c r="R176" s="773"/>
      <c r="T176" s="788"/>
      <c r="U176" s="789"/>
      <c r="V176" s="789"/>
      <c r="W176" s="790"/>
      <c r="X176" s="789"/>
      <c r="Y176" s="790"/>
      <c r="Z176" s="789"/>
      <c r="AA176" s="791"/>
      <c r="AC176" s="162"/>
      <c r="AD176" s="162"/>
      <c r="AU176" s="792"/>
      <c r="AY176" s="793"/>
      <c r="BK176" s="780"/>
    </row>
    <row r="177" spans="2:63" s="787" customFormat="1" ht="88.9" customHeight="1">
      <c r="B177" s="771"/>
      <c r="C177" s="794" t="s">
        <v>799</v>
      </c>
      <c r="D177" s="772"/>
      <c r="E177" s="94" t="s">
        <v>1228</v>
      </c>
      <c r="F177" s="1117" t="s">
        <v>727</v>
      </c>
      <c r="G177" s="1118"/>
      <c r="H177" s="1118"/>
      <c r="I177" s="1119"/>
      <c r="J177" s="137" t="s">
        <v>131</v>
      </c>
      <c r="K177" s="126">
        <v>1</v>
      </c>
      <c r="L177" s="13"/>
      <c r="M177" s="128"/>
      <c r="N177" s="1111">
        <f aca="true" t="shared" si="5" ref="N177:N190">ROUND(L177*K177,2)</f>
        <v>0</v>
      </c>
      <c r="O177" s="1111"/>
      <c r="P177" s="1111"/>
      <c r="Q177" s="1111"/>
      <c r="R177" s="773"/>
      <c r="T177" s="788"/>
      <c r="U177" s="789"/>
      <c r="V177" s="789"/>
      <c r="W177" s="790"/>
      <c r="X177" s="789"/>
      <c r="Y177" s="790"/>
      <c r="Z177" s="789"/>
      <c r="AA177" s="791"/>
      <c r="AC177" s="162"/>
      <c r="AD177" s="162"/>
      <c r="AU177" s="792"/>
      <c r="AY177" s="793"/>
      <c r="BK177" s="780"/>
    </row>
    <row r="178" spans="2:63" s="787" customFormat="1" ht="46.15" customHeight="1">
      <c r="B178" s="771"/>
      <c r="C178" s="794" t="s">
        <v>800</v>
      </c>
      <c r="D178" s="772"/>
      <c r="E178" s="94" t="s">
        <v>1229</v>
      </c>
      <c r="F178" s="1117" t="s">
        <v>728</v>
      </c>
      <c r="G178" s="1118"/>
      <c r="H178" s="1118"/>
      <c r="I178" s="1119"/>
      <c r="J178" s="137" t="s">
        <v>131</v>
      </c>
      <c r="K178" s="126">
        <v>1</v>
      </c>
      <c r="L178" s="13"/>
      <c r="M178" s="128"/>
      <c r="N178" s="1111">
        <f t="shared" si="5"/>
        <v>0</v>
      </c>
      <c r="O178" s="1111"/>
      <c r="P178" s="1111"/>
      <c r="Q178" s="1111"/>
      <c r="R178" s="773"/>
      <c r="T178" s="788"/>
      <c r="U178" s="789"/>
      <c r="V178" s="789"/>
      <c r="W178" s="790"/>
      <c r="X178" s="789"/>
      <c r="Y178" s="790"/>
      <c r="Z178" s="789"/>
      <c r="AA178" s="791"/>
      <c r="AC178" s="162"/>
      <c r="AD178" s="162"/>
      <c r="AU178" s="792"/>
      <c r="AY178" s="793"/>
      <c r="BK178" s="780"/>
    </row>
    <row r="179" spans="2:63" s="787" customFormat="1" ht="94.15" customHeight="1">
      <c r="B179" s="771"/>
      <c r="C179" s="794" t="s">
        <v>801</v>
      </c>
      <c r="D179" s="772"/>
      <c r="E179" s="94" t="s">
        <v>1230</v>
      </c>
      <c r="F179" s="1117" t="s">
        <v>729</v>
      </c>
      <c r="G179" s="1118"/>
      <c r="H179" s="1118"/>
      <c r="I179" s="1119"/>
      <c r="J179" s="137" t="s">
        <v>198</v>
      </c>
      <c r="K179" s="126">
        <v>1</v>
      </c>
      <c r="L179" s="13"/>
      <c r="M179" s="128"/>
      <c r="N179" s="1111">
        <f t="shared" si="5"/>
        <v>0</v>
      </c>
      <c r="O179" s="1111"/>
      <c r="P179" s="1111"/>
      <c r="Q179" s="1111"/>
      <c r="R179" s="773"/>
      <c r="T179" s="788"/>
      <c r="U179" s="789"/>
      <c r="V179" s="789"/>
      <c r="W179" s="790"/>
      <c r="X179" s="789"/>
      <c r="Y179" s="790"/>
      <c r="Z179" s="789"/>
      <c r="AA179" s="791"/>
      <c r="AC179" s="162"/>
      <c r="AD179" s="162"/>
      <c r="AU179" s="792"/>
      <c r="AY179" s="793"/>
      <c r="BK179" s="780"/>
    </row>
    <row r="180" spans="2:63" s="787" customFormat="1" ht="46.15" customHeight="1">
      <c r="B180" s="771"/>
      <c r="C180" s="794" t="s">
        <v>802</v>
      </c>
      <c r="D180" s="772"/>
      <c r="E180" s="94" t="s">
        <v>1231</v>
      </c>
      <c r="F180" s="1117" t="s">
        <v>730</v>
      </c>
      <c r="G180" s="1118"/>
      <c r="H180" s="1118"/>
      <c r="I180" s="1119"/>
      <c r="J180" s="137" t="s">
        <v>131</v>
      </c>
      <c r="K180" s="126">
        <v>1</v>
      </c>
      <c r="L180" s="13"/>
      <c r="M180" s="128"/>
      <c r="N180" s="1111">
        <f t="shared" si="5"/>
        <v>0</v>
      </c>
      <c r="O180" s="1111"/>
      <c r="P180" s="1111"/>
      <c r="Q180" s="1111"/>
      <c r="R180" s="773"/>
      <c r="T180" s="788"/>
      <c r="U180" s="789"/>
      <c r="V180" s="789"/>
      <c r="W180" s="790"/>
      <c r="X180" s="789"/>
      <c r="Y180" s="790"/>
      <c r="Z180" s="789"/>
      <c r="AA180" s="791"/>
      <c r="AC180" s="162"/>
      <c r="AD180" s="162"/>
      <c r="AU180" s="792"/>
      <c r="AY180" s="793"/>
      <c r="BK180" s="780"/>
    </row>
    <row r="181" spans="2:63" s="787" customFormat="1" ht="58.9" customHeight="1">
      <c r="B181" s="771"/>
      <c r="C181" s="794" t="s">
        <v>803</v>
      </c>
      <c r="D181" s="772"/>
      <c r="E181" s="94" t="s">
        <v>1232</v>
      </c>
      <c r="F181" s="1117" t="s">
        <v>731</v>
      </c>
      <c r="G181" s="1118"/>
      <c r="H181" s="1118"/>
      <c r="I181" s="1119"/>
      <c r="J181" s="137" t="s">
        <v>131</v>
      </c>
      <c r="K181" s="126">
        <v>1</v>
      </c>
      <c r="L181" s="13"/>
      <c r="M181" s="128"/>
      <c r="N181" s="1111">
        <f t="shared" si="5"/>
        <v>0</v>
      </c>
      <c r="O181" s="1111"/>
      <c r="P181" s="1111"/>
      <c r="Q181" s="1111"/>
      <c r="R181" s="773"/>
      <c r="T181" s="788"/>
      <c r="U181" s="789"/>
      <c r="V181" s="789"/>
      <c r="W181" s="790"/>
      <c r="X181" s="789"/>
      <c r="Y181" s="790"/>
      <c r="Z181" s="789"/>
      <c r="AA181" s="791"/>
      <c r="AC181" s="162"/>
      <c r="AD181" s="162"/>
      <c r="AU181" s="792"/>
      <c r="AY181" s="793"/>
      <c r="BK181" s="780"/>
    </row>
    <row r="182" spans="2:63" s="787" customFormat="1" ht="46.15" customHeight="1">
      <c r="B182" s="771"/>
      <c r="C182" s="794" t="s">
        <v>804</v>
      </c>
      <c r="D182" s="772"/>
      <c r="E182" s="94" t="s">
        <v>1233</v>
      </c>
      <c r="F182" s="1117" t="s">
        <v>732</v>
      </c>
      <c r="G182" s="1118"/>
      <c r="H182" s="1118"/>
      <c r="I182" s="1119"/>
      <c r="J182" s="137" t="s">
        <v>198</v>
      </c>
      <c r="K182" s="126">
        <v>2</v>
      </c>
      <c r="L182" s="13"/>
      <c r="M182" s="128"/>
      <c r="N182" s="1111">
        <f t="shared" si="5"/>
        <v>0</v>
      </c>
      <c r="O182" s="1111"/>
      <c r="P182" s="1111"/>
      <c r="Q182" s="1111"/>
      <c r="R182" s="773"/>
      <c r="T182" s="788"/>
      <c r="U182" s="789"/>
      <c r="V182" s="789"/>
      <c r="W182" s="790"/>
      <c r="X182" s="789"/>
      <c r="Y182" s="790"/>
      <c r="Z182" s="789"/>
      <c r="AA182" s="791"/>
      <c r="AC182" s="162"/>
      <c r="AD182" s="162"/>
      <c r="AU182" s="792"/>
      <c r="AY182" s="793"/>
      <c r="BK182" s="780"/>
    </row>
    <row r="183" spans="2:63" s="787" customFormat="1" ht="73.15" customHeight="1">
      <c r="B183" s="771"/>
      <c r="C183" s="794" t="s">
        <v>805</v>
      </c>
      <c r="D183" s="772"/>
      <c r="E183" s="94" t="s">
        <v>1234</v>
      </c>
      <c r="F183" s="1117" t="s">
        <v>733</v>
      </c>
      <c r="G183" s="1118"/>
      <c r="H183" s="1118"/>
      <c r="I183" s="1119"/>
      <c r="J183" s="137" t="s">
        <v>198</v>
      </c>
      <c r="K183" s="126">
        <v>1</v>
      </c>
      <c r="L183" s="13"/>
      <c r="M183" s="128"/>
      <c r="N183" s="1111">
        <f t="shared" si="5"/>
        <v>0</v>
      </c>
      <c r="O183" s="1111"/>
      <c r="P183" s="1111"/>
      <c r="Q183" s="1111"/>
      <c r="R183" s="773"/>
      <c r="T183" s="788"/>
      <c r="U183" s="789"/>
      <c r="V183" s="789"/>
      <c r="W183" s="790"/>
      <c r="X183" s="789"/>
      <c r="Y183" s="790"/>
      <c r="Z183" s="789"/>
      <c r="AA183" s="791"/>
      <c r="AC183" s="162"/>
      <c r="AD183" s="162"/>
      <c r="AU183" s="792"/>
      <c r="AY183" s="793"/>
      <c r="BK183" s="780"/>
    </row>
    <row r="184" spans="2:63" s="787" customFormat="1" ht="46.15" customHeight="1">
      <c r="B184" s="771"/>
      <c r="C184" s="794" t="s">
        <v>806</v>
      </c>
      <c r="D184" s="772"/>
      <c r="E184" s="94" t="s">
        <v>1235</v>
      </c>
      <c r="F184" s="1117" t="s">
        <v>734</v>
      </c>
      <c r="G184" s="1118"/>
      <c r="H184" s="1118"/>
      <c r="I184" s="1119"/>
      <c r="J184" s="137" t="s">
        <v>198</v>
      </c>
      <c r="K184" s="126">
        <v>1</v>
      </c>
      <c r="L184" s="13"/>
      <c r="M184" s="128"/>
      <c r="N184" s="1111">
        <f t="shared" si="5"/>
        <v>0</v>
      </c>
      <c r="O184" s="1111"/>
      <c r="P184" s="1111"/>
      <c r="Q184" s="1111"/>
      <c r="R184" s="773"/>
      <c r="T184" s="788"/>
      <c r="U184" s="789"/>
      <c r="V184" s="789"/>
      <c r="W184" s="790"/>
      <c r="X184" s="789"/>
      <c r="Y184" s="790"/>
      <c r="Z184" s="789"/>
      <c r="AA184" s="791"/>
      <c r="AC184" s="162"/>
      <c r="AD184" s="162"/>
      <c r="AU184" s="792"/>
      <c r="AY184" s="793"/>
      <c r="BK184" s="780"/>
    </row>
    <row r="185" spans="2:63" s="787" customFormat="1" ht="46.15" customHeight="1">
      <c r="B185" s="771"/>
      <c r="C185" s="794" t="s">
        <v>807</v>
      </c>
      <c r="D185" s="772"/>
      <c r="E185" s="94" t="s">
        <v>1236</v>
      </c>
      <c r="F185" s="1117" t="s">
        <v>735</v>
      </c>
      <c r="G185" s="1118"/>
      <c r="H185" s="1118"/>
      <c r="I185" s="1119"/>
      <c r="J185" s="137" t="s">
        <v>198</v>
      </c>
      <c r="K185" s="126">
        <v>1</v>
      </c>
      <c r="L185" s="13"/>
      <c r="M185" s="128"/>
      <c r="N185" s="1111">
        <f t="shared" si="5"/>
        <v>0</v>
      </c>
      <c r="O185" s="1111"/>
      <c r="P185" s="1111"/>
      <c r="Q185" s="1111"/>
      <c r="R185" s="773"/>
      <c r="T185" s="788"/>
      <c r="U185" s="789"/>
      <c r="V185" s="789"/>
      <c r="W185" s="790"/>
      <c r="X185" s="789"/>
      <c r="Y185" s="790"/>
      <c r="Z185" s="789"/>
      <c r="AA185" s="791"/>
      <c r="AC185" s="162"/>
      <c r="AD185" s="162"/>
      <c r="AU185" s="792"/>
      <c r="AY185" s="793"/>
      <c r="BK185" s="780"/>
    </row>
    <row r="186" spans="2:63" s="787" customFormat="1" ht="46.15" customHeight="1">
      <c r="B186" s="771"/>
      <c r="C186" s="794" t="s">
        <v>808</v>
      </c>
      <c r="D186" s="772"/>
      <c r="E186" s="94" t="s">
        <v>1237</v>
      </c>
      <c r="F186" s="1117" t="s">
        <v>736</v>
      </c>
      <c r="G186" s="1118"/>
      <c r="H186" s="1118"/>
      <c r="I186" s="1119"/>
      <c r="J186" s="137" t="s">
        <v>198</v>
      </c>
      <c r="K186" s="126">
        <v>1</v>
      </c>
      <c r="L186" s="13"/>
      <c r="M186" s="128"/>
      <c r="N186" s="1111">
        <f t="shared" si="5"/>
        <v>0</v>
      </c>
      <c r="O186" s="1111"/>
      <c r="P186" s="1111"/>
      <c r="Q186" s="1111"/>
      <c r="R186" s="773"/>
      <c r="T186" s="788"/>
      <c r="U186" s="789"/>
      <c r="V186" s="789"/>
      <c r="W186" s="790"/>
      <c r="X186" s="789"/>
      <c r="Y186" s="790"/>
      <c r="Z186" s="789"/>
      <c r="AA186" s="791"/>
      <c r="AC186" s="162"/>
      <c r="AD186" s="162"/>
      <c r="AU186" s="792"/>
      <c r="AY186" s="793"/>
      <c r="BK186" s="780"/>
    </row>
    <row r="187" spans="2:63" s="787" customFormat="1" ht="49.9" customHeight="1">
      <c r="B187" s="771"/>
      <c r="C187" s="794" t="s">
        <v>809</v>
      </c>
      <c r="D187" s="772"/>
      <c r="E187" s="94" t="s">
        <v>1238</v>
      </c>
      <c r="F187" s="1117" t="s">
        <v>737</v>
      </c>
      <c r="G187" s="1118"/>
      <c r="H187" s="1118"/>
      <c r="I187" s="1119"/>
      <c r="J187" s="137" t="s">
        <v>198</v>
      </c>
      <c r="K187" s="126">
        <v>1</v>
      </c>
      <c r="L187" s="13"/>
      <c r="M187" s="128"/>
      <c r="N187" s="1111">
        <f t="shared" si="5"/>
        <v>0</v>
      </c>
      <c r="O187" s="1111"/>
      <c r="P187" s="1111"/>
      <c r="Q187" s="1111"/>
      <c r="R187" s="773"/>
      <c r="T187" s="788"/>
      <c r="U187" s="789"/>
      <c r="V187" s="789"/>
      <c r="W187" s="790"/>
      <c r="X187" s="789"/>
      <c r="Y187" s="790"/>
      <c r="Z187" s="789"/>
      <c r="AA187" s="791"/>
      <c r="AC187" s="162"/>
      <c r="AD187" s="162"/>
      <c r="AU187" s="792"/>
      <c r="AY187" s="793"/>
      <c r="BK187" s="780"/>
    </row>
    <row r="188" spans="2:63" s="787" customFormat="1" ht="49.9" customHeight="1">
      <c r="B188" s="771"/>
      <c r="C188" s="794" t="s">
        <v>810</v>
      </c>
      <c r="D188" s="772"/>
      <c r="E188" s="94" t="s">
        <v>1239</v>
      </c>
      <c r="F188" s="1117" t="s">
        <v>738</v>
      </c>
      <c r="G188" s="1118"/>
      <c r="H188" s="1118"/>
      <c r="I188" s="1119"/>
      <c r="J188" s="137" t="s">
        <v>198</v>
      </c>
      <c r="K188" s="126">
        <v>1</v>
      </c>
      <c r="L188" s="13"/>
      <c r="M188" s="128"/>
      <c r="N188" s="1111">
        <f t="shared" si="5"/>
        <v>0</v>
      </c>
      <c r="O188" s="1111"/>
      <c r="P188" s="1111"/>
      <c r="Q188" s="1111"/>
      <c r="R188" s="773"/>
      <c r="T188" s="788"/>
      <c r="U188" s="789"/>
      <c r="V188" s="789"/>
      <c r="W188" s="790"/>
      <c r="X188" s="789"/>
      <c r="Y188" s="790"/>
      <c r="Z188" s="789"/>
      <c r="AA188" s="791"/>
      <c r="AC188" s="162"/>
      <c r="AD188" s="162"/>
      <c r="AU188" s="792"/>
      <c r="AY188" s="793"/>
      <c r="BK188" s="780"/>
    </row>
    <row r="189" spans="2:63" s="787" customFormat="1" ht="49.9" customHeight="1">
      <c r="B189" s="771"/>
      <c r="C189" s="794"/>
      <c r="D189" s="772"/>
      <c r="E189" s="94"/>
      <c r="F189" s="1117" t="s">
        <v>739</v>
      </c>
      <c r="G189" s="1118"/>
      <c r="H189" s="1118"/>
      <c r="I189" s="1119"/>
      <c r="J189" s="137"/>
      <c r="K189" s="126"/>
      <c r="L189" s="13"/>
      <c r="M189" s="128"/>
      <c r="N189" s="1111"/>
      <c r="O189" s="1111"/>
      <c r="P189" s="1111"/>
      <c r="Q189" s="1111"/>
      <c r="R189" s="773"/>
      <c r="T189" s="788"/>
      <c r="U189" s="789"/>
      <c r="V189" s="789"/>
      <c r="W189" s="790"/>
      <c r="X189" s="789"/>
      <c r="Y189" s="790"/>
      <c r="Z189" s="789"/>
      <c r="AA189" s="791"/>
      <c r="AC189" s="162"/>
      <c r="AD189" s="162"/>
      <c r="AU189" s="792"/>
      <c r="AY189" s="793"/>
      <c r="BK189" s="780"/>
    </row>
    <row r="190" spans="2:63" s="787" customFormat="1" ht="49.9" customHeight="1">
      <c r="B190" s="771"/>
      <c r="C190" s="794" t="s">
        <v>812</v>
      </c>
      <c r="D190" s="772"/>
      <c r="E190" s="94" t="s">
        <v>1240</v>
      </c>
      <c r="F190" s="1117" t="s">
        <v>740</v>
      </c>
      <c r="G190" s="1118"/>
      <c r="H190" s="1118"/>
      <c r="I190" s="1119"/>
      <c r="J190" s="137" t="s">
        <v>198</v>
      </c>
      <c r="K190" s="126">
        <v>3</v>
      </c>
      <c r="L190" s="13"/>
      <c r="M190" s="128"/>
      <c r="N190" s="1111">
        <f t="shared" si="5"/>
        <v>0</v>
      </c>
      <c r="O190" s="1111"/>
      <c r="P190" s="1111"/>
      <c r="Q190" s="1111"/>
      <c r="R190" s="773"/>
      <c r="T190" s="788"/>
      <c r="U190" s="789"/>
      <c r="V190" s="789"/>
      <c r="W190" s="790"/>
      <c r="X190" s="789"/>
      <c r="Y190" s="790"/>
      <c r="Z190" s="789"/>
      <c r="AA190" s="791"/>
      <c r="AC190" s="162"/>
      <c r="AD190" s="162"/>
      <c r="AU190" s="792"/>
      <c r="AY190" s="793"/>
      <c r="BK190" s="780"/>
    </row>
    <row r="191" spans="2:63" s="787" customFormat="1" ht="49.9" customHeight="1">
      <c r="B191" s="771"/>
      <c r="C191" s="794" t="s">
        <v>813</v>
      </c>
      <c r="D191" s="772"/>
      <c r="E191" s="94" t="s">
        <v>1241</v>
      </c>
      <c r="F191" s="1117" t="s">
        <v>741</v>
      </c>
      <c r="G191" s="1118"/>
      <c r="H191" s="1118"/>
      <c r="I191" s="1119"/>
      <c r="J191" s="137" t="s">
        <v>198</v>
      </c>
      <c r="K191" s="126">
        <v>4</v>
      </c>
      <c r="L191" s="13"/>
      <c r="M191" s="128"/>
      <c r="N191" s="1111">
        <f aca="true" t="shared" si="6" ref="N191:N199">ROUND(L191*K191,2)</f>
        <v>0</v>
      </c>
      <c r="O191" s="1111"/>
      <c r="P191" s="1111"/>
      <c r="Q191" s="1111"/>
      <c r="R191" s="773"/>
      <c r="T191" s="788"/>
      <c r="U191" s="789"/>
      <c r="V191" s="789"/>
      <c r="W191" s="790"/>
      <c r="X191" s="789"/>
      <c r="Y191" s="790"/>
      <c r="Z191" s="789"/>
      <c r="AA191" s="791"/>
      <c r="AC191" s="162"/>
      <c r="AD191" s="162"/>
      <c r="AU191" s="792"/>
      <c r="AY191" s="793"/>
      <c r="BK191" s="780"/>
    </row>
    <row r="192" spans="2:63" s="787" customFormat="1" ht="49.9" customHeight="1">
      <c r="B192" s="771"/>
      <c r="C192" s="794" t="s">
        <v>814</v>
      </c>
      <c r="D192" s="772"/>
      <c r="E192" s="94" t="s">
        <v>1242</v>
      </c>
      <c r="F192" s="1117" t="s">
        <v>742</v>
      </c>
      <c r="G192" s="1118"/>
      <c r="H192" s="1118"/>
      <c r="I192" s="1119"/>
      <c r="J192" s="137" t="s">
        <v>198</v>
      </c>
      <c r="K192" s="126">
        <v>7</v>
      </c>
      <c r="L192" s="13"/>
      <c r="M192" s="128"/>
      <c r="N192" s="1111">
        <f t="shared" si="6"/>
        <v>0</v>
      </c>
      <c r="O192" s="1111"/>
      <c r="P192" s="1111"/>
      <c r="Q192" s="1111"/>
      <c r="R192" s="773"/>
      <c r="T192" s="788"/>
      <c r="U192" s="789"/>
      <c r="V192" s="789"/>
      <c r="W192" s="790"/>
      <c r="X192" s="789"/>
      <c r="Y192" s="790"/>
      <c r="Z192" s="789"/>
      <c r="AA192" s="791"/>
      <c r="AC192" s="162"/>
      <c r="AD192" s="162"/>
      <c r="AU192" s="792"/>
      <c r="AY192" s="793"/>
      <c r="BK192" s="780"/>
    </row>
    <row r="193" spans="2:63" s="787" customFormat="1" ht="49.9" customHeight="1">
      <c r="B193" s="771"/>
      <c r="C193" s="794" t="s">
        <v>815</v>
      </c>
      <c r="D193" s="772"/>
      <c r="E193" s="94" t="s">
        <v>1243</v>
      </c>
      <c r="F193" s="1117" t="s">
        <v>743</v>
      </c>
      <c r="G193" s="1118"/>
      <c r="H193" s="1118"/>
      <c r="I193" s="1119"/>
      <c r="J193" s="137" t="s">
        <v>198</v>
      </c>
      <c r="K193" s="126">
        <v>1</v>
      </c>
      <c r="L193" s="13"/>
      <c r="M193" s="128"/>
      <c r="N193" s="1111">
        <f t="shared" si="6"/>
        <v>0</v>
      </c>
      <c r="O193" s="1111"/>
      <c r="P193" s="1111"/>
      <c r="Q193" s="1111"/>
      <c r="R193" s="773"/>
      <c r="T193" s="788"/>
      <c r="U193" s="789"/>
      <c r="V193" s="789"/>
      <c r="W193" s="790"/>
      <c r="X193" s="789"/>
      <c r="Y193" s="790"/>
      <c r="Z193" s="789"/>
      <c r="AA193" s="791"/>
      <c r="AC193" s="162"/>
      <c r="AD193" s="162"/>
      <c r="AU193" s="792"/>
      <c r="AY193" s="793"/>
      <c r="BK193" s="780"/>
    </row>
    <row r="194" spans="2:63" s="787" customFormat="1" ht="49.9" customHeight="1">
      <c r="B194" s="771"/>
      <c r="C194" s="794" t="s">
        <v>237</v>
      </c>
      <c r="D194" s="772"/>
      <c r="E194" s="94" t="s">
        <v>1244</v>
      </c>
      <c r="F194" s="1117" t="s">
        <v>744</v>
      </c>
      <c r="G194" s="1118"/>
      <c r="H194" s="1118"/>
      <c r="I194" s="1119"/>
      <c r="J194" s="137" t="s">
        <v>198</v>
      </c>
      <c r="K194" s="126">
        <v>1</v>
      </c>
      <c r="L194" s="13"/>
      <c r="M194" s="128"/>
      <c r="N194" s="1111">
        <f t="shared" si="6"/>
        <v>0</v>
      </c>
      <c r="O194" s="1111"/>
      <c r="P194" s="1111"/>
      <c r="Q194" s="1111"/>
      <c r="R194" s="773"/>
      <c r="T194" s="788"/>
      <c r="U194" s="789"/>
      <c r="V194" s="789"/>
      <c r="W194" s="790"/>
      <c r="X194" s="789"/>
      <c r="Y194" s="790"/>
      <c r="Z194" s="789"/>
      <c r="AA194" s="791"/>
      <c r="AC194" s="162"/>
      <c r="AD194" s="162"/>
      <c r="AU194" s="792"/>
      <c r="AY194" s="793"/>
      <c r="BK194" s="780"/>
    </row>
    <row r="195" spans="2:63" s="787" customFormat="1" ht="49.9" customHeight="1">
      <c r="B195" s="771"/>
      <c r="C195" s="794" t="s">
        <v>238</v>
      </c>
      <c r="D195" s="772"/>
      <c r="E195" s="94" t="s">
        <v>1245</v>
      </c>
      <c r="F195" s="1117" t="s">
        <v>745</v>
      </c>
      <c r="G195" s="1118"/>
      <c r="H195" s="1118"/>
      <c r="I195" s="1119"/>
      <c r="J195" s="137" t="s">
        <v>198</v>
      </c>
      <c r="K195" s="126">
        <v>4</v>
      </c>
      <c r="L195" s="13"/>
      <c r="M195" s="128"/>
      <c r="N195" s="1111">
        <f t="shared" si="6"/>
        <v>0</v>
      </c>
      <c r="O195" s="1111"/>
      <c r="P195" s="1111"/>
      <c r="Q195" s="1111"/>
      <c r="R195" s="773"/>
      <c r="T195" s="788"/>
      <c r="U195" s="789"/>
      <c r="V195" s="789"/>
      <c r="W195" s="790"/>
      <c r="X195" s="789"/>
      <c r="Y195" s="790"/>
      <c r="Z195" s="789"/>
      <c r="AA195" s="791"/>
      <c r="AC195" s="162"/>
      <c r="AD195" s="162"/>
      <c r="AU195" s="792"/>
      <c r="AY195" s="793"/>
      <c r="BK195" s="780"/>
    </row>
    <row r="196" spans="2:63" s="787" customFormat="1" ht="49.9" customHeight="1">
      <c r="B196" s="771"/>
      <c r="C196" s="794" t="s">
        <v>239</v>
      </c>
      <c r="D196" s="772"/>
      <c r="E196" s="94" t="s">
        <v>1246</v>
      </c>
      <c r="F196" s="1117" t="s">
        <v>746</v>
      </c>
      <c r="G196" s="1118"/>
      <c r="H196" s="1118"/>
      <c r="I196" s="1119"/>
      <c r="J196" s="137" t="s">
        <v>198</v>
      </c>
      <c r="K196" s="126">
        <v>2</v>
      </c>
      <c r="L196" s="13"/>
      <c r="M196" s="128"/>
      <c r="N196" s="1111">
        <f t="shared" si="6"/>
        <v>0</v>
      </c>
      <c r="O196" s="1111"/>
      <c r="P196" s="1111"/>
      <c r="Q196" s="1111"/>
      <c r="R196" s="773"/>
      <c r="T196" s="788"/>
      <c r="U196" s="789"/>
      <c r="V196" s="789"/>
      <c r="W196" s="790"/>
      <c r="X196" s="789"/>
      <c r="Y196" s="790"/>
      <c r="Z196" s="789"/>
      <c r="AA196" s="791"/>
      <c r="AC196" s="162"/>
      <c r="AD196" s="162"/>
      <c r="AU196" s="792"/>
      <c r="AY196" s="793"/>
      <c r="BK196" s="780"/>
    </row>
    <row r="197" spans="2:63" s="787" customFormat="1" ht="49.9" customHeight="1">
      <c r="B197" s="771"/>
      <c r="C197" s="794" t="s">
        <v>816</v>
      </c>
      <c r="D197" s="772"/>
      <c r="E197" s="94" t="s">
        <v>1247</v>
      </c>
      <c r="F197" s="1117" t="s">
        <v>747</v>
      </c>
      <c r="G197" s="1118"/>
      <c r="H197" s="1118"/>
      <c r="I197" s="1119"/>
      <c r="J197" s="137" t="s">
        <v>198</v>
      </c>
      <c r="K197" s="126">
        <v>1</v>
      </c>
      <c r="L197" s="13"/>
      <c r="M197" s="128"/>
      <c r="N197" s="1111">
        <f t="shared" si="6"/>
        <v>0</v>
      </c>
      <c r="O197" s="1111"/>
      <c r="P197" s="1111"/>
      <c r="Q197" s="1111"/>
      <c r="R197" s="773"/>
      <c r="T197" s="788"/>
      <c r="U197" s="789"/>
      <c r="V197" s="789"/>
      <c r="W197" s="790"/>
      <c r="X197" s="789"/>
      <c r="Y197" s="790"/>
      <c r="Z197" s="789"/>
      <c r="AA197" s="791"/>
      <c r="AC197" s="162"/>
      <c r="AD197" s="162"/>
      <c r="AU197" s="792"/>
      <c r="AY197" s="793"/>
      <c r="BK197" s="780"/>
    </row>
    <row r="198" spans="2:63" s="787" customFormat="1" ht="49.9" customHeight="1">
      <c r="B198" s="771"/>
      <c r="C198" s="794" t="s">
        <v>817</v>
      </c>
      <c r="D198" s="772"/>
      <c r="E198" s="94" t="s">
        <v>1248</v>
      </c>
      <c r="F198" s="1117" t="s">
        <v>748</v>
      </c>
      <c r="G198" s="1118"/>
      <c r="H198" s="1118"/>
      <c r="I198" s="1119"/>
      <c r="J198" s="137" t="s">
        <v>198</v>
      </c>
      <c r="K198" s="126">
        <v>1</v>
      </c>
      <c r="L198" s="13"/>
      <c r="M198" s="128"/>
      <c r="N198" s="1111">
        <f t="shared" si="6"/>
        <v>0</v>
      </c>
      <c r="O198" s="1111"/>
      <c r="P198" s="1111"/>
      <c r="Q198" s="1111"/>
      <c r="R198" s="773"/>
      <c r="T198" s="788"/>
      <c r="U198" s="789"/>
      <c r="V198" s="789"/>
      <c r="W198" s="790"/>
      <c r="X198" s="789"/>
      <c r="Y198" s="790"/>
      <c r="Z198" s="789"/>
      <c r="AA198" s="791"/>
      <c r="AC198" s="162"/>
      <c r="AD198" s="162"/>
      <c r="AU198" s="792"/>
      <c r="AY198" s="793"/>
      <c r="BK198" s="780"/>
    </row>
    <row r="199" spans="2:63" s="787" customFormat="1" ht="49.9" customHeight="1">
      <c r="B199" s="771"/>
      <c r="C199" s="794" t="s">
        <v>818</v>
      </c>
      <c r="D199" s="772"/>
      <c r="E199" s="94" t="s">
        <v>1249</v>
      </c>
      <c r="F199" s="1117" t="s">
        <v>749</v>
      </c>
      <c r="G199" s="1118"/>
      <c r="H199" s="1118"/>
      <c r="I199" s="1119"/>
      <c r="J199" s="137" t="s">
        <v>198</v>
      </c>
      <c r="K199" s="126">
        <v>8</v>
      </c>
      <c r="L199" s="13"/>
      <c r="M199" s="128"/>
      <c r="N199" s="1111">
        <f t="shared" si="6"/>
        <v>0</v>
      </c>
      <c r="O199" s="1111"/>
      <c r="P199" s="1111"/>
      <c r="Q199" s="1111"/>
      <c r="R199" s="773"/>
      <c r="T199" s="788"/>
      <c r="U199" s="789"/>
      <c r="V199" s="789"/>
      <c r="W199" s="790"/>
      <c r="X199" s="789"/>
      <c r="Y199" s="790"/>
      <c r="Z199" s="789"/>
      <c r="AA199" s="791"/>
      <c r="AC199" s="162"/>
      <c r="AD199" s="162"/>
      <c r="AU199" s="792"/>
      <c r="AY199" s="793"/>
      <c r="BK199" s="780"/>
    </row>
    <row r="200" spans="2:63" s="787" customFormat="1" ht="49.9" customHeight="1">
      <c r="B200" s="771"/>
      <c r="C200" s="794" t="s">
        <v>819</v>
      </c>
      <c r="D200" s="772"/>
      <c r="E200" s="94" t="s">
        <v>1250</v>
      </c>
      <c r="F200" s="1117" t="s">
        <v>750</v>
      </c>
      <c r="G200" s="1118"/>
      <c r="H200" s="1118"/>
      <c r="I200" s="1119"/>
      <c r="J200" s="137" t="s">
        <v>198</v>
      </c>
      <c r="K200" s="126">
        <v>4</v>
      </c>
      <c r="L200" s="13"/>
      <c r="M200" s="128"/>
      <c r="N200" s="1111">
        <f aca="true" t="shared" si="7" ref="N200:N205">ROUND(L200*K200,2)</f>
        <v>0</v>
      </c>
      <c r="O200" s="1111"/>
      <c r="P200" s="1111"/>
      <c r="Q200" s="1111"/>
      <c r="R200" s="773"/>
      <c r="T200" s="788"/>
      <c r="U200" s="789"/>
      <c r="V200" s="789"/>
      <c r="W200" s="790"/>
      <c r="X200" s="789"/>
      <c r="Y200" s="790"/>
      <c r="Z200" s="789"/>
      <c r="AA200" s="791"/>
      <c r="AC200" s="162"/>
      <c r="AD200" s="162"/>
      <c r="AU200" s="792"/>
      <c r="AY200" s="793"/>
      <c r="BK200" s="780"/>
    </row>
    <row r="201" spans="2:63" s="787" customFormat="1" ht="49.9" customHeight="1">
      <c r="B201" s="771"/>
      <c r="C201" s="794" t="s">
        <v>820</v>
      </c>
      <c r="D201" s="772"/>
      <c r="E201" s="94" t="s">
        <v>1251</v>
      </c>
      <c r="F201" s="1117" t="s">
        <v>751</v>
      </c>
      <c r="G201" s="1118"/>
      <c r="H201" s="1118"/>
      <c r="I201" s="1119"/>
      <c r="J201" s="137" t="s">
        <v>198</v>
      </c>
      <c r="K201" s="126">
        <v>2</v>
      </c>
      <c r="L201" s="13"/>
      <c r="M201" s="128"/>
      <c r="N201" s="1111">
        <f t="shared" si="7"/>
        <v>0</v>
      </c>
      <c r="O201" s="1111"/>
      <c r="P201" s="1111"/>
      <c r="Q201" s="1111"/>
      <c r="R201" s="773"/>
      <c r="T201" s="788"/>
      <c r="U201" s="789"/>
      <c r="V201" s="789"/>
      <c r="W201" s="790"/>
      <c r="X201" s="789"/>
      <c r="Y201" s="790"/>
      <c r="Z201" s="789"/>
      <c r="AA201" s="791"/>
      <c r="AC201" s="162"/>
      <c r="AD201" s="162"/>
      <c r="AU201" s="792"/>
      <c r="AY201" s="793"/>
      <c r="BK201" s="780"/>
    </row>
    <row r="202" spans="2:63" s="787" customFormat="1" ht="49.9" customHeight="1">
      <c r="B202" s="771"/>
      <c r="C202" s="794" t="s">
        <v>821</v>
      </c>
      <c r="D202" s="772"/>
      <c r="E202" s="94" t="s">
        <v>1252</v>
      </c>
      <c r="F202" s="1117" t="s">
        <v>752</v>
      </c>
      <c r="G202" s="1118"/>
      <c r="H202" s="1118"/>
      <c r="I202" s="1119"/>
      <c r="J202" s="137" t="s">
        <v>198</v>
      </c>
      <c r="K202" s="126">
        <v>6</v>
      </c>
      <c r="L202" s="13"/>
      <c r="M202" s="128"/>
      <c r="N202" s="1111">
        <f t="shared" si="7"/>
        <v>0</v>
      </c>
      <c r="O202" s="1111"/>
      <c r="P202" s="1111"/>
      <c r="Q202" s="1111"/>
      <c r="R202" s="773"/>
      <c r="T202" s="788"/>
      <c r="U202" s="789"/>
      <c r="V202" s="789"/>
      <c r="W202" s="790"/>
      <c r="X202" s="789"/>
      <c r="Y202" s="790"/>
      <c r="Z202" s="789"/>
      <c r="AA202" s="791"/>
      <c r="AC202" s="162"/>
      <c r="AD202" s="162"/>
      <c r="AU202" s="792"/>
      <c r="AY202" s="793"/>
      <c r="BK202" s="780"/>
    </row>
    <row r="203" spans="2:63" s="787" customFormat="1" ht="49.9" customHeight="1">
      <c r="B203" s="771"/>
      <c r="C203" s="794" t="s">
        <v>822</v>
      </c>
      <c r="D203" s="772"/>
      <c r="E203" s="94" t="s">
        <v>1253</v>
      </c>
      <c r="F203" s="1117" t="s">
        <v>753</v>
      </c>
      <c r="G203" s="1118"/>
      <c r="H203" s="1118"/>
      <c r="I203" s="1119"/>
      <c r="J203" s="137" t="s">
        <v>198</v>
      </c>
      <c r="K203" s="126">
        <v>10</v>
      </c>
      <c r="L203" s="13"/>
      <c r="M203" s="128"/>
      <c r="N203" s="1111">
        <f t="shared" si="7"/>
        <v>0</v>
      </c>
      <c r="O203" s="1111"/>
      <c r="P203" s="1111"/>
      <c r="Q203" s="1111"/>
      <c r="R203" s="773"/>
      <c r="T203" s="788"/>
      <c r="U203" s="789"/>
      <c r="V203" s="789"/>
      <c r="W203" s="790"/>
      <c r="X203" s="789"/>
      <c r="Y203" s="790"/>
      <c r="Z203" s="789"/>
      <c r="AA203" s="791"/>
      <c r="AC203" s="162"/>
      <c r="AD203" s="162"/>
      <c r="AU203" s="792"/>
      <c r="AY203" s="793"/>
      <c r="BK203" s="780"/>
    </row>
    <row r="204" spans="2:63" s="787" customFormat="1" ht="49.9" customHeight="1">
      <c r="B204" s="771"/>
      <c r="C204" s="794" t="s">
        <v>823</v>
      </c>
      <c r="D204" s="772"/>
      <c r="E204" s="94" t="s">
        <v>1254</v>
      </c>
      <c r="F204" s="1117" t="s">
        <v>754</v>
      </c>
      <c r="G204" s="1118"/>
      <c r="H204" s="1118"/>
      <c r="I204" s="1119"/>
      <c r="J204" s="137" t="s">
        <v>198</v>
      </c>
      <c r="K204" s="126">
        <v>2</v>
      </c>
      <c r="L204" s="13"/>
      <c r="M204" s="128"/>
      <c r="N204" s="1111">
        <f t="shared" si="7"/>
        <v>0</v>
      </c>
      <c r="O204" s="1111"/>
      <c r="P204" s="1111"/>
      <c r="Q204" s="1111"/>
      <c r="R204" s="773"/>
      <c r="T204" s="788"/>
      <c r="U204" s="789"/>
      <c r="V204" s="789"/>
      <c r="W204" s="790"/>
      <c r="X204" s="789"/>
      <c r="Y204" s="790"/>
      <c r="Z204" s="789"/>
      <c r="AA204" s="791"/>
      <c r="AC204" s="162"/>
      <c r="AD204" s="162"/>
      <c r="AU204" s="792"/>
      <c r="AY204" s="793"/>
      <c r="BK204" s="780"/>
    </row>
    <row r="205" spans="2:63" s="1182" customFormat="1" ht="49.9" customHeight="1">
      <c r="B205" s="1190"/>
      <c r="C205" s="1191" t="s">
        <v>824</v>
      </c>
      <c r="D205" s="1185"/>
      <c r="E205" s="1174" t="s">
        <v>1255</v>
      </c>
      <c r="F205" s="1187" t="s">
        <v>2251</v>
      </c>
      <c r="G205" s="1188"/>
      <c r="H205" s="1188"/>
      <c r="I205" s="1189"/>
      <c r="J205" s="1174" t="s">
        <v>198</v>
      </c>
      <c r="K205" s="1192">
        <v>1</v>
      </c>
      <c r="L205" s="35">
        <v>0</v>
      </c>
      <c r="M205" s="1175"/>
      <c r="N205" s="1193">
        <f t="shared" si="7"/>
        <v>0</v>
      </c>
      <c r="O205" s="1193"/>
      <c r="P205" s="1193"/>
      <c r="Q205" s="1193"/>
      <c r="R205" s="1194"/>
      <c r="T205" s="1195"/>
      <c r="U205" s="1196"/>
      <c r="V205" s="1196"/>
      <c r="W205" s="1197"/>
      <c r="X205" s="1196"/>
      <c r="Y205" s="1197"/>
      <c r="Z205" s="1196"/>
      <c r="AA205" s="1198"/>
      <c r="AC205" s="1181"/>
      <c r="AD205" s="1181"/>
      <c r="AU205" s="1199"/>
      <c r="AY205" s="1200"/>
      <c r="BK205" s="1184"/>
    </row>
    <row r="206" spans="2:63" s="787" customFormat="1" ht="49.9" customHeight="1">
      <c r="B206" s="771"/>
      <c r="C206" s="794" t="s">
        <v>825</v>
      </c>
      <c r="D206" s="772"/>
      <c r="E206" s="94" t="s">
        <v>1256</v>
      </c>
      <c r="F206" s="1117" t="s">
        <v>755</v>
      </c>
      <c r="G206" s="1118"/>
      <c r="H206" s="1118"/>
      <c r="I206" s="1119"/>
      <c r="J206" s="137" t="s">
        <v>198</v>
      </c>
      <c r="K206" s="126">
        <v>1</v>
      </c>
      <c r="L206" s="13"/>
      <c r="M206" s="128"/>
      <c r="N206" s="1111">
        <f aca="true" t="shared" si="8" ref="N206:N212">ROUND(L206*K206,2)</f>
        <v>0</v>
      </c>
      <c r="O206" s="1111"/>
      <c r="P206" s="1111"/>
      <c r="Q206" s="1111"/>
      <c r="R206" s="773"/>
      <c r="T206" s="788"/>
      <c r="U206" s="789"/>
      <c r="V206" s="789"/>
      <c r="W206" s="790"/>
      <c r="X206" s="789"/>
      <c r="Y206" s="790"/>
      <c r="Z206" s="789"/>
      <c r="AA206" s="791"/>
      <c r="AC206" s="162"/>
      <c r="AD206" s="162"/>
      <c r="AU206" s="792"/>
      <c r="AY206" s="793"/>
      <c r="BK206" s="780"/>
    </row>
    <row r="207" spans="2:63" s="787" customFormat="1" ht="49.9" customHeight="1">
      <c r="B207" s="771"/>
      <c r="C207" s="794" t="s">
        <v>826</v>
      </c>
      <c r="D207" s="772"/>
      <c r="E207" s="94" t="s">
        <v>1257</v>
      </c>
      <c r="F207" s="1117" t="s">
        <v>756</v>
      </c>
      <c r="G207" s="1118"/>
      <c r="H207" s="1118"/>
      <c r="I207" s="1119"/>
      <c r="J207" s="137" t="s">
        <v>757</v>
      </c>
      <c r="K207" s="126">
        <v>65</v>
      </c>
      <c r="L207" s="13"/>
      <c r="M207" s="128"/>
      <c r="N207" s="1111">
        <f t="shared" si="8"/>
        <v>0</v>
      </c>
      <c r="O207" s="1111"/>
      <c r="P207" s="1111"/>
      <c r="Q207" s="1111"/>
      <c r="R207" s="773"/>
      <c r="T207" s="788"/>
      <c r="U207" s="789"/>
      <c r="V207" s="789"/>
      <c r="W207" s="790"/>
      <c r="X207" s="789"/>
      <c r="Y207" s="790"/>
      <c r="Z207" s="789"/>
      <c r="AA207" s="791"/>
      <c r="AC207" s="162"/>
      <c r="AD207" s="162"/>
      <c r="AU207" s="792"/>
      <c r="AY207" s="793"/>
      <c r="BK207" s="780"/>
    </row>
    <row r="208" spans="1:65" s="162" customFormat="1" ht="45.6" customHeight="1">
      <c r="A208" s="58"/>
      <c r="B208" s="399"/>
      <c r="C208" s="181"/>
      <c r="D208" s="105" t="s">
        <v>254</v>
      </c>
      <c r="E208" s="128"/>
      <c r="F208" s="128"/>
      <c r="G208" s="128"/>
      <c r="H208" s="128"/>
      <c r="I208" s="128"/>
      <c r="J208" s="128"/>
      <c r="K208" s="128"/>
      <c r="L208" s="800"/>
      <c r="M208" s="128"/>
      <c r="N208" s="768"/>
      <c r="O208" s="769"/>
      <c r="P208" s="769"/>
      <c r="Q208" s="769"/>
      <c r="R208" s="400"/>
      <c r="S208" s="400"/>
      <c r="T208" s="483"/>
      <c r="U208" s="221"/>
      <c r="V208" s="408"/>
      <c r="W208" s="408"/>
      <c r="X208" s="408"/>
      <c r="Y208" s="408"/>
      <c r="Z208" s="408"/>
      <c r="AA208" s="409"/>
      <c r="AU208" s="448"/>
      <c r="AY208" s="448"/>
      <c r="BE208" s="484"/>
      <c r="BF208" s="484"/>
      <c r="BG208" s="484"/>
      <c r="BH208" s="484"/>
      <c r="BI208" s="484"/>
      <c r="BJ208" s="448"/>
      <c r="BK208" s="484"/>
      <c r="BL208" s="448"/>
      <c r="BM208" s="448"/>
    </row>
    <row r="209" spans="2:63" s="787" customFormat="1" ht="49.9" customHeight="1">
      <c r="B209" s="771"/>
      <c r="C209" s="772" t="s">
        <v>827</v>
      </c>
      <c r="D209" s="772"/>
      <c r="E209" s="94" t="s">
        <v>1258</v>
      </c>
      <c r="F209" s="1117" t="s">
        <v>758</v>
      </c>
      <c r="G209" s="1118"/>
      <c r="H209" s="1118"/>
      <c r="I209" s="1119"/>
      <c r="J209" s="137" t="s">
        <v>131</v>
      </c>
      <c r="K209" s="126">
        <v>1</v>
      </c>
      <c r="L209" s="13"/>
      <c r="M209" s="128"/>
      <c r="N209" s="1111">
        <f t="shared" si="8"/>
        <v>0</v>
      </c>
      <c r="O209" s="1111"/>
      <c r="P209" s="1111"/>
      <c r="Q209" s="1111"/>
      <c r="R209" s="773"/>
      <c r="T209" s="788"/>
      <c r="U209" s="789"/>
      <c r="V209" s="789"/>
      <c r="W209" s="790"/>
      <c r="X209" s="789"/>
      <c r="Y209" s="790"/>
      <c r="Z209" s="789"/>
      <c r="AA209" s="791"/>
      <c r="AC209" s="162"/>
      <c r="AD209" s="162"/>
      <c r="AU209" s="792"/>
      <c r="AY209" s="793"/>
      <c r="BK209" s="780"/>
    </row>
    <row r="210" spans="2:63" s="787" customFormat="1" ht="49.9" customHeight="1">
      <c r="B210" s="771"/>
      <c r="C210" s="772" t="s">
        <v>828</v>
      </c>
      <c r="D210" s="772"/>
      <c r="E210" s="94" t="s">
        <v>1259</v>
      </c>
      <c r="F210" s="1117" t="s">
        <v>1350</v>
      </c>
      <c r="G210" s="1118"/>
      <c r="H210" s="1118"/>
      <c r="I210" s="1119"/>
      <c r="J210" s="137" t="s">
        <v>131</v>
      </c>
      <c r="K210" s="126">
        <v>1</v>
      </c>
      <c r="L210" s="13"/>
      <c r="M210" s="128"/>
      <c r="N210" s="1111">
        <f t="shared" si="8"/>
        <v>0</v>
      </c>
      <c r="O210" s="1111"/>
      <c r="P210" s="1111"/>
      <c r="Q210" s="1111"/>
      <c r="R210" s="773"/>
      <c r="T210" s="788"/>
      <c r="U210" s="789"/>
      <c r="V210" s="789"/>
      <c r="W210" s="790"/>
      <c r="X210" s="789"/>
      <c r="Y210" s="790"/>
      <c r="Z210" s="789"/>
      <c r="AA210" s="791"/>
      <c r="AC210" s="162"/>
      <c r="AD210" s="162"/>
      <c r="AU210" s="792"/>
      <c r="AY210" s="793"/>
      <c r="BK210" s="780"/>
    </row>
    <row r="211" spans="2:63" s="787" customFormat="1" ht="49.9" customHeight="1">
      <c r="B211" s="771"/>
      <c r="C211" s="772" t="s">
        <v>829</v>
      </c>
      <c r="D211" s="772"/>
      <c r="E211" s="94" t="s">
        <v>1260</v>
      </c>
      <c r="F211" s="1117" t="s">
        <v>759</v>
      </c>
      <c r="G211" s="1118"/>
      <c r="H211" s="1118"/>
      <c r="I211" s="1119"/>
      <c r="J211" s="137" t="s">
        <v>131</v>
      </c>
      <c r="K211" s="126">
        <v>1</v>
      </c>
      <c r="L211" s="13"/>
      <c r="M211" s="128"/>
      <c r="N211" s="1111">
        <f aca="true" t="shared" si="9" ref="N211">ROUND(L211*K211,2)</f>
        <v>0</v>
      </c>
      <c r="O211" s="1111"/>
      <c r="P211" s="1111"/>
      <c r="Q211" s="1111"/>
      <c r="R211" s="773"/>
      <c r="T211" s="788"/>
      <c r="U211" s="789"/>
      <c r="V211" s="789"/>
      <c r="W211" s="790"/>
      <c r="X211" s="789"/>
      <c r="Y211" s="790"/>
      <c r="Z211" s="789"/>
      <c r="AA211" s="791"/>
      <c r="AC211" s="162"/>
      <c r="AD211" s="162"/>
      <c r="AU211" s="792"/>
      <c r="AY211" s="793"/>
      <c r="BK211" s="780"/>
    </row>
    <row r="212" spans="2:63" s="787" customFormat="1" ht="49.9" customHeight="1">
      <c r="B212" s="771"/>
      <c r="C212" s="772" t="s">
        <v>830</v>
      </c>
      <c r="D212" s="772"/>
      <c r="E212" s="94" t="s">
        <v>1261</v>
      </c>
      <c r="F212" s="1117" t="s">
        <v>760</v>
      </c>
      <c r="G212" s="1118"/>
      <c r="H212" s="1118"/>
      <c r="I212" s="1119"/>
      <c r="J212" s="137" t="s">
        <v>694</v>
      </c>
      <c r="K212" s="126">
        <v>13</v>
      </c>
      <c r="L212" s="13"/>
      <c r="M212" s="128"/>
      <c r="N212" s="1111">
        <f t="shared" si="8"/>
        <v>0</v>
      </c>
      <c r="O212" s="1111"/>
      <c r="P212" s="1111"/>
      <c r="Q212" s="1111"/>
      <c r="R212" s="773"/>
      <c r="T212" s="788"/>
      <c r="U212" s="789"/>
      <c r="V212" s="789"/>
      <c r="W212" s="790"/>
      <c r="X212" s="789"/>
      <c r="Y212" s="790"/>
      <c r="Z212" s="789"/>
      <c r="AA212" s="791"/>
      <c r="AC212" s="162"/>
      <c r="AD212" s="162"/>
      <c r="AU212" s="792"/>
      <c r="AY212" s="793"/>
      <c r="BK212" s="780"/>
    </row>
    <row r="213" spans="2:63" s="787" customFormat="1" ht="49.9" customHeight="1">
      <c r="B213" s="771"/>
      <c r="C213" s="772" t="s">
        <v>831</v>
      </c>
      <c r="D213" s="772"/>
      <c r="E213" s="94" t="s">
        <v>1262</v>
      </c>
      <c r="F213" s="1117" t="s">
        <v>761</v>
      </c>
      <c r="G213" s="1118"/>
      <c r="H213" s="1118"/>
      <c r="I213" s="1119"/>
      <c r="J213" s="137" t="s">
        <v>131</v>
      </c>
      <c r="K213" s="126">
        <v>1</v>
      </c>
      <c r="L213" s="13"/>
      <c r="M213" s="128"/>
      <c r="N213" s="1111">
        <f aca="true" t="shared" si="10" ref="N213:N221">ROUND(L213*K213,2)</f>
        <v>0</v>
      </c>
      <c r="O213" s="1111"/>
      <c r="P213" s="1111"/>
      <c r="Q213" s="1111"/>
      <c r="R213" s="773"/>
      <c r="T213" s="788"/>
      <c r="U213" s="789"/>
      <c r="V213" s="789"/>
      <c r="W213" s="790"/>
      <c r="X213" s="789"/>
      <c r="Y213" s="790"/>
      <c r="Z213" s="789"/>
      <c r="AA213" s="791"/>
      <c r="AC213" s="162"/>
      <c r="AD213" s="162"/>
      <c r="AU213" s="792"/>
      <c r="AY213" s="793"/>
      <c r="BK213" s="780"/>
    </row>
    <row r="214" spans="2:63" s="787" customFormat="1" ht="49.9" customHeight="1">
      <c r="B214" s="771"/>
      <c r="C214" s="772" t="s">
        <v>832</v>
      </c>
      <c r="D214" s="772"/>
      <c r="E214" s="94" t="s">
        <v>1263</v>
      </c>
      <c r="F214" s="1117" t="s">
        <v>762</v>
      </c>
      <c r="G214" s="1118"/>
      <c r="H214" s="1118"/>
      <c r="I214" s="1119"/>
      <c r="J214" s="137" t="s">
        <v>131</v>
      </c>
      <c r="K214" s="126">
        <v>1</v>
      </c>
      <c r="L214" s="13"/>
      <c r="M214" s="128"/>
      <c r="N214" s="1111">
        <f t="shared" si="10"/>
        <v>0</v>
      </c>
      <c r="O214" s="1111"/>
      <c r="P214" s="1111"/>
      <c r="Q214" s="1111"/>
      <c r="R214" s="773"/>
      <c r="T214" s="788"/>
      <c r="U214" s="789"/>
      <c r="V214" s="789"/>
      <c r="W214" s="790"/>
      <c r="X214" s="789"/>
      <c r="Y214" s="790"/>
      <c r="Z214" s="789"/>
      <c r="AA214" s="791"/>
      <c r="AC214" s="162"/>
      <c r="AD214" s="162"/>
      <c r="AU214" s="792"/>
      <c r="AY214" s="793"/>
      <c r="BK214" s="780"/>
    </row>
    <row r="215" spans="2:63" s="787" customFormat="1" ht="49.9" customHeight="1">
      <c r="B215" s="771"/>
      <c r="C215" s="772" t="s">
        <v>833</v>
      </c>
      <c r="D215" s="772"/>
      <c r="E215" s="94" t="s">
        <v>1264</v>
      </c>
      <c r="F215" s="1117" t="s">
        <v>1271</v>
      </c>
      <c r="G215" s="1118"/>
      <c r="H215" s="1118"/>
      <c r="I215" s="1119"/>
      <c r="J215" s="137" t="s">
        <v>131</v>
      </c>
      <c r="K215" s="126">
        <v>1</v>
      </c>
      <c r="L215" s="13"/>
      <c r="M215" s="128"/>
      <c r="N215" s="1111">
        <f t="shared" si="10"/>
        <v>0</v>
      </c>
      <c r="O215" s="1111"/>
      <c r="P215" s="1111"/>
      <c r="Q215" s="1111"/>
      <c r="R215" s="773"/>
      <c r="T215" s="788"/>
      <c r="U215" s="789"/>
      <c r="V215" s="789"/>
      <c r="W215" s="790"/>
      <c r="X215" s="789"/>
      <c r="Y215" s="790"/>
      <c r="Z215" s="789"/>
      <c r="AA215" s="791"/>
      <c r="AC215" s="162"/>
      <c r="AD215" s="162"/>
      <c r="AU215" s="792"/>
      <c r="AY215" s="793"/>
      <c r="BK215" s="780"/>
    </row>
    <row r="216" spans="2:63" s="787" customFormat="1" ht="49.9" customHeight="1">
      <c r="B216" s="771"/>
      <c r="C216" s="772" t="s">
        <v>834</v>
      </c>
      <c r="D216" s="772"/>
      <c r="E216" s="94" t="s">
        <v>1265</v>
      </c>
      <c r="F216" s="1130" t="s">
        <v>2236</v>
      </c>
      <c r="G216" s="1131"/>
      <c r="H216" s="1131"/>
      <c r="I216" s="1132"/>
      <c r="J216" s="137" t="s">
        <v>131</v>
      </c>
      <c r="K216" s="126">
        <v>1</v>
      </c>
      <c r="L216" s="13"/>
      <c r="M216" s="128"/>
      <c r="N216" s="1111">
        <f t="shared" si="10"/>
        <v>0</v>
      </c>
      <c r="O216" s="1111"/>
      <c r="P216" s="1111"/>
      <c r="Q216" s="1111"/>
      <c r="R216" s="773"/>
      <c r="T216" s="788"/>
      <c r="U216" s="789"/>
      <c r="V216" s="789"/>
      <c r="W216" s="790"/>
      <c r="X216" s="789"/>
      <c r="Y216" s="790"/>
      <c r="Z216" s="789"/>
      <c r="AA216" s="791"/>
      <c r="AC216" s="162"/>
      <c r="AD216" s="162"/>
      <c r="AU216" s="792"/>
      <c r="AY216" s="793"/>
      <c r="BK216" s="780"/>
    </row>
    <row r="217" spans="2:63" s="787" customFormat="1" ht="49.9" customHeight="1">
      <c r="B217" s="771"/>
      <c r="C217" s="772" t="s">
        <v>835</v>
      </c>
      <c r="D217" s="772"/>
      <c r="E217" s="94" t="s">
        <v>1266</v>
      </c>
      <c r="F217" s="1130" t="s">
        <v>2235</v>
      </c>
      <c r="G217" s="1131"/>
      <c r="H217" s="1131"/>
      <c r="I217" s="1132"/>
      <c r="J217" s="137" t="s">
        <v>131</v>
      </c>
      <c r="K217" s="126">
        <v>1</v>
      </c>
      <c r="L217" s="13"/>
      <c r="M217" s="128"/>
      <c r="N217" s="1111">
        <f t="shared" si="10"/>
        <v>0</v>
      </c>
      <c r="O217" s="1111"/>
      <c r="P217" s="1111"/>
      <c r="Q217" s="1111"/>
      <c r="R217" s="773"/>
      <c r="T217" s="788"/>
      <c r="U217" s="789"/>
      <c r="V217" s="789"/>
      <c r="W217" s="790"/>
      <c r="X217" s="789"/>
      <c r="Y217" s="790"/>
      <c r="Z217" s="789"/>
      <c r="AA217" s="791"/>
      <c r="AC217" s="162"/>
      <c r="AD217" s="162"/>
      <c r="AU217" s="792"/>
      <c r="AY217" s="793"/>
      <c r="BK217" s="780"/>
    </row>
    <row r="218" spans="2:63" s="787" customFormat="1" ht="49.9" customHeight="1">
      <c r="B218" s="771"/>
      <c r="C218" s="772" t="s">
        <v>836</v>
      </c>
      <c r="D218" s="772"/>
      <c r="E218" s="94" t="s">
        <v>1267</v>
      </c>
      <c r="F218" s="1117" t="s">
        <v>763</v>
      </c>
      <c r="G218" s="1118"/>
      <c r="H218" s="1118"/>
      <c r="I218" s="1119"/>
      <c r="J218" s="137" t="s">
        <v>131</v>
      </c>
      <c r="K218" s="126">
        <v>1</v>
      </c>
      <c r="L218" s="13"/>
      <c r="M218" s="128"/>
      <c r="N218" s="1111">
        <f t="shared" si="10"/>
        <v>0</v>
      </c>
      <c r="O218" s="1111"/>
      <c r="P218" s="1111"/>
      <c r="Q218" s="1111"/>
      <c r="R218" s="773"/>
      <c r="T218" s="788"/>
      <c r="U218" s="789"/>
      <c r="V218" s="789"/>
      <c r="W218" s="790"/>
      <c r="X218" s="789"/>
      <c r="Y218" s="790"/>
      <c r="Z218" s="789"/>
      <c r="AA218" s="791"/>
      <c r="AC218" s="162"/>
      <c r="AD218" s="162"/>
      <c r="AU218" s="792"/>
      <c r="AY218" s="793"/>
      <c r="BK218" s="780"/>
    </row>
    <row r="219" spans="2:63" s="787" customFormat="1" ht="49.9" customHeight="1">
      <c r="B219" s="771"/>
      <c r="C219" s="772" t="s">
        <v>837</v>
      </c>
      <c r="D219" s="772"/>
      <c r="E219" s="94" t="s">
        <v>1268</v>
      </c>
      <c r="F219" s="1117" t="s">
        <v>2183</v>
      </c>
      <c r="G219" s="1118"/>
      <c r="H219" s="1118"/>
      <c r="I219" s="1119"/>
      <c r="J219" s="137" t="s">
        <v>131</v>
      </c>
      <c r="K219" s="126">
        <v>1</v>
      </c>
      <c r="L219" s="13"/>
      <c r="M219" s="128"/>
      <c r="N219" s="1111">
        <f aca="true" t="shared" si="11" ref="N219">ROUND(L219*K219,2)</f>
        <v>0</v>
      </c>
      <c r="O219" s="1111"/>
      <c r="P219" s="1111"/>
      <c r="Q219" s="1111"/>
      <c r="R219" s="773"/>
      <c r="T219" s="788"/>
      <c r="U219" s="789"/>
      <c r="V219" s="789"/>
      <c r="W219" s="790"/>
      <c r="X219" s="789"/>
      <c r="Y219" s="790"/>
      <c r="Z219" s="789"/>
      <c r="AA219" s="791"/>
      <c r="AC219" s="162"/>
      <c r="AD219" s="162"/>
      <c r="AU219" s="792"/>
      <c r="AY219" s="793"/>
      <c r="BK219" s="780"/>
    </row>
    <row r="220" spans="2:47" s="716" customFormat="1" ht="30" customHeight="1">
      <c r="B220" s="717"/>
      <c r="C220" s="718" t="s">
        <v>838</v>
      </c>
      <c r="D220" s="718"/>
      <c r="E220" s="767" t="s">
        <v>1269</v>
      </c>
      <c r="F220" s="954" t="s">
        <v>206</v>
      </c>
      <c r="G220" s="954"/>
      <c r="H220" s="954"/>
      <c r="I220" s="954"/>
      <c r="J220" s="103" t="s">
        <v>2227</v>
      </c>
      <c r="K220" s="124">
        <v>1</v>
      </c>
      <c r="L220" s="122"/>
      <c r="M220" s="410"/>
      <c r="N220" s="1112">
        <f t="shared" si="10"/>
        <v>0</v>
      </c>
      <c r="O220" s="1112"/>
      <c r="P220" s="1112"/>
      <c r="Q220" s="1112"/>
      <c r="R220" s="719"/>
      <c r="T220" s="720"/>
      <c r="U220" s="721"/>
      <c r="V220" s="721"/>
      <c r="W220" s="721"/>
      <c r="X220" s="721"/>
      <c r="Y220" s="721"/>
      <c r="Z220" s="721"/>
      <c r="AA220" s="722"/>
      <c r="AC220" s="162"/>
      <c r="AU220" s="724" t="s">
        <v>76</v>
      </c>
    </row>
    <row r="221" spans="2:65" s="716" customFormat="1" ht="30" customHeight="1">
      <c r="B221" s="717"/>
      <c r="C221" s="718" t="s">
        <v>839</v>
      </c>
      <c r="D221" s="718"/>
      <c r="E221" s="767" t="s">
        <v>1270</v>
      </c>
      <c r="F221" s="954" t="s">
        <v>2226</v>
      </c>
      <c r="G221" s="954"/>
      <c r="H221" s="954"/>
      <c r="I221" s="954"/>
      <c r="J221" s="103" t="s">
        <v>2227</v>
      </c>
      <c r="K221" s="124">
        <v>1</v>
      </c>
      <c r="L221" s="122"/>
      <c r="M221" s="410"/>
      <c r="N221" s="1112">
        <f t="shared" si="10"/>
        <v>0</v>
      </c>
      <c r="O221" s="1112"/>
      <c r="P221" s="1112"/>
      <c r="Q221" s="1112"/>
      <c r="R221" s="719"/>
      <c r="T221" s="725" t="s">
        <v>5</v>
      </c>
      <c r="U221" s="726" t="s">
        <v>36</v>
      </c>
      <c r="V221" s="727">
        <v>0</v>
      </c>
      <c r="W221" s="727">
        <f>V221*K144</f>
        <v>0</v>
      </c>
      <c r="X221" s="727">
        <v>0</v>
      </c>
      <c r="Y221" s="727">
        <f>X221*K144</f>
        <v>0</v>
      </c>
      <c r="Z221" s="727">
        <v>0</v>
      </c>
      <c r="AA221" s="728">
        <f>Z221*K144</f>
        <v>0</v>
      </c>
      <c r="AC221" s="162"/>
      <c r="AU221" s="724" t="s">
        <v>76</v>
      </c>
      <c r="AY221" s="724" t="s">
        <v>125</v>
      </c>
      <c r="BE221" s="729">
        <f>IF(U221="základní",N144,0)</f>
        <v>0</v>
      </c>
      <c r="BF221" s="729">
        <f>IF(U221="snížená",N144,0)</f>
        <v>0</v>
      </c>
      <c r="BG221" s="729">
        <f>IF(U221="zákl. přenesená",N144,0)</f>
        <v>0</v>
      </c>
      <c r="BH221" s="729">
        <f>IF(U221="sníž. přenesená",N144,0)</f>
        <v>0</v>
      </c>
      <c r="BI221" s="729">
        <f>IF(U221="nulová",N144,0)</f>
        <v>0</v>
      </c>
      <c r="BJ221" s="724" t="s">
        <v>80</v>
      </c>
      <c r="BK221" s="729">
        <f>ROUND(L144*K144,2)</f>
        <v>0</v>
      </c>
      <c r="BL221" s="724" t="s">
        <v>128</v>
      </c>
      <c r="BM221" s="724" t="s">
        <v>139</v>
      </c>
    </row>
    <row r="222" spans="2:65" s="162" customFormat="1" ht="15.75" customHeight="1">
      <c r="B222" s="467"/>
      <c r="C222" s="178"/>
      <c r="D222" s="178"/>
      <c r="E222" s="178"/>
      <c r="F222" s="796"/>
      <c r="G222" s="796"/>
      <c r="H222" s="796"/>
      <c r="I222" s="796"/>
      <c r="J222" s="178"/>
      <c r="K222" s="178"/>
      <c r="L222" s="178"/>
      <c r="M222" s="128"/>
      <c r="N222" s="797"/>
      <c r="O222" s="797"/>
      <c r="P222" s="797"/>
      <c r="Q222" s="797"/>
      <c r="R222" s="468"/>
      <c r="T222" s="407" t="s">
        <v>5</v>
      </c>
      <c r="U222" s="221" t="s">
        <v>36</v>
      </c>
      <c r="V222" s="408">
        <v>0</v>
      </c>
      <c r="W222" s="408">
        <f>V222*K239</f>
        <v>0</v>
      </c>
      <c r="X222" s="408">
        <v>0</v>
      </c>
      <c r="Y222" s="408">
        <f>X222*K239</f>
        <v>0</v>
      </c>
      <c r="Z222" s="408">
        <v>0</v>
      </c>
      <c r="AA222" s="409">
        <f>Z222*K239</f>
        <v>0</v>
      </c>
      <c r="AE222" s="422"/>
      <c r="AR222" s="448" t="s">
        <v>128</v>
      </c>
      <c r="AT222" s="448" t="s">
        <v>126</v>
      </c>
      <c r="AU222" s="448" t="s">
        <v>76</v>
      </c>
      <c r="AY222" s="448" t="s">
        <v>125</v>
      </c>
      <c r="BE222" s="484">
        <f>IF(U222="základní",N239,0)</f>
        <v>0</v>
      </c>
      <c r="BF222" s="484">
        <f>IF(U222="snížená",N239,0)</f>
        <v>0</v>
      </c>
      <c r="BG222" s="484">
        <f>IF(U222="zákl. přenesená",N239,0)</f>
        <v>0</v>
      </c>
      <c r="BH222" s="484">
        <f>IF(U222="sníž. přenesená",N239,0)</f>
        <v>0</v>
      </c>
      <c r="BI222" s="484">
        <f>IF(U222="nulová",N239,0)</f>
        <v>0</v>
      </c>
      <c r="BJ222" s="448" t="s">
        <v>80</v>
      </c>
      <c r="BK222" s="484">
        <f>ROUND(L239*K239,2)</f>
        <v>0</v>
      </c>
      <c r="BL222" s="448" t="s">
        <v>128</v>
      </c>
      <c r="BM222" s="448" t="s">
        <v>145</v>
      </c>
    </row>
    <row r="223" spans="6:47" s="162" customFormat="1" ht="30" customHeight="1">
      <c r="F223" s="448"/>
      <c r="G223" s="448"/>
      <c r="H223" s="448"/>
      <c r="I223" s="448"/>
      <c r="M223" s="128"/>
      <c r="N223" s="798"/>
      <c r="O223" s="798"/>
      <c r="P223" s="798"/>
      <c r="Q223" s="798"/>
      <c r="T223" s="506"/>
      <c r="U223" s="58"/>
      <c r="V223" s="58"/>
      <c r="W223" s="58"/>
      <c r="X223" s="58"/>
      <c r="Y223" s="58"/>
      <c r="Z223" s="58"/>
      <c r="AA223" s="507"/>
      <c r="AE223" s="58"/>
      <c r="AT223" s="448" t="s">
        <v>182</v>
      </c>
      <c r="AU223" s="448" t="s">
        <v>76</v>
      </c>
    </row>
    <row r="224" spans="6:65" s="162" customFormat="1" ht="31.5" customHeight="1">
      <c r="F224" s="448"/>
      <c r="G224" s="448"/>
      <c r="H224" s="448"/>
      <c r="I224" s="448"/>
      <c r="N224" s="798"/>
      <c r="O224" s="798"/>
      <c r="P224" s="798"/>
      <c r="Q224" s="798"/>
      <c r="T224" s="407" t="s">
        <v>5</v>
      </c>
      <c r="U224" s="221" t="s">
        <v>36</v>
      </c>
      <c r="V224" s="408">
        <v>0</v>
      </c>
      <c r="W224" s="408">
        <f>V224*K251</f>
        <v>0</v>
      </c>
      <c r="X224" s="408">
        <v>0</v>
      </c>
      <c r="Y224" s="408">
        <f>X224*K251</f>
        <v>0</v>
      </c>
      <c r="Z224" s="408">
        <v>0</v>
      </c>
      <c r="AA224" s="409">
        <f>Z224*K251</f>
        <v>0</v>
      </c>
      <c r="AR224" s="448" t="s">
        <v>128</v>
      </c>
      <c r="AT224" s="448" t="s">
        <v>126</v>
      </c>
      <c r="AU224" s="448" t="s">
        <v>76</v>
      </c>
      <c r="AY224" s="448" t="s">
        <v>125</v>
      </c>
      <c r="BE224" s="484">
        <f>IF(U224="základní",N251,0)</f>
        <v>0</v>
      </c>
      <c r="BF224" s="484">
        <f>IF(U224="snížená",N251,0)</f>
        <v>0</v>
      </c>
      <c r="BG224" s="484">
        <f>IF(U224="zákl. přenesená",N251,0)</f>
        <v>0</v>
      </c>
      <c r="BH224" s="484">
        <f>IF(U224="sníž. přenesená",N251,0)</f>
        <v>0</v>
      </c>
      <c r="BI224" s="484">
        <f>IF(U224="nulová",N251,0)</f>
        <v>0</v>
      </c>
      <c r="BJ224" s="448" t="s">
        <v>80</v>
      </c>
      <c r="BK224" s="484">
        <f>ROUND(L251*K251,2)</f>
        <v>0</v>
      </c>
      <c r="BL224" s="448" t="s">
        <v>128</v>
      </c>
      <c r="BM224" s="448" t="s">
        <v>146</v>
      </c>
    </row>
    <row r="225" spans="6:47" s="162" customFormat="1" ht="42" customHeight="1">
      <c r="F225" s="448"/>
      <c r="G225" s="448"/>
      <c r="H225" s="448"/>
      <c r="I225" s="448"/>
      <c r="N225" s="798"/>
      <c r="O225" s="798"/>
      <c r="P225" s="798"/>
      <c r="Q225" s="798"/>
      <c r="T225" s="506"/>
      <c r="U225" s="58"/>
      <c r="V225" s="58"/>
      <c r="W225" s="58"/>
      <c r="X225" s="58"/>
      <c r="Y225" s="58"/>
      <c r="Z225" s="58"/>
      <c r="AA225" s="507"/>
      <c r="AT225" s="448" t="s">
        <v>182</v>
      </c>
      <c r="AU225" s="448" t="s">
        <v>76</v>
      </c>
    </row>
    <row r="226" spans="6:65" s="162" customFormat="1" ht="31.5" customHeight="1">
      <c r="F226" s="448"/>
      <c r="G226" s="448"/>
      <c r="H226" s="448"/>
      <c r="I226" s="448"/>
      <c r="N226" s="798"/>
      <c r="O226" s="798"/>
      <c r="P226" s="798"/>
      <c r="Q226" s="798"/>
      <c r="T226" s="407" t="s">
        <v>5</v>
      </c>
      <c r="U226" s="221" t="s">
        <v>36</v>
      </c>
      <c r="V226" s="408">
        <v>0</v>
      </c>
      <c r="W226" s="408">
        <f>V226*K253</f>
        <v>0</v>
      </c>
      <c r="X226" s="408">
        <v>0</v>
      </c>
      <c r="Y226" s="408">
        <f>X226*K253</f>
        <v>0</v>
      </c>
      <c r="Z226" s="408">
        <v>0</v>
      </c>
      <c r="AA226" s="409">
        <f>Z226*K253</f>
        <v>0</v>
      </c>
      <c r="AR226" s="448" t="s">
        <v>128</v>
      </c>
      <c r="AT226" s="448" t="s">
        <v>126</v>
      </c>
      <c r="AU226" s="448" t="s">
        <v>76</v>
      </c>
      <c r="AY226" s="448" t="s">
        <v>125</v>
      </c>
      <c r="BE226" s="484">
        <f>IF(U226="základní",N253,0)</f>
        <v>0</v>
      </c>
      <c r="BF226" s="484">
        <f>IF(U226="snížená",N253,0)</f>
        <v>0</v>
      </c>
      <c r="BG226" s="484">
        <f>IF(U226="zákl. přenesená",N253,0)</f>
        <v>0</v>
      </c>
      <c r="BH226" s="484">
        <f>IF(U226="sníž. přenesená",N253,0)</f>
        <v>0</v>
      </c>
      <c r="BI226" s="484">
        <f>IF(U226="nulová",N253,0)</f>
        <v>0</v>
      </c>
      <c r="BJ226" s="448" t="s">
        <v>80</v>
      </c>
      <c r="BK226" s="484">
        <f>ROUND(L253*K253,2)</f>
        <v>0</v>
      </c>
      <c r="BL226" s="448" t="s">
        <v>128</v>
      </c>
      <c r="BM226" s="448" t="s">
        <v>147</v>
      </c>
    </row>
    <row r="227" spans="6:47" s="162" customFormat="1" ht="42" customHeight="1">
      <c r="F227" s="448"/>
      <c r="G227" s="448"/>
      <c r="H227" s="448"/>
      <c r="I227" s="448"/>
      <c r="N227" s="798"/>
      <c r="O227" s="798"/>
      <c r="P227" s="798"/>
      <c r="Q227" s="798"/>
      <c r="T227" s="506"/>
      <c r="U227" s="58"/>
      <c r="V227" s="58"/>
      <c r="W227" s="58"/>
      <c r="X227" s="58"/>
      <c r="Y227" s="58"/>
      <c r="Z227" s="58"/>
      <c r="AA227" s="507"/>
      <c r="AT227" s="448" t="s">
        <v>182</v>
      </c>
      <c r="AU227" s="448" t="s">
        <v>76</v>
      </c>
    </row>
    <row r="228" spans="6:65" s="162" customFormat="1" ht="31.5" customHeight="1">
      <c r="F228" s="448"/>
      <c r="G228" s="448"/>
      <c r="H228" s="448"/>
      <c r="I228" s="448"/>
      <c r="N228" s="798"/>
      <c r="O228" s="798"/>
      <c r="P228" s="798"/>
      <c r="Q228" s="798"/>
      <c r="T228" s="407" t="s">
        <v>5</v>
      </c>
      <c r="U228" s="221" t="s">
        <v>36</v>
      </c>
      <c r="V228" s="408">
        <v>0</v>
      </c>
      <c r="W228" s="408">
        <f>V228*K255</f>
        <v>0</v>
      </c>
      <c r="X228" s="408">
        <v>0</v>
      </c>
      <c r="Y228" s="408">
        <f>X228*K255</f>
        <v>0</v>
      </c>
      <c r="Z228" s="408">
        <v>0</v>
      </c>
      <c r="AA228" s="409">
        <f>Z228*K255</f>
        <v>0</v>
      </c>
      <c r="AR228" s="448" t="s">
        <v>128</v>
      </c>
      <c r="AT228" s="448" t="s">
        <v>126</v>
      </c>
      <c r="AU228" s="448" t="s">
        <v>76</v>
      </c>
      <c r="AY228" s="448" t="s">
        <v>125</v>
      </c>
      <c r="BE228" s="484">
        <f>IF(U228="základní",N255,0)</f>
        <v>0</v>
      </c>
      <c r="BF228" s="484">
        <f>IF(U228="snížená",N255,0)</f>
        <v>0</v>
      </c>
      <c r="BG228" s="484">
        <f>IF(U228="zákl. přenesená",N255,0)</f>
        <v>0</v>
      </c>
      <c r="BH228" s="484">
        <f>IF(U228="sníž. přenesená",N255,0)</f>
        <v>0</v>
      </c>
      <c r="BI228" s="484">
        <f>IF(U228="nulová",N255,0)</f>
        <v>0</v>
      </c>
      <c r="BJ228" s="448" t="s">
        <v>80</v>
      </c>
      <c r="BK228" s="484">
        <f>ROUND(L255*K255,2)</f>
        <v>0</v>
      </c>
      <c r="BL228" s="448" t="s">
        <v>128</v>
      </c>
      <c r="BM228" s="448" t="s">
        <v>148</v>
      </c>
    </row>
    <row r="229" spans="6:47" s="162" customFormat="1" ht="33" customHeight="1">
      <c r="F229" s="448"/>
      <c r="G229" s="448"/>
      <c r="H229" s="448"/>
      <c r="I229" s="448"/>
      <c r="N229" s="798"/>
      <c r="O229" s="798"/>
      <c r="P229" s="798"/>
      <c r="Q229" s="798"/>
      <c r="T229" s="506"/>
      <c r="U229" s="58"/>
      <c r="V229" s="58"/>
      <c r="W229" s="58"/>
      <c r="X229" s="58"/>
      <c r="Y229" s="58"/>
      <c r="Z229" s="58"/>
      <c r="AA229" s="507"/>
      <c r="AT229" s="448" t="s">
        <v>182</v>
      </c>
      <c r="AU229" s="448" t="s">
        <v>76</v>
      </c>
    </row>
    <row r="230" spans="6:65" s="162" customFormat="1" ht="31.5" customHeight="1">
      <c r="F230" s="448"/>
      <c r="G230" s="448"/>
      <c r="H230" s="448"/>
      <c r="I230" s="448"/>
      <c r="N230" s="798"/>
      <c r="O230" s="798"/>
      <c r="P230" s="798"/>
      <c r="Q230" s="798"/>
      <c r="T230" s="407" t="s">
        <v>5</v>
      </c>
      <c r="U230" s="221" t="s">
        <v>36</v>
      </c>
      <c r="V230" s="408">
        <v>0</v>
      </c>
      <c r="W230" s="408">
        <f>V230*K257</f>
        <v>0</v>
      </c>
      <c r="X230" s="408">
        <v>0</v>
      </c>
      <c r="Y230" s="408">
        <f>X230*K257</f>
        <v>0</v>
      </c>
      <c r="Z230" s="408">
        <v>0</v>
      </c>
      <c r="AA230" s="409">
        <f>Z230*K257</f>
        <v>0</v>
      </c>
      <c r="AR230" s="448" t="s">
        <v>128</v>
      </c>
      <c r="AT230" s="448" t="s">
        <v>126</v>
      </c>
      <c r="AU230" s="448" t="s">
        <v>76</v>
      </c>
      <c r="AY230" s="448" t="s">
        <v>125</v>
      </c>
      <c r="BE230" s="484">
        <f>IF(U230="základní",N257,0)</f>
        <v>0</v>
      </c>
      <c r="BF230" s="484">
        <f>IF(U230="snížená",N257,0)</f>
        <v>0</v>
      </c>
      <c r="BG230" s="484">
        <f>IF(U230="zákl. přenesená",N257,0)</f>
        <v>0</v>
      </c>
      <c r="BH230" s="484">
        <f>IF(U230="sníž. přenesená",N257,0)</f>
        <v>0</v>
      </c>
      <c r="BI230" s="484">
        <f>IF(U230="nulová",N257,0)</f>
        <v>0</v>
      </c>
      <c r="BJ230" s="448" t="s">
        <v>80</v>
      </c>
      <c r="BK230" s="484">
        <f>ROUND(L257*K257,2)</f>
        <v>0</v>
      </c>
      <c r="BL230" s="448" t="s">
        <v>128</v>
      </c>
      <c r="BM230" s="448" t="s">
        <v>149</v>
      </c>
    </row>
    <row r="231" spans="6:47" s="162" customFormat="1" ht="30" customHeight="1">
      <c r="F231" s="448"/>
      <c r="G231" s="448"/>
      <c r="H231" s="448"/>
      <c r="I231" s="448"/>
      <c r="N231" s="798"/>
      <c r="O231" s="798"/>
      <c r="P231" s="798"/>
      <c r="Q231" s="798"/>
      <c r="T231" s="506"/>
      <c r="U231" s="58"/>
      <c r="V231" s="58"/>
      <c r="W231" s="58"/>
      <c r="X231" s="58"/>
      <c r="Y231" s="58"/>
      <c r="Z231" s="58"/>
      <c r="AA231" s="507"/>
      <c r="AT231" s="448" t="s">
        <v>182</v>
      </c>
      <c r="AU231" s="448" t="s">
        <v>76</v>
      </c>
    </row>
    <row r="232" spans="6:65" s="162" customFormat="1" ht="31.5" customHeight="1">
      <c r="F232" s="448"/>
      <c r="G232" s="448"/>
      <c r="H232" s="448"/>
      <c r="I232" s="448"/>
      <c r="N232" s="798"/>
      <c r="O232" s="798"/>
      <c r="P232" s="798"/>
      <c r="Q232" s="798"/>
      <c r="T232" s="407" t="s">
        <v>5</v>
      </c>
      <c r="U232" s="221" t="s">
        <v>36</v>
      </c>
      <c r="V232" s="408">
        <v>0</v>
      </c>
      <c r="W232" s="408">
        <f>V232*K259</f>
        <v>0</v>
      </c>
      <c r="X232" s="408">
        <v>0</v>
      </c>
      <c r="Y232" s="408">
        <f>X232*K259</f>
        <v>0</v>
      </c>
      <c r="Z232" s="408">
        <v>0</v>
      </c>
      <c r="AA232" s="409">
        <f>Z232*K259</f>
        <v>0</v>
      </c>
      <c r="AR232" s="448" t="s">
        <v>128</v>
      </c>
      <c r="AT232" s="448" t="s">
        <v>126</v>
      </c>
      <c r="AU232" s="448" t="s">
        <v>76</v>
      </c>
      <c r="AY232" s="448" t="s">
        <v>125</v>
      </c>
      <c r="BE232" s="484">
        <f>IF(U232="základní",N259,0)</f>
        <v>0</v>
      </c>
      <c r="BF232" s="484">
        <f>IF(U232="snížená",N259,0)</f>
        <v>0</v>
      </c>
      <c r="BG232" s="484">
        <f>IF(U232="zákl. přenesená",N259,0)</f>
        <v>0</v>
      </c>
      <c r="BH232" s="484">
        <f>IF(U232="sníž. přenesená",N259,0)</f>
        <v>0</v>
      </c>
      <c r="BI232" s="484">
        <f>IF(U232="nulová",N259,0)</f>
        <v>0</v>
      </c>
      <c r="BJ232" s="448" t="s">
        <v>80</v>
      </c>
      <c r="BK232" s="484">
        <f>ROUND(L259*K259,2)</f>
        <v>0</v>
      </c>
      <c r="BL232" s="448" t="s">
        <v>128</v>
      </c>
      <c r="BM232" s="448" t="s">
        <v>150</v>
      </c>
    </row>
    <row r="233" spans="6:47" s="162" customFormat="1" ht="25.5" customHeight="1">
      <c r="F233" s="448"/>
      <c r="G233" s="448"/>
      <c r="H233" s="448"/>
      <c r="I233" s="448"/>
      <c r="N233" s="798"/>
      <c r="O233" s="798"/>
      <c r="P233" s="798"/>
      <c r="Q233" s="798"/>
      <c r="T233" s="506"/>
      <c r="U233" s="58"/>
      <c r="V233" s="58"/>
      <c r="W233" s="58"/>
      <c r="X233" s="58"/>
      <c r="Y233" s="58"/>
      <c r="Z233" s="58"/>
      <c r="AA233" s="507"/>
      <c r="AT233" s="448" t="s">
        <v>182</v>
      </c>
      <c r="AU233" s="448" t="s">
        <v>76</v>
      </c>
    </row>
    <row r="234" spans="6:65" s="162" customFormat="1" ht="26.25" customHeight="1">
      <c r="F234" s="448"/>
      <c r="G234" s="448"/>
      <c r="H234" s="448"/>
      <c r="I234" s="448"/>
      <c r="N234" s="798"/>
      <c r="O234" s="798"/>
      <c r="P234" s="798"/>
      <c r="Q234" s="798"/>
      <c r="T234" s="407" t="s">
        <v>5</v>
      </c>
      <c r="U234" s="221" t="s">
        <v>36</v>
      </c>
      <c r="V234" s="408">
        <v>0</v>
      </c>
      <c r="W234" s="408">
        <f>V234*K261</f>
        <v>0</v>
      </c>
      <c r="X234" s="408">
        <v>0</v>
      </c>
      <c r="Y234" s="408">
        <f>X234*K261</f>
        <v>0</v>
      </c>
      <c r="Z234" s="408">
        <v>0</v>
      </c>
      <c r="AA234" s="409">
        <f>Z234*K261</f>
        <v>0</v>
      </c>
      <c r="AR234" s="448" t="s">
        <v>128</v>
      </c>
      <c r="AT234" s="448" t="s">
        <v>126</v>
      </c>
      <c r="AU234" s="448" t="s">
        <v>76</v>
      </c>
      <c r="AY234" s="448" t="s">
        <v>125</v>
      </c>
      <c r="BE234" s="484">
        <f>IF(U234="základní",N261,0)</f>
        <v>0</v>
      </c>
      <c r="BF234" s="484">
        <f>IF(U234="snížená",N261,0)</f>
        <v>0</v>
      </c>
      <c r="BG234" s="484">
        <f>IF(U234="zákl. přenesená",N261,0)</f>
        <v>0</v>
      </c>
      <c r="BH234" s="484">
        <f>IF(U234="sníž. přenesená",N261,0)</f>
        <v>0</v>
      </c>
      <c r="BI234" s="484">
        <f>IF(U234="nulová",N261,0)</f>
        <v>0</v>
      </c>
      <c r="BJ234" s="448" t="s">
        <v>80</v>
      </c>
      <c r="BK234" s="484">
        <f>ROUND(L261*K261,2)</f>
        <v>0</v>
      </c>
      <c r="BL234" s="448" t="s">
        <v>128</v>
      </c>
      <c r="BM234" s="448" t="s">
        <v>151</v>
      </c>
    </row>
    <row r="235" spans="6:47" s="162" customFormat="1" ht="24" customHeight="1">
      <c r="F235" s="448"/>
      <c r="G235" s="448"/>
      <c r="H235" s="448"/>
      <c r="I235" s="448"/>
      <c r="N235" s="798"/>
      <c r="O235" s="798"/>
      <c r="P235" s="798"/>
      <c r="Q235" s="798"/>
      <c r="T235" s="506"/>
      <c r="U235" s="58"/>
      <c r="V235" s="58"/>
      <c r="W235" s="58"/>
      <c r="X235" s="58"/>
      <c r="Y235" s="58"/>
      <c r="Z235" s="58"/>
      <c r="AA235" s="507"/>
      <c r="AT235" s="448" t="s">
        <v>182</v>
      </c>
      <c r="AU235" s="448" t="s">
        <v>76</v>
      </c>
    </row>
    <row r="236" spans="6:65" s="162" customFormat="1" ht="23.25" customHeight="1">
      <c r="F236" s="448"/>
      <c r="G236" s="448"/>
      <c r="H236" s="448"/>
      <c r="I236" s="448"/>
      <c r="N236" s="798"/>
      <c r="O236" s="798"/>
      <c r="P236" s="798"/>
      <c r="Q236" s="798"/>
      <c r="T236" s="407" t="s">
        <v>5</v>
      </c>
      <c r="U236" s="221" t="s">
        <v>36</v>
      </c>
      <c r="V236" s="408">
        <v>0</v>
      </c>
      <c r="W236" s="408">
        <f>V236*K264</f>
        <v>0</v>
      </c>
      <c r="X236" s="408">
        <v>0</v>
      </c>
      <c r="Y236" s="408">
        <f>X236*K264</f>
        <v>0</v>
      </c>
      <c r="Z236" s="408">
        <v>0</v>
      </c>
      <c r="AA236" s="409">
        <f>Z236*K264</f>
        <v>0</v>
      </c>
      <c r="AR236" s="448" t="s">
        <v>128</v>
      </c>
      <c r="AT236" s="448" t="s">
        <v>126</v>
      </c>
      <c r="AU236" s="448" t="s">
        <v>76</v>
      </c>
      <c r="AY236" s="448" t="s">
        <v>125</v>
      </c>
      <c r="BE236" s="484">
        <f>IF(U236="základní",N264,0)</f>
        <v>0</v>
      </c>
      <c r="BF236" s="484">
        <f>IF(U236="snížená",N264,0)</f>
        <v>0</v>
      </c>
      <c r="BG236" s="484">
        <f>IF(U236="zákl. přenesená",N264,0)</f>
        <v>0</v>
      </c>
      <c r="BH236" s="484">
        <f>IF(U236="sníž. přenesená",N264,0)</f>
        <v>0</v>
      </c>
      <c r="BI236" s="484">
        <f>IF(U236="nulová",N264,0)</f>
        <v>0</v>
      </c>
      <c r="BJ236" s="448" t="s">
        <v>80</v>
      </c>
      <c r="BK236" s="484">
        <f>ROUND(L264*K264,2)</f>
        <v>0</v>
      </c>
      <c r="BL236" s="448" t="s">
        <v>128</v>
      </c>
      <c r="BM236" s="448" t="s">
        <v>152</v>
      </c>
    </row>
    <row r="237" spans="14:47" s="162" customFormat="1" ht="42" customHeight="1">
      <c r="N237" s="798"/>
      <c r="O237" s="798"/>
      <c r="P237" s="798"/>
      <c r="Q237" s="798"/>
      <c r="T237" s="506"/>
      <c r="U237" s="58"/>
      <c r="V237" s="58"/>
      <c r="W237" s="58"/>
      <c r="X237" s="58"/>
      <c r="Y237" s="58"/>
      <c r="Z237" s="58"/>
      <c r="AA237" s="507"/>
      <c r="AT237" s="448" t="s">
        <v>182</v>
      </c>
      <c r="AU237" s="448" t="s">
        <v>76</v>
      </c>
    </row>
    <row r="238" spans="1:65" s="162" customFormat="1" ht="31.5" customHeight="1">
      <c r="A238" s="58"/>
      <c r="B238" s="58"/>
      <c r="C238" s="181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124"/>
      <c r="O238" s="1125"/>
      <c r="P238" s="1125"/>
      <c r="Q238" s="1125"/>
      <c r="R238" s="58"/>
      <c r="S238" s="58"/>
      <c r="T238" s="483" t="s">
        <v>5</v>
      </c>
      <c r="U238" s="221" t="s">
        <v>36</v>
      </c>
      <c r="V238" s="408">
        <v>0</v>
      </c>
      <c r="W238" s="408">
        <f>V238*K269</f>
        <v>0</v>
      </c>
      <c r="X238" s="408">
        <v>0</v>
      </c>
      <c r="Y238" s="408">
        <f>X238*K269</f>
        <v>0</v>
      </c>
      <c r="Z238" s="408">
        <v>0</v>
      </c>
      <c r="AA238" s="409">
        <f>Z238*K269</f>
        <v>0</v>
      </c>
      <c r="AR238" s="448" t="s">
        <v>128</v>
      </c>
      <c r="AT238" s="448" t="s">
        <v>126</v>
      </c>
      <c r="AU238" s="448" t="s">
        <v>76</v>
      </c>
      <c r="AY238" s="448" t="s">
        <v>125</v>
      </c>
      <c r="BE238" s="484">
        <f>IF(U238="základní",N269,0)</f>
        <v>0</v>
      </c>
      <c r="BF238" s="484">
        <f>IF(U238="snížená",N269,0)</f>
        <v>0</v>
      </c>
      <c r="BG238" s="484">
        <f>IF(U238="zákl. přenesená",N269,0)</f>
        <v>0</v>
      </c>
      <c r="BH238" s="484">
        <f>IF(U238="sníž. přenesená",N269,0)</f>
        <v>0</v>
      </c>
      <c r="BI238" s="484">
        <f>IF(U238="nulová",N269,0)</f>
        <v>0</v>
      </c>
      <c r="BJ238" s="448" t="s">
        <v>80</v>
      </c>
      <c r="BK238" s="484">
        <f>ROUND(L269*K269,2)</f>
        <v>0</v>
      </c>
      <c r="BL238" s="448" t="s">
        <v>128</v>
      </c>
      <c r="BM238" s="448" t="s">
        <v>153</v>
      </c>
    </row>
    <row r="239" spans="1:47" s="162" customFormat="1" ht="30" customHeight="1">
      <c r="A239" s="58"/>
      <c r="B239" s="58"/>
      <c r="C239" s="522"/>
      <c r="D239" s="522"/>
      <c r="E239" s="524"/>
      <c r="F239" s="991"/>
      <c r="G239" s="991"/>
      <c r="H239" s="991"/>
      <c r="I239" s="991"/>
      <c r="J239" s="525"/>
      <c r="K239" s="531"/>
      <c r="L239" s="989"/>
      <c r="M239" s="989"/>
      <c r="N239" s="1123"/>
      <c r="O239" s="1123"/>
      <c r="P239" s="1123"/>
      <c r="Q239" s="1123"/>
      <c r="R239" s="58"/>
      <c r="S239" s="58"/>
      <c r="T239" s="58"/>
      <c r="U239" s="58"/>
      <c r="V239" s="58"/>
      <c r="W239" s="58"/>
      <c r="X239" s="58"/>
      <c r="Y239" s="58"/>
      <c r="Z239" s="58"/>
      <c r="AA239" s="507"/>
      <c r="AT239" s="448" t="s">
        <v>182</v>
      </c>
      <c r="AU239" s="448" t="s">
        <v>76</v>
      </c>
    </row>
    <row r="240" spans="1:65" s="162" customFormat="1" ht="31.5" customHeight="1">
      <c r="A240" s="58"/>
      <c r="B240" s="58"/>
      <c r="C240" s="58"/>
      <c r="D240" s="58"/>
      <c r="E240" s="58"/>
      <c r="F240" s="986"/>
      <c r="G240" s="973"/>
      <c r="H240" s="973"/>
      <c r="I240" s="973"/>
      <c r="J240" s="58"/>
      <c r="K240" s="58"/>
      <c r="L240" s="58"/>
      <c r="M240" s="58"/>
      <c r="N240" s="799"/>
      <c r="O240" s="799"/>
      <c r="P240" s="799"/>
      <c r="Q240" s="799"/>
      <c r="R240" s="58"/>
      <c r="S240" s="58"/>
      <c r="T240" s="483" t="s">
        <v>5</v>
      </c>
      <c r="U240" s="221" t="s">
        <v>36</v>
      </c>
      <c r="V240" s="408">
        <v>0</v>
      </c>
      <c r="W240" s="408">
        <f>V240*K270</f>
        <v>0</v>
      </c>
      <c r="X240" s="408">
        <v>0</v>
      </c>
      <c r="Y240" s="408">
        <f>X240*K270</f>
        <v>0</v>
      </c>
      <c r="Z240" s="408">
        <v>0</v>
      </c>
      <c r="AA240" s="409">
        <f>Z240*K270</f>
        <v>0</v>
      </c>
      <c r="AR240" s="448" t="s">
        <v>128</v>
      </c>
      <c r="AT240" s="448" t="s">
        <v>126</v>
      </c>
      <c r="AU240" s="448" t="s">
        <v>76</v>
      </c>
      <c r="AY240" s="448" t="s">
        <v>125</v>
      </c>
      <c r="BE240" s="484">
        <f>IF(U240="základní",N270,0)</f>
        <v>0</v>
      </c>
      <c r="BF240" s="484">
        <f>IF(U240="snížená",N270,0)</f>
        <v>0</v>
      </c>
      <c r="BG240" s="484">
        <f>IF(U240="zákl. přenesená",N270,0)</f>
        <v>0</v>
      </c>
      <c r="BH240" s="484">
        <f>IF(U240="sníž. přenesená",N270,0)</f>
        <v>0</v>
      </c>
      <c r="BI240" s="484">
        <f>IF(U240="nulová",N270,0)</f>
        <v>0</v>
      </c>
      <c r="BJ240" s="448" t="s">
        <v>80</v>
      </c>
      <c r="BK240" s="484">
        <f>ROUND(L270*K270,2)</f>
        <v>0</v>
      </c>
      <c r="BL240" s="448" t="s">
        <v>128</v>
      </c>
      <c r="BM240" s="448" t="s">
        <v>154</v>
      </c>
    </row>
    <row r="241" spans="1:47" s="162" customFormat="1" ht="30" customHeight="1">
      <c r="A241" s="58"/>
      <c r="B241" s="58"/>
      <c r="C241" s="522"/>
      <c r="D241" s="522"/>
      <c r="E241" s="524"/>
      <c r="F241" s="1101"/>
      <c r="G241" s="991"/>
      <c r="H241" s="991"/>
      <c r="I241" s="991"/>
      <c r="J241" s="525"/>
      <c r="K241" s="531"/>
      <c r="L241" s="989"/>
      <c r="M241" s="989"/>
      <c r="N241" s="1123"/>
      <c r="O241" s="1123"/>
      <c r="P241" s="1123"/>
      <c r="Q241" s="1123"/>
      <c r="R241" s="58"/>
      <c r="S241" s="58"/>
      <c r="T241" s="58"/>
      <c r="U241" s="58"/>
      <c r="V241" s="58"/>
      <c r="W241" s="58"/>
      <c r="X241" s="58"/>
      <c r="Y241" s="58"/>
      <c r="Z241" s="58"/>
      <c r="AA241" s="507"/>
      <c r="AT241" s="448" t="s">
        <v>182</v>
      </c>
      <c r="AU241" s="448" t="s">
        <v>76</v>
      </c>
    </row>
    <row r="242" spans="1:65" s="162" customFormat="1" ht="31.5" customHeight="1">
      <c r="A242" s="58"/>
      <c r="B242" s="58"/>
      <c r="C242" s="522"/>
      <c r="D242" s="522"/>
      <c r="E242" s="524"/>
      <c r="F242" s="1101"/>
      <c r="G242" s="991"/>
      <c r="H242" s="991"/>
      <c r="I242" s="991"/>
      <c r="J242" s="525"/>
      <c r="K242" s="531"/>
      <c r="L242" s="989"/>
      <c r="M242" s="989"/>
      <c r="N242" s="1123"/>
      <c r="O242" s="1123"/>
      <c r="P242" s="1123"/>
      <c r="Q242" s="1123"/>
      <c r="R242" s="58"/>
      <c r="S242" s="58"/>
      <c r="T242" s="483" t="s">
        <v>5</v>
      </c>
      <c r="U242" s="221" t="s">
        <v>36</v>
      </c>
      <c r="V242" s="408">
        <v>0</v>
      </c>
      <c r="W242" s="408">
        <f>V242*K272</f>
        <v>0</v>
      </c>
      <c r="X242" s="408">
        <v>0</v>
      </c>
      <c r="Y242" s="408">
        <f>X242*K272</f>
        <v>0</v>
      </c>
      <c r="Z242" s="408">
        <v>0</v>
      </c>
      <c r="AA242" s="409">
        <f>Z242*K272</f>
        <v>0</v>
      </c>
      <c r="AR242" s="448" t="s">
        <v>128</v>
      </c>
      <c r="AT242" s="448" t="s">
        <v>126</v>
      </c>
      <c r="AU242" s="448" t="s">
        <v>76</v>
      </c>
      <c r="AY242" s="448" t="s">
        <v>125</v>
      </c>
      <c r="BE242" s="484">
        <f>IF(U242="základní",N272,0)</f>
        <v>0</v>
      </c>
      <c r="BF242" s="484">
        <f>IF(U242="snížená",N272,0)</f>
        <v>0</v>
      </c>
      <c r="BG242" s="484">
        <f>IF(U242="zákl. přenesená",N272,0)</f>
        <v>0</v>
      </c>
      <c r="BH242" s="484">
        <f>IF(U242="sníž. přenesená",N272,0)</f>
        <v>0</v>
      </c>
      <c r="BI242" s="484">
        <f>IF(U242="nulová",N272,0)</f>
        <v>0</v>
      </c>
      <c r="BJ242" s="448" t="s">
        <v>80</v>
      </c>
      <c r="BK242" s="484">
        <f>ROUND(L272*K272,2)</f>
        <v>0</v>
      </c>
      <c r="BL242" s="448" t="s">
        <v>128</v>
      </c>
      <c r="BM242" s="448" t="s">
        <v>155</v>
      </c>
    </row>
    <row r="243" spans="1:47" s="162" customFormat="1" ht="27" customHeight="1">
      <c r="A243" s="58"/>
      <c r="B243" s="58"/>
      <c r="C243" s="522"/>
      <c r="D243" s="522"/>
      <c r="E243" s="524"/>
      <c r="F243" s="1101"/>
      <c r="G243" s="991"/>
      <c r="H243" s="991"/>
      <c r="I243" s="991"/>
      <c r="J243" s="525"/>
      <c r="K243" s="531"/>
      <c r="L243" s="989"/>
      <c r="M243" s="989"/>
      <c r="N243" s="1123"/>
      <c r="O243" s="1123"/>
      <c r="P243" s="1123"/>
      <c r="Q243" s="1123"/>
      <c r="R243" s="58"/>
      <c r="S243" s="58"/>
      <c r="T243" s="58"/>
      <c r="U243" s="58"/>
      <c r="V243" s="58"/>
      <c r="W243" s="58"/>
      <c r="X243" s="58"/>
      <c r="Y243" s="58"/>
      <c r="Z243" s="58"/>
      <c r="AA243" s="507"/>
      <c r="AT243" s="448" t="s">
        <v>182</v>
      </c>
      <c r="AU243" s="448" t="s">
        <v>76</v>
      </c>
    </row>
    <row r="244" spans="1:65" s="162" customFormat="1" ht="31.5" customHeight="1">
      <c r="A244" s="58"/>
      <c r="B244" s="58"/>
      <c r="C244" s="522"/>
      <c r="D244" s="522"/>
      <c r="E244" s="524"/>
      <c r="F244" s="1101"/>
      <c r="G244" s="991"/>
      <c r="H244" s="991"/>
      <c r="I244" s="991"/>
      <c r="J244" s="525"/>
      <c r="K244" s="531"/>
      <c r="L244" s="989"/>
      <c r="M244" s="989"/>
      <c r="N244" s="1123"/>
      <c r="O244" s="1123"/>
      <c r="P244" s="1123"/>
      <c r="Q244" s="1123"/>
      <c r="R244" s="58"/>
      <c r="S244" s="58"/>
      <c r="T244" s="483" t="s">
        <v>5</v>
      </c>
      <c r="U244" s="221" t="s">
        <v>36</v>
      </c>
      <c r="V244" s="408">
        <v>0</v>
      </c>
      <c r="W244" s="408">
        <f>V244*K274</f>
        <v>0</v>
      </c>
      <c r="X244" s="408">
        <v>0</v>
      </c>
      <c r="Y244" s="408">
        <f>X244*K274</f>
        <v>0</v>
      </c>
      <c r="Z244" s="408">
        <v>0</v>
      </c>
      <c r="AA244" s="409">
        <f>Z244*K274</f>
        <v>0</v>
      </c>
      <c r="AR244" s="448" t="s">
        <v>128</v>
      </c>
      <c r="AT244" s="448" t="s">
        <v>126</v>
      </c>
      <c r="AU244" s="448" t="s">
        <v>76</v>
      </c>
      <c r="AY244" s="448" t="s">
        <v>125</v>
      </c>
      <c r="BE244" s="484">
        <f>IF(U244="základní",N274,0)</f>
        <v>0</v>
      </c>
      <c r="BF244" s="484">
        <f>IF(U244="snížená",N274,0)</f>
        <v>0</v>
      </c>
      <c r="BG244" s="484">
        <f>IF(U244="zákl. přenesená",N274,0)</f>
        <v>0</v>
      </c>
      <c r="BH244" s="484">
        <f>IF(U244="sníž. přenesená",N274,0)</f>
        <v>0</v>
      </c>
      <c r="BI244" s="484">
        <f>IF(U244="nulová",N274,0)</f>
        <v>0</v>
      </c>
      <c r="BJ244" s="448" t="s">
        <v>80</v>
      </c>
      <c r="BK244" s="484">
        <f>ROUND(L274*K274,2)</f>
        <v>0</v>
      </c>
      <c r="BL244" s="448" t="s">
        <v>128</v>
      </c>
      <c r="BM244" s="448" t="s">
        <v>156</v>
      </c>
    </row>
    <row r="245" spans="1:47" s="162" customFormat="1" ht="30" customHeight="1">
      <c r="A245" s="58"/>
      <c r="B245" s="58"/>
      <c r="C245" s="522"/>
      <c r="D245" s="522"/>
      <c r="E245" s="524"/>
      <c r="F245" s="1101"/>
      <c r="G245" s="991"/>
      <c r="H245" s="991"/>
      <c r="I245" s="991"/>
      <c r="J245" s="525"/>
      <c r="K245" s="531"/>
      <c r="L245" s="989"/>
      <c r="M245" s="989"/>
      <c r="N245" s="1123"/>
      <c r="O245" s="1123"/>
      <c r="P245" s="1123"/>
      <c r="Q245" s="1123"/>
      <c r="R245" s="58"/>
      <c r="S245" s="58"/>
      <c r="T245" s="58"/>
      <c r="U245" s="58"/>
      <c r="V245" s="58"/>
      <c r="W245" s="58"/>
      <c r="X245" s="58"/>
      <c r="Y245" s="58"/>
      <c r="Z245" s="58"/>
      <c r="AA245" s="507"/>
      <c r="AT245" s="448" t="s">
        <v>182</v>
      </c>
      <c r="AU245" s="448" t="s">
        <v>76</v>
      </c>
    </row>
    <row r="246" spans="1:65" s="162" customFormat="1" ht="40.5" customHeight="1">
      <c r="A246" s="58"/>
      <c r="B246" s="58"/>
      <c r="C246" s="522"/>
      <c r="D246" s="522"/>
      <c r="E246" s="524"/>
      <c r="F246" s="1101"/>
      <c r="G246" s="991"/>
      <c r="H246" s="991"/>
      <c r="I246" s="991"/>
      <c r="J246" s="525"/>
      <c r="K246" s="531"/>
      <c r="L246" s="989"/>
      <c r="M246" s="989"/>
      <c r="N246" s="1123"/>
      <c r="O246" s="1123"/>
      <c r="P246" s="1123"/>
      <c r="Q246" s="1123"/>
      <c r="R246" s="58"/>
      <c r="S246" s="58"/>
      <c r="T246" s="483" t="s">
        <v>5</v>
      </c>
      <c r="U246" s="221" t="s">
        <v>36</v>
      </c>
      <c r="V246" s="408">
        <v>0</v>
      </c>
      <c r="W246" s="408">
        <f>V246*K276</f>
        <v>0</v>
      </c>
      <c r="X246" s="408">
        <v>0</v>
      </c>
      <c r="Y246" s="408">
        <f>X246*K276</f>
        <v>0</v>
      </c>
      <c r="Z246" s="408">
        <v>0</v>
      </c>
      <c r="AA246" s="409">
        <f>Z246*K276</f>
        <v>0</v>
      </c>
      <c r="AR246" s="448" t="s">
        <v>128</v>
      </c>
      <c r="AT246" s="448" t="s">
        <v>126</v>
      </c>
      <c r="AU246" s="448" t="s">
        <v>76</v>
      </c>
      <c r="AY246" s="448" t="s">
        <v>125</v>
      </c>
      <c r="BE246" s="484">
        <f>IF(U246="základní",N276,0)</f>
        <v>0</v>
      </c>
      <c r="BF246" s="484">
        <f>IF(U246="snížená",N276,0)</f>
        <v>0</v>
      </c>
      <c r="BG246" s="484">
        <f>IF(U246="zákl. přenesená",N276,0)</f>
        <v>0</v>
      </c>
      <c r="BH246" s="484">
        <f>IF(U246="sníž. přenesená",N276,0)</f>
        <v>0</v>
      </c>
      <c r="BI246" s="484">
        <f>IF(U246="nulová",N276,0)</f>
        <v>0</v>
      </c>
      <c r="BJ246" s="448" t="s">
        <v>80</v>
      </c>
      <c r="BK246" s="484">
        <f>ROUND(L276*K276,2)</f>
        <v>0</v>
      </c>
      <c r="BL246" s="448" t="s">
        <v>128</v>
      </c>
      <c r="BM246" s="448" t="s">
        <v>157</v>
      </c>
    </row>
    <row r="247" spans="1:47" s="162" customFormat="1" ht="42" customHeight="1">
      <c r="A247" s="58"/>
      <c r="B247" s="58"/>
      <c r="C247" s="522"/>
      <c r="D247" s="522"/>
      <c r="E247" s="524"/>
      <c r="F247" s="1101"/>
      <c r="G247" s="991"/>
      <c r="H247" s="991"/>
      <c r="I247" s="991"/>
      <c r="J247" s="525"/>
      <c r="K247" s="531"/>
      <c r="L247" s="989"/>
      <c r="M247" s="989"/>
      <c r="N247" s="1123"/>
      <c r="O247" s="1123"/>
      <c r="P247" s="1123"/>
      <c r="Q247" s="1123"/>
      <c r="R247" s="58"/>
      <c r="S247" s="58"/>
      <c r="T247" s="58"/>
      <c r="U247" s="58"/>
      <c r="V247" s="58"/>
      <c r="W247" s="58"/>
      <c r="X247" s="58"/>
      <c r="Y247" s="58"/>
      <c r="Z247" s="58"/>
      <c r="AA247" s="507"/>
      <c r="AT247" s="448" t="s">
        <v>182</v>
      </c>
      <c r="AU247" s="448" t="s">
        <v>76</v>
      </c>
    </row>
    <row r="248" spans="1:65" s="162" customFormat="1" ht="31.5" customHeight="1">
      <c r="A248" s="58"/>
      <c r="B248" s="58"/>
      <c r="C248" s="522"/>
      <c r="D248" s="522"/>
      <c r="E248" s="524"/>
      <c r="F248" s="1101"/>
      <c r="G248" s="991"/>
      <c r="H248" s="991"/>
      <c r="I248" s="991"/>
      <c r="J248" s="525"/>
      <c r="K248" s="531"/>
      <c r="L248" s="989"/>
      <c r="M248" s="989"/>
      <c r="N248" s="1123"/>
      <c r="O248" s="1123"/>
      <c r="P248" s="1123"/>
      <c r="Q248" s="1123"/>
      <c r="R248" s="58"/>
      <c r="S248" s="58"/>
      <c r="T248" s="483" t="s">
        <v>5</v>
      </c>
      <c r="U248" s="221" t="s">
        <v>36</v>
      </c>
      <c r="V248" s="408">
        <v>0</v>
      </c>
      <c r="W248" s="408">
        <f>V248*K278</f>
        <v>0</v>
      </c>
      <c r="X248" s="408">
        <v>0</v>
      </c>
      <c r="Y248" s="408">
        <f>X248*K278</f>
        <v>0</v>
      </c>
      <c r="Z248" s="408">
        <v>0</v>
      </c>
      <c r="AA248" s="409">
        <f>Z248*K278</f>
        <v>0</v>
      </c>
      <c r="AR248" s="448" t="s">
        <v>128</v>
      </c>
      <c r="AT248" s="448" t="s">
        <v>126</v>
      </c>
      <c r="AU248" s="448" t="s">
        <v>76</v>
      </c>
      <c r="AY248" s="448" t="s">
        <v>125</v>
      </c>
      <c r="BE248" s="484">
        <f>IF(U248="základní",N278,0)</f>
        <v>0</v>
      </c>
      <c r="BF248" s="484">
        <f>IF(U248="snížená",N278,0)</f>
        <v>0</v>
      </c>
      <c r="BG248" s="484">
        <f>IF(U248="zákl. přenesená",N278,0)</f>
        <v>0</v>
      </c>
      <c r="BH248" s="484">
        <f>IF(U248="sníž. přenesená",N278,0)</f>
        <v>0</v>
      </c>
      <c r="BI248" s="484">
        <f>IF(U248="nulová",N278,0)</f>
        <v>0</v>
      </c>
      <c r="BJ248" s="448" t="s">
        <v>80</v>
      </c>
      <c r="BK248" s="484">
        <f>ROUND(L278*K278,2)</f>
        <v>0</v>
      </c>
      <c r="BL248" s="448" t="s">
        <v>128</v>
      </c>
      <c r="BM248" s="448" t="s">
        <v>158</v>
      </c>
    </row>
    <row r="249" spans="1:47" s="162" customFormat="1" ht="30.75" customHeight="1">
      <c r="A249" s="58"/>
      <c r="B249" s="58"/>
      <c r="C249" s="522"/>
      <c r="D249" s="522"/>
      <c r="E249" s="524"/>
      <c r="F249" s="1101"/>
      <c r="G249" s="991"/>
      <c r="H249" s="991"/>
      <c r="I249" s="991"/>
      <c r="J249" s="525"/>
      <c r="K249" s="531"/>
      <c r="L249" s="989"/>
      <c r="M249" s="989"/>
      <c r="N249" s="1123"/>
      <c r="O249" s="1123"/>
      <c r="P249" s="1123"/>
      <c r="Q249" s="1123"/>
      <c r="R249" s="58"/>
      <c r="S249" s="58"/>
      <c r="T249" s="58"/>
      <c r="U249" s="58"/>
      <c r="V249" s="58"/>
      <c r="W249" s="58"/>
      <c r="X249" s="58"/>
      <c r="Y249" s="58"/>
      <c r="Z249" s="58"/>
      <c r="AA249" s="507"/>
      <c r="AT249" s="448" t="s">
        <v>182</v>
      </c>
      <c r="AU249" s="448" t="s">
        <v>76</v>
      </c>
    </row>
    <row r="250" spans="1:65" s="162" customFormat="1" ht="31.5" customHeight="1">
      <c r="A250" s="58"/>
      <c r="B250" s="58"/>
      <c r="C250" s="522"/>
      <c r="D250" s="522"/>
      <c r="E250" s="524"/>
      <c r="F250" s="1101"/>
      <c r="G250" s="991"/>
      <c r="H250" s="991"/>
      <c r="I250" s="991"/>
      <c r="J250" s="525"/>
      <c r="K250" s="531"/>
      <c r="L250" s="989"/>
      <c r="M250" s="989"/>
      <c r="N250" s="1123"/>
      <c r="O250" s="1123"/>
      <c r="P250" s="1123"/>
      <c r="Q250" s="1123"/>
      <c r="R250" s="58"/>
      <c r="S250" s="58"/>
      <c r="T250" s="483" t="s">
        <v>5</v>
      </c>
      <c r="U250" s="221" t="s">
        <v>36</v>
      </c>
      <c r="V250" s="408">
        <v>0</v>
      </c>
      <c r="W250" s="408">
        <f>V250*K280</f>
        <v>0</v>
      </c>
      <c r="X250" s="408">
        <v>0</v>
      </c>
      <c r="Y250" s="408">
        <f>X250*K280</f>
        <v>0</v>
      </c>
      <c r="Z250" s="408">
        <v>0</v>
      </c>
      <c r="AA250" s="409">
        <f>Z250*K280</f>
        <v>0</v>
      </c>
      <c r="AR250" s="448" t="s">
        <v>128</v>
      </c>
      <c r="AT250" s="448" t="s">
        <v>126</v>
      </c>
      <c r="AU250" s="448" t="s">
        <v>76</v>
      </c>
      <c r="AY250" s="448" t="s">
        <v>125</v>
      </c>
      <c r="BE250" s="484">
        <f>IF(U250="základní",N280,0)</f>
        <v>0</v>
      </c>
      <c r="BF250" s="484">
        <f>IF(U250="snížená",N280,0)</f>
        <v>0</v>
      </c>
      <c r="BG250" s="484">
        <f>IF(U250="zákl. přenesená",N280,0)</f>
        <v>0</v>
      </c>
      <c r="BH250" s="484">
        <f>IF(U250="sníž. přenesená",N280,0)</f>
        <v>0</v>
      </c>
      <c r="BI250" s="484">
        <f>IF(U250="nulová",N280,0)</f>
        <v>0</v>
      </c>
      <c r="BJ250" s="448" t="s">
        <v>80</v>
      </c>
      <c r="BK250" s="484">
        <f>ROUND(L280*K280,2)</f>
        <v>0</v>
      </c>
      <c r="BL250" s="448" t="s">
        <v>128</v>
      </c>
      <c r="BM250" s="448" t="s">
        <v>159</v>
      </c>
    </row>
    <row r="251" spans="1:47" s="162" customFormat="1" ht="30" customHeight="1">
      <c r="A251" s="58"/>
      <c r="B251" s="58"/>
      <c r="C251" s="522"/>
      <c r="D251" s="522"/>
      <c r="E251" s="524"/>
      <c r="F251" s="991"/>
      <c r="G251" s="991"/>
      <c r="H251" s="991"/>
      <c r="I251" s="991"/>
      <c r="J251" s="525"/>
      <c r="K251" s="531"/>
      <c r="L251" s="989"/>
      <c r="M251" s="989"/>
      <c r="N251" s="1123"/>
      <c r="O251" s="1123"/>
      <c r="P251" s="1123"/>
      <c r="Q251" s="1123"/>
      <c r="R251" s="58"/>
      <c r="S251" s="58"/>
      <c r="T251" s="58"/>
      <c r="U251" s="58"/>
      <c r="V251" s="58"/>
      <c r="W251" s="58"/>
      <c r="X251" s="58"/>
      <c r="Y251" s="58"/>
      <c r="Z251" s="58"/>
      <c r="AA251" s="507"/>
      <c r="AT251" s="448" t="s">
        <v>182</v>
      </c>
      <c r="AU251" s="448" t="s">
        <v>76</v>
      </c>
    </row>
    <row r="252" spans="1:63" s="398" customFormat="1" ht="37.35" customHeight="1">
      <c r="A252" s="181"/>
      <c r="B252" s="181"/>
      <c r="C252" s="58"/>
      <c r="D252" s="58"/>
      <c r="E252" s="58"/>
      <c r="F252" s="986"/>
      <c r="G252" s="973"/>
      <c r="H252" s="973"/>
      <c r="I252" s="973"/>
      <c r="J252" s="58"/>
      <c r="K252" s="58"/>
      <c r="L252" s="58"/>
      <c r="M252" s="58"/>
      <c r="N252" s="799"/>
      <c r="O252" s="799"/>
      <c r="P252" s="799"/>
      <c r="Q252" s="799"/>
      <c r="R252" s="181"/>
      <c r="S252" s="181"/>
      <c r="T252" s="181"/>
      <c r="U252" s="181"/>
      <c r="V252" s="181"/>
      <c r="W252" s="402">
        <f>SUM(W253:W260)</f>
        <v>0</v>
      </c>
      <c r="X252" s="181"/>
      <c r="Y252" s="402">
        <f>SUM(Y253:Y260)</f>
        <v>0</v>
      </c>
      <c r="Z252" s="181"/>
      <c r="AA252" s="403">
        <f>SUM(AA253:AA260)</f>
        <v>0</v>
      </c>
      <c r="AC252" s="162"/>
      <c r="AR252" s="404" t="s">
        <v>76</v>
      </c>
      <c r="AT252" s="405" t="s">
        <v>68</v>
      </c>
      <c r="AU252" s="405" t="s">
        <v>69</v>
      </c>
      <c r="AY252" s="404" t="s">
        <v>125</v>
      </c>
      <c r="BK252" s="406">
        <f>SUM(BK253:BK260)</f>
        <v>0</v>
      </c>
    </row>
    <row r="253" spans="1:65" s="162" customFormat="1" ht="31.5" customHeight="1">
      <c r="A253" s="58"/>
      <c r="B253" s="58"/>
      <c r="C253" s="522"/>
      <c r="D253" s="522"/>
      <c r="E253" s="524"/>
      <c r="F253" s="991"/>
      <c r="G253" s="991"/>
      <c r="H253" s="991"/>
      <c r="I253" s="991"/>
      <c r="J253" s="525"/>
      <c r="K253" s="531"/>
      <c r="L253" s="989"/>
      <c r="M253" s="989"/>
      <c r="N253" s="1123"/>
      <c r="O253" s="1123"/>
      <c r="P253" s="1123"/>
      <c r="Q253" s="1123"/>
      <c r="R253" s="58"/>
      <c r="S253" s="58"/>
      <c r="T253" s="483" t="s">
        <v>5</v>
      </c>
      <c r="U253" s="221" t="s">
        <v>36</v>
      </c>
      <c r="V253" s="408">
        <v>0</v>
      </c>
      <c r="W253" s="408">
        <f>V253*K283</f>
        <v>0</v>
      </c>
      <c r="X253" s="408">
        <v>0</v>
      </c>
      <c r="Y253" s="408">
        <f>X253*K283</f>
        <v>0</v>
      </c>
      <c r="Z253" s="408">
        <v>0</v>
      </c>
      <c r="AA253" s="409">
        <f>Z253*K283</f>
        <v>0</v>
      </c>
      <c r="AR253" s="448" t="s">
        <v>128</v>
      </c>
      <c r="AT253" s="448" t="s">
        <v>126</v>
      </c>
      <c r="AU253" s="448" t="s">
        <v>76</v>
      </c>
      <c r="AY253" s="448" t="s">
        <v>125</v>
      </c>
      <c r="BE253" s="484">
        <f>IF(U253="základní",N283,0)</f>
        <v>0</v>
      </c>
      <c r="BF253" s="484">
        <f>IF(U253="snížená",N283,0)</f>
        <v>0</v>
      </c>
      <c r="BG253" s="484">
        <f>IF(U253="zákl. přenesená",N283,0)</f>
        <v>0</v>
      </c>
      <c r="BH253" s="484">
        <f>IF(U253="sníž. přenesená",N283,0)</f>
        <v>0</v>
      </c>
      <c r="BI253" s="484">
        <f>IF(U253="nulová",N283,0)</f>
        <v>0</v>
      </c>
      <c r="BJ253" s="448" t="s">
        <v>80</v>
      </c>
      <c r="BK253" s="484">
        <f>ROUND(L283*K283,2)</f>
        <v>0</v>
      </c>
      <c r="BL253" s="448" t="s">
        <v>128</v>
      </c>
      <c r="BM253" s="448" t="s">
        <v>160</v>
      </c>
    </row>
    <row r="254" spans="1:47" s="162" customFormat="1" ht="30" customHeight="1">
      <c r="A254" s="58"/>
      <c r="B254" s="58"/>
      <c r="C254" s="58"/>
      <c r="D254" s="58"/>
      <c r="E254" s="58"/>
      <c r="F254" s="986"/>
      <c r="G254" s="973"/>
      <c r="H254" s="973"/>
      <c r="I254" s="973"/>
      <c r="J254" s="58"/>
      <c r="K254" s="58"/>
      <c r="L254" s="58"/>
      <c r="M254" s="58"/>
      <c r="N254" s="799"/>
      <c r="O254" s="799"/>
      <c r="P254" s="799"/>
      <c r="Q254" s="799"/>
      <c r="R254" s="58"/>
      <c r="S254" s="58"/>
      <c r="T254" s="58"/>
      <c r="U254" s="58"/>
      <c r="V254" s="58"/>
      <c r="W254" s="58"/>
      <c r="X254" s="58"/>
      <c r="Y254" s="58"/>
      <c r="Z254" s="58"/>
      <c r="AA254" s="507"/>
      <c r="AT254" s="448" t="s">
        <v>182</v>
      </c>
      <c r="AU254" s="448" t="s">
        <v>76</v>
      </c>
    </row>
    <row r="255" spans="1:65" s="162" customFormat="1" ht="31.5" customHeight="1">
      <c r="A255" s="58"/>
      <c r="B255" s="58"/>
      <c r="C255" s="522"/>
      <c r="D255" s="522"/>
      <c r="E255" s="524"/>
      <c r="F255" s="991"/>
      <c r="G255" s="991"/>
      <c r="H255" s="991"/>
      <c r="I255" s="991"/>
      <c r="J255" s="525"/>
      <c r="K255" s="531"/>
      <c r="L255" s="989"/>
      <c r="M255" s="989"/>
      <c r="N255" s="1123"/>
      <c r="O255" s="1123"/>
      <c r="P255" s="1123"/>
      <c r="Q255" s="1123"/>
      <c r="R255" s="58"/>
      <c r="S255" s="58"/>
      <c r="T255" s="483" t="s">
        <v>5</v>
      </c>
      <c r="U255" s="221" t="s">
        <v>36</v>
      </c>
      <c r="V255" s="408">
        <v>0</v>
      </c>
      <c r="W255" s="408">
        <f>V255*K285</f>
        <v>0</v>
      </c>
      <c r="X255" s="408">
        <v>0</v>
      </c>
      <c r="Y255" s="408">
        <f>X255*K285</f>
        <v>0</v>
      </c>
      <c r="Z255" s="408">
        <v>0</v>
      </c>
      <c r="AA255" s="409">
        <f>Z255*K285</f>
        <v>0</v>
      </c>
      <c r="AR255" s="448" t="s">
        <v>128</v>
      </c>
      <c r="AT255" s="448" t="s">
        <v>126</v>
      </c>
      <c r="AU255" s="448" t="s">
        <v>76</v>
      </c>
      <c r="AY255" s="448" t="s">
        <v>125</v>
      </c>
      <c r="BE255" s="484">
        <f>IF(U255="základní",N285,0)</f>
        <v>0</v>
      </c>
      <c r="BF255" s="484">
        <f>IF(U255="snížená",N285,0)</f>
        <v>0</v>
      </c>
      <c r="BG255" s="484">
        <f>IF(U255="zákl. přenesená",N285,0)</f>
        <v>0</v>
      </c>
      <c r="BH255" s="484">
        <f>IF(U255="sníž. přenesená",N285,0)</f>
        <v>0</v>
      </c>
      <c r="BI255" s="484">
        <f>IF(U255="nulová",N285,0)</f>
        <v>0</v>
      </c>
      <c r="BJ255" s="448" t="s">
        <v>80</v>
      </c>
      <c r="BK255" s="484">
        <f>ROUND(L285*K285,2)</f>
        <v>0</v>
      </c>
      <c r="BL255" s="448" t="s">
        <v>128</v>
      </c>
      <c r="BM255" s="448" t="s">
        <v>161</v>
      </c>
    </row>
    <row r="256" spans="1:47" s="162" customFormat="1" ht="30" customHeight="1">
      <c r="A256" s="58"/>
      <c r="B256" s="58"/>
      <c r="C256" s="58"/>
      <c r="D256" s="58"/>
      <c r="E256" s="58"/>
      <c r="F256" s="986"/>
      <c r="G256" s="973"/>
      <c r="H256" s="973"/>
      <c r="I256" s="973"/>
      <c r="J256" s="58"/>
      <c r="K256" s="58"/>
      <c r="L256" s="58"/>
      <c r="M256" s="58"/>
      <c r="N256" s="799"/>
      <c r="O256" s="799"/>
      <c r="P256" s="799"/>
      <c r="Q256" s="799"/>
      <c r="R256" s="58"/>
      <c r="S256" s="58"/>
      <c r="T256" s="58"/>
      <c r="U256" s="58"/>
      <c r="V256" s="58"/>
      <c r="W256" s="58"/>
      <c r="X256" s="58"/>
      <c r="Y256" s="58"/>
      <c r="Z256" s="58"/>
      <c r="AA256" s="507"/>
      <c r="AT256" s="448" t="s">
        <v>182</v>
      </c>
      <c r="AU256" s="448" t="s">
        <v>76</v>
      </c>
    </row>
    <row r="257" spans="1:65" s="162" customFormat="1" ht="31.5" customHeight="1">
      <c r="A257" s="58"/>
      <c r="B257" s="58"/>
      <c r="C257" s="522"/>
      <c r="D257" s="522"/>
      <c r="E257" s="524"/>
      <c r="F257" s="991"/>
      <c r="G257" s="991"/>
      <c r="H257" s="991"/>
      <c r="I257" s="991"/>
      <c r="J257" s="525"/>
      <c r="K257" s="531"/>
      <c r="L257" s="989"/>
      <c r="M257" s="989"/>
      <c r="N257" s="1123"/>
      <c r="O257" s="1123"/>
      <c r="P257" s="1123"/>
      <c r="Q257" s="1123"/>
      <c r="R257" s="58"/>
      <c r="S257" s="58"/>
      <c r="T257" s="483" t="s">
        <v>5</v>
      </c>
      <c r="U257" s="221" t="s">
        <v>36</v>
      </c>
      <c r="V257" s="408">
        <v>0</v>
      </c>
      <c r="W257" s="408">
        <f>V257*K287</f>
        <v>0</v>
      </c>
      <c r="X257" s="408">
        <v>0</v>
      </c>
      <c r="Y257" s="408">
        <f>X257*K287</f>
        <v>0</v>
      </c>
      <c r="Z257" s="408">
        <v>0</v>
      </c>
      <c r="AA257" s="409">
        <f>Z257*K287</f>
        <v>0</v>
      </c>
      <c r="AR257" s="448" t="s">
        <v>128</v>
      </c>
      <c r="AT257" s="448" t="s">
        <v>126</v>
      </c>
      <c r="AU257" s="448" t="s">
        <v>76</v>
      </c>
      <c r="AY257" s="448" t="s">
        <v>125</v>
      </c>
      <c r="BE257" s="484">
        <f>IF(U257="základní",N287,0)</f>
        <v>0</v>
      </c>
      <c r="BF257" s="484">
        <f>IF(U257="snížená",N287,0)</f>
        <v>0</v>
      </c>
      <c r="BG257" s="484">
        <f>IF(U257="zákl. přenesená",N287,0)</f>
        <v>0</v>
      </c>
      <c r="BH257" s="484">
        <f>IF(U257="sníž. přenesená",N287,0)</f>
        <v>0</v>
      </c>
      <c r="BI257" s="484">
        <f>IF(U257="nulová",N287,0)</f>
        <v>0</v>
      </c>
      <c r="BJ257" s="448" t="s">
        <v>80</v>
      </c>
      <c r="BK257" s="484">
        <f>ROUND(L287*K287,2)</f>
        <v>0</v>
      </c>
      <c r="BL257" s="448" t="s">
        <v>128</v>
      </c>
      <c r="BM257" s="448" t="s">
        <v>162</v>
      </c>
    </row>
    <row r="258" spans="1:47" s="162" customFormat="1" ht="30" customHeight="1">
      <c r="A258" s="58"/>
      <c r="B258" s="58"/>
      <c r="C258" s="58"/>
      <c r="D258" s="58"/>
      <c r="E258" s="58"/>
      <c r="F258" s="986"/>
      <c r="G258" s="973"/>
      <c r="H258" s="973"/>
      <c r="I258" s="973"/>
      <c r="J258" s="58"/>
      <c r="K258" s="58"/>
      <c r="L258" s="58"/>
      <c r="M258" s="58"/>
      <c r="N258" s="799"/>
      <c r="O258" s="799"/>
      <c r="P258" s="799"/>
      <c r="Q258" s="799"/>
      <c r="R258" s="58"/>
      <c r="S258" s="58"/>
      <c r="T258" s="58"/>
      <c r="U258" s="58"/>
      <c r="V258" s="58"/>
      <c r="W258" s="58"/>
      <c r="X258" s="58"/>
      <c r="Y258" s="58"/>
      <c r="Z258" s="58"/>
      <c r="AA258" s="507"/>
      <c r="AT258" s="448" t="s">
        <v>182</v>
      </c>
      <c r="AU258" s="448" t="s">
        <v>76</v>
      </c>
    </row>
    <row r="259" spans="1:65" s="162" customFormat="1" ht="31.5" customHeight="1">
      <c r="A259" s="58"/>
      <c r="B259" s="58"/>
      <c r="C259" s="522"/>
      <c r="D259" s="522"/>
      <c r="E259" s="524"/>
      <c r="F259" s="991"/>
      <c r="G259" s="991"/>
      <c r="H259" s="991"/>
      <c r="I259" s="991"/>
      <c r="J259" s="525"/>
      <c r="K259" s="531"/>
      <c r="L259" s="989"/>
      <c r="M259" s="989"/>
      <c r="N259" s="1123"/>
      <c r="O259" s="1123"/>
      <c r="P259" s="1123"/>
      <c r="Q259" s="1123"/>
      <c r="R259" s="58"/>
      <c r="S259" s="58"/>
      <c r="T259" s="483" t="s">
        <v>5</v>
      </c>
      <c r="U259" s="221" t="s">
        <v>36</v>
      </c>
      <c r="V259" s="408">
        <v>0</v>
      </c>
      <c r="W259" s="408">
        <f>V259*K289</f>
        <v>0</v>
      </c>
      <c r="X259" s="408">
        <v>0</v>
      </c>
      <c r="Y259" s="408">
        <f>X259*K289</f>
        <v>0</v>
      </c>
      <c r="Z259" s="408">
        <v>0</v>
      </c>
      <c r="AA259" s="409">
        <f>Z259*K289</f>
        <v>0</v>
      </c>
      <c r="AR259" s="448" t="s">
        <v>128</v>
      </c>
      <c r="AT259" s="448" t="s">
        <v>126</v>
      </c>
      <c r="AU259" s="448" t="s">
        <v>76</v>
      </c>
      <c r="AY259" s="448" t="s">
        <v>125</v>
      </c>
      <c r="BE259" s="484">
        <f>IF(U259="základní",N289,0)</f>
        <v>0</v>
      </c>
      <c r="BF259" s="484">
        <f>IF(U259="snížená",N289,0)</f>
        <v>0</v>
      </c>
      <c r="BG259" s="484">
        <f>IF(U259="zákl. přenesená",N289,0)</f>
        <v>0</v>
      </c>
      <c r="BH259" s="484">
        <f>IF(U259="sníž. přenesená",N289,0)</f>
        <v>0</v>
      </c>
      <c r="BI259" s="484">
        <f>IF(U259="nulová",N289,0)</f>
        <v>0</v>
      </c>
      <c r="BJ259" s="448" t="s">
        <v>80</v>
      </c>
      <c r="BK259" s="484">
        <f>ROUND(L289*K289,2)</f>
        <v>0</v>
      </c>
      <c r="BL259" s="448" t="s">
        <v>128</v>
      </c>
      <c r="BM259" s="448" t="s">
        <v>163</v>
      </c>
    </row>
    <row r="260" spans="1:47" s="162" customFormat="1" ht="30" customHeight="1">
      <c r="A260" s="58"/>
      <c r="B260" s="58"/>
      <c r="C260" s="58"/>
      <c r="D260" s="58"/>
      <c r="E260" s="58"/>
      <c r="F260" s="986"/>
      <c r="G260" s="973"/>
      <c r="H260" s="973"/>
      <c r="I260" s="973"/>
      <c r="J260" s="58"/>
      <c r="K260" s="58"/>
      <c r="L260" s="58"/>
      <c r="M260" s="58"/>
      <c r="N260" s="799"/>
      <c r="O260" s="799"/>
      <c r="P260" s="799"/>
      <c r="Q260" s="799"/>
      <c r="R260" s="58"/>
      <c r="S260" s="58"/>
      <c r="T260" s="58"/>
      <c r="U260" s="58"/>
      <c r="V260" s="58"/>
      <c r="W260" s="58"/>
      <c r="X260" s="58"/>
      <c r="Y260" s="58"/>
      <c r="Z260" s="58"/>
      <c r="AA260" s="507"/>
      <c r="AT260" s="448" t="s">
        <v>182</v>
      </c>
      <c r="AU260" s="448" t="s">
        <v>76</v>
      </c>
    </row>
    <row r="261" spans="1:63" s="398" customFormat="1" ht="37.35" customHeight="1">
      <c r="A261" s="181"/>
      <c r="B261" s="181"/>
      <c r="C261" s="522"/>
      <c r="D261" s="522"/>
      <c r="E261" s="524"/>
      <c r="F261" s="991"/>
      <c r="G261" s="991"/>
      <c r="H261" s="991"/>
      <c r="I261" s="991"/>
      <c r="J261" s="525"/>
      <c r="K261" s="531"/>
      <c r="L261" s="989"/>
      <c r="M261" s="989"/>
      <c r="N261" s="1123"/>
      <c r="O261" s="1123"/>
      <c r="P261" s="1123"/>
      <c r="Q261" s="1123"/>
      <c r="R261" s="181"/>
      <c r="S261" s="181"/>
      <c r="T261" s="181"/>
      <c r="U261" s="181"/>
      <c r="V261" s="181"/>
      <c r="W261" s="402">
        <f>SUM(W262:W285)</f>
        <v>0</v>
      </c>
      <c r="X261" s="181"/>
      <c r="Y261" s="402">
        <f>SUM(Y262:Y285)</f>
        <v>0</v>
      </c>
      <c r="Z261" s="181"/>
      <c r="AA261" s="403">
        <f>SUM(AA262:AA285)</f>
        <v>0</v>
      </c>
      <c r="AR261" s="404" t="s">
        <v>76</v>
      </c>
      <c r="AT261" s="405" t="s">
        <v>68</v>
      </c>
      <c r="AU261" s="405" t="s">
        <v>69</v>
      </c>
      <c r="AY261" s="404" t="s">
        <v>125</v>
      </c>
      <c r="BK261" s="406">
        <f>SUM(BK262:BK285)</f>
        <v>0</v>
      </c>
    </row>
    <row r="262" spans="1:65" s="162" customFormat="1" ht="31.5" customHeight="1">
      <c r="A262" s="58"/>
      <c r="B262" s="58"/>
      <c r="C262" s="58"/>
      <c r="D262" s="58"/>
      <c r="E262" s="58"/>
      <c r="F262" s="986"/>
      <c r="G262" s="973"/>
      <c r="H262" s="973"/>
      <c r="I262" s="973"/>
      <c r="J262" s="58"/>
      <c r="K262" s="58"/>
      <c r="L262" s="58"/>
      <c r="M262" s="58"/>
      <c r="N262" s="799"/>
      <c r="O262" s="799"/>
      <c r="P262" s="799"/>
      <c r="Q262" s="799"/>
      <c r="R262" s="58"/>
      <c r="S262" s="58"/>
      <c r="T262" s="483" t="s">
        <v>5</v>
      </c>
      <c r="U262" s="221" t="s">
        <v>36</v>
      </c>
      <c r="V262" s="408">
        <v>0</v>
      </c>
      <c r="W262" s="408">
        <f>V262*K292</f>
        <v>0</v>
      </c>
      <c r="X262" s="408">
        <v>0</v>
      </c>
      <c r="Y262" s="408">
        <f>X262*K292</f>
        <v>0</v>
      </c>
      <c r="Z262" s="408">
        <v>0</v>
      </c>
      <c r="AA262" s="409">
        <f>Z262*K292</f>
        <v>0</v>
      </c>
      <c r="AR262" s="448" t="s">
        <v>128</v>
      </c>
      <c r="AT262" s="448" t="s">
        <v>126</v>
      </c>
      <c r="AU262" s="448" t="s">
        <v>76</v>
      </c>
      <c r="AY262" s="448" t="s">
        <v>125</v>
      </c>
      <c r="BE262" s="484">
        <f>IF(U262="základní",N292,0)</f>
        <v>0</v>
      </c>
      <c r="BF262" s="484">
        <f>IF(U262="snížená",N292,0)</f>
        <v>0</v>
      </c>
      <c r="BG262" s="484">
        <f>IF(U262="zákl. přenesená",N292,0)</f>
        <v>0</v>
      </c>
      <c r="BH262" s="484">
        <f>IF(U262="sníž. přenesená",N292,0)</f>
        <v>0</v>
      </c>
      <c r="BI262" s="484">
        <f>IF(U262="nulová",N292,0)</f>
        <v>0</v>
      </c>
      <c r="BJ262" s="448" t="s">
        <v>80</v>
      </c>
      <c r="BK262" s="484">
        <f>ROUND(L292*K292,2)</f>
        <v>0</v>
      </c>
      <c r="BL262" s="448" t="s">
        <v>128</v>
      </c>
      <c r="BM262" s="448" t="s">
        <v>164</v>
      </c>
    </row>
    <row r="263" spans="1:47" s="162" customFormat="1" ht="42" customHeight="1">
      <c r="A263" s="58"/>
      <c r="B263" s="58"/>
      <c r="C263" s="522"/>
      <c r="D263" s="522"/>
      <c r="E263" s="524"/>
      <c r="F263" s="1101"/>
      <c r="G263" s="991"/>
      <c r="H263" s="991"/>
      <c r="I263" s="991"/>
      <c r="J263" s="525"/>
      <c r="K263" s="531"/>
      <c r="L263" s="989"/>
      <c r="M263" s="989"/>
      <c r="N263" s="1123"/>
      <c r="O263" s="1123"/>
      <c r="P263" s="1123"/>
      <c r="Q263" s="1123"/>
      <c r="R263" s="58"/>
      <c r="S263" s="58"/>
      <c r="T263" s="58"/>
      <c r="U263" s="58"/>
      <c r="V263" s="58"/>
      <c r="W263" s="58"/>
      <c r="X263" s="58"/>
      <c r="Y263" s="58"/>
      <c r="Z263" s="58"/>
      <c r="AA263" s="507"/>
      <c r="AT263" s="448" t="s">
        <v>182</v>
      </c>
      <c r="AU263" s="448" t="s">
        <v>76</v>
      </c>
    </row>
    <row r="264" spans="1:65" s="162" customFormat="1" ht="31.5" customHeight="1">
      <c r="A264" s="58"/>
      <c r="B264" s="58"/>
      <c r="C264" s="522"/>
      <c r="D264" s="522"/>
      <c r="E264" s="524"/>
      <c r="F264" s="991"/>
      <c r="G264" s="991"/>
      <c r="H264" s="991"/>
      <c r="I264" s="991"/>
      <c r="J264" s="525"/>
      <c r="K264" s="531"/>
      <c r="L264" s="989"/>
      <c r="M264" s="989"/>
      <c r="N264" s="1123"/>
      <c r="O264" s="1123"/>
      <c r="P264" s="1123"/>
      <c r="Q264" s="1123"/>
      <c r="R264" s="58"/>
      <c r="S264" s="58"/>
      <c r="T264" s="483" t="s">
        <v>5</v>
      </c>
      <c r="U264" s="221" t="s">
        <v>36</v>
      </c>
      <c r="V264" s="408">
        <v>0</v>
      </c>
      <c r="W264" s="408">
        <f>V264*K294</f>
        <v>0</v>
      </c>
      <c r="X264" s="408">
        <v>0</v>
      </c>
      <c r="Y264" s="408">
        <f>X264*K294</f>
        <v>0</v>
      </c>
      <c r="Z264" s="408">
        <v>0</v>
      </c>
      <c r="AA264" s="409">
        <f>Z264*K294</f>
        <v>0</v>
      </c>
      <c r="AR264" s="448" t="s">
        <v>128</v>
      </c>
      <c r="AT264" s="448" t="s">
        <v>126</v>
      </c>
      <c r="AU264" s="448" t="s">
        <v>76</v>
      </c>
      <c r="AY264" s="448" t="s">
        <v>125</v>
      </c>
      <c r="BE264" s="484">
        <f>IF(U264="základní",N294,0)</f>
        <v>0</v>
      </c>
      <c r="BF264" s="484">
        <f>IF(U264="snížená",N294,0)</f>
        <v>0</v>
      </c>
      <c r="BG264" s="484">
        <f>IF(U264="zákl. přenesená",N294,0)</f>
        <v>0</v>
      </c>
      <c r="BH264" s="484">
        <f>IF(U264="sníž. přenesená",N294,0)</f>
        <v>0</v>
      </c>
      <c r="BI264" s="484">
        <f>IF(U264="nulová",N294,0)</f>
        <v>0</v>
      </c>
      <c r="BJ264" s="448" t="s">
        <v>80</v>
      </c>
      <c r="BK264" s="484">
        <f>ROUND(L294*K294,2)</f>
        <v>0</v>
      </c>
      <c r="BL264" s="448" t="s">
        <v>128</v>
      </c>
      <c r="BM264" s="448" t="s">
        <v>165</v>
      </c>
    </row>
    <row r="265" spans="1:47" s="162" customFormat="1" ht="30" customHeight="1">
      <c r="A265" s="58"/>
      <c r="B265" s="58"/>
      <c r="C265" s="58"/>
      <c r="D265" s="58"/>
      <c r="E265" s="58"/>
      <c r="F265" s="986"/>
      <c r="G265" s="973"/>
      <c r="H265" s="973"/>
      <c r="I265" s="973"/>
      <c r="J265" s="58"/>
      <c r="K265" s="58"/>
      <c r="L265" s="58"/>
      <c r="M265" s="58"/>
      <c r="N265" s="799"/>
      <c r="O265" s="799"/>
      <c r="P265" s="799"/>
      <c r="Q265" s="799"/>
      <c r="R265" s="58"/>
      <c r="S265" s="58"/>
      <c r="T265" s="58"/>
      <c r="U265" s="58"/>
      <c r="V265" s="58"/>
      <c r="W265" s="58"/>
      <c r="X265" s="58"/>
      <c r="Y265" s="58"/>
      <c r="Z265" s="58"/>
      <c r="AA265" s="507"/>
      <c r="AT265" s="448" t="s">
        <v>182</v>
      </c>
      <c r="AU265" s="448" t="s">
        <v>76</v>
      </c>
    </row>
    <row r="266" spans="1:65" s="162" customFormat="1" ht="31.5" customHeight="1">
      <c r="A266" s="58"/>
      <c r="B266" s="58"/>
      <c r="C266" s="522"/>
      <c r="D266" s="522"/>
      <c r="E266" s="524"/>
      <c r="F266" s="991"/>
      <c r="G266" s="991"/>
      <c r="H266" s="991"/>
      <c r="I266" s="991"/>
      <c r="J266" s="525"/>
      <c r="K266" s="531"/>
      <c r="L266" s="989"/>
      <c r="M266" s="989"/>
      <c r="N266" s="1123"/>
      <c r="O266" s="1123"/>
      <c r="P266" s="1123"/>
      <c r="Q266" s="1123"/>
      <c r="R266" s="58"/>
      <c r="S266" s="58"/>
      <c r="T266" s="483" t="s">
        <v>5</v>
      </c>
      <c r="U266" s="221" t="s">
        <v>36</v>
      </c>
      <c r="V266" s="408">
        <v>0</v>
      </c>
      <c r="W266" s="408">
        <f>V266*K296</f>
        <v>0</v>
      </c>
      <c r="X266" s="408">
        <v>0</v>
      </c>
      <c r="Y266" s="408">
        <f>X266*K296</f>
        <v>0</v>
      </c>
      <c r="Z266" s="408">
        <v>0</v>
      </c>
      <c r="AA266" s="409">
        <f>Z266*K296</f>
        <v>0</v>
      </c>
      <c r="AR266" s="448" t="s">
        <v>128</v>
      </c>
      <c r="AT266" s="448" t="s">
        <v>126</v>
      </c>
      <c r="AU266" s="448" t="s">
        <v>76</v>
      </c>
      <c r="AY266" s="448" t="s">
        <v>125</v>
      </c>
      <c r="BE266" s="484">
        <f>IF(U266="základní",N296,0)</f>
        <v>0</v>
      </c>
      <c r="BF266" s="484">
        <f>IF(U266="snížená",N296,0)</f>
        <v>0</v>
      </c>
      <c r="BG266" s="484">
        <f>IF(U266="zákl. přenesená",N296,0)</f>
        <v>0</v>
      </c>
      <c r="BH266" s="484">
        <f>IF(U266="sníž. přenesená",N296,0)</f>
        <v>0</v>
      </c>
      <c r="BI266" s="484">
        <f>IF(U266="nulová",N296,0)</f>
        <v>0</v>
      </c>
      <c r="BJ266" s="448" t="s">
        <v>80</v>
      </c>
      <c r="BK266" s="484">
        <f>ROUND(L296*K296,2)</f>
        <v>0</v>
      </c>
      <c r="BL266" s="448" t="s">
        <v>128</v>
      </c>
      <c r="BM266" s="448" t="s">
        <v>166</v>
      </c>
    </row>
    <row r="267" spans="1:47" s="162" customFormat="1" ht="32.25" customHeight="1">
      <c r="A267" s="58"/>
      <c r="B267" s="58"/>
      <c r="C267" s="58"/>
      <c r="D267" s="58"/>
      <c r="E267" s="58"/>
      <c r="F267" s="986"/>
      <c r="G267" s="986"/>
      <c r="H267" s="986"/>
      <c r="I267" s="986"/>
      <c r="J267" s="58"/>
      <c r="K267" s="58"/>
      <c r="L267" s="58"/>
      <c r="M267" s="58"/>
      <c r="N267" s="799"/>
      <c r="O267" s="799"/>
      <c r="P267" s="799"/>
      <c r="Q267" s="799"/>
      <c r="R267" s="58"/>
      <c r="S267" s="58"/>
      <c r="T267" s="58"/>
      <c r="U267" s="58"/>
      <c r="V267" s="58"/>
      <c r="W267" s="58"/>
      <c r="X267" s="58"/>
      <c r="Y267" s="58"/>
      <c r="Z267" s="58"/>
      <c r="AA267" s="507"/>
      <c r="AT267" s="448" t="s">
        <v>182</v>
      </c>
      <c r="AU267" s="448" t="s">
        <v>76</v>
      </c>
    </row>
    <row r="268" spans="1:65" s="162" customFormat="1" ht="31.5" customHeight="1">
      <c r="A268" s="58"/>
      <c r="B268" s="58"/>
      <c r="C268" s="522"/>
      <c r="D268" s="522"/>
      <c r="E268" s="524"/>
      <c r="F268" s="1101"/>
      <c r="G268" s="991"/>
      <c r="H268" s="991"/>
      <c r="I268" s="991"/>
      <c r="J268" s="525"/>
      <c r="K268" s="531"/>
      <c r="L268" s="989"/>
      <c r="M268" s="989"/>
      <c r="N268" s="1123"/>
      <c r="O268" s="1123"/>
      <c r="P268" s="1123"/>
      <c r="Q268" s="1123"/>
      <c r="R268" s="58"/>
      <c r="S268" s="58"/>
      <c r="T268" s="483" t="s">
        <v>5</v>
      </c>
      <c r="U268" s="221" t="s">
        <v>36</v>
      </c>
      <c r="V268" s="408">
        <v>0</v>
      </c>
      <c r="W268" s="408">
        <f>V268*K298</f>
        <v>0</v>
      </c>
      <c r="X268" s="408">
        <v>0</v>
      </c>
      <c r="Y268" s="408">
        <f>X268*K298</f>
        <v>0</v>
      </c>
      <c r="Z268" s="408">
        <v>0</v>
      </c>
      <c r="AA268" s="409">
        <f>Z268*K298</f>
        <v>0</v>
      </c>
      <c r="AR268" s="448" t="s">
        <v>128</v>
      </c>
      <c r="AT268" s="448" t="s">
        <v>126</v>
      </c>
      <c r="AU268" s="448" t="s">
        <v>76</v>
      </c>
      <c r="AY268" s="448" t="s">
        <v>125</v>
      </c>
      <c r="BE268" s="484">
        <f>IF(U268="základní",N298,0)</f>
        <v>0</v>
      </c>
      <c r="BF268" s="484">
        <f>IF(U268="snížená",N298,0)</f>
        <v>0</v>
      </c>
      <c r="BG268" s="484">
        <f>IF(U268="zákl. přenesená",N298,0)</f>
        <v>0</v>
      </c>
      <c r="BH268" s="484">
        <f>IF(U268="sníž. přenesená",N298,0)</f>
        <v>0</v>
      </c>
      <c r="BI268" s="484">
        <f>IF(U268="nulová",N298,0)</f>
        <v>0</v>
      </c>
      <c r="BJ268" s="448" t="s">
        <v>80</v>
      </c>
      <c r="BK268" s="484">
        <f>ROUND(L298*K298,2)</f>
        <v>0</v>
      </c>
      <c r="BL268" s="448" t="s">
        <v>128</v>
      </c>
      <c r="BM268" s="448" t="s">
        <v>167</v>
      </c>
    </row>
    <row r="269" spans="1:47" s="162" customFormat="1" ht="42" customHeight="1">
      <c r="A269" s="58"/>
      <c r="B269" s="58"/>
      <c r="C269" s="522"/>
      <c r="D269" s="522"/>
      <c r="E269" s="524"/>
      <c r="F269" s="1101"/>
      <c r="G269" s="991"/>
      <c r="H269" s="991"/>
      <c r="I269" s="991"/>
      <c r="J269" s="525"/>
      <c r="K269" s="531"/>
      <c r="L269" s="989"/>
      <c r="M269" s="989"/>
      <c r="N269" s="1123"/>
      <c r="O269" s="1123"/>
      <c r="P269" s="1123"/>
      <c r="Q269" s="1123"/>
      <c r="R269" s="58"/>
      <c r="S269" s="58"/>
      <c r="T269" s="58"/>
      <c r="U269" s="58"/>
      <c r="V269" s="58"/>
      <c r="W269" s="58"/>
      <c r="X269" s="58"/>
      <c r="Y269" s="58"/>
      <c r="Z269" s="58"/>
      <c r="AA269" s="507"/>
      <c r="AT269" s="448" t="s">
        <v>182</v>
      </c>
      <c r="AU269" s="448" t="s">
        <v>76</v>
      </c>
    </row>
    <row r="270" spans="1:65" s="162" customFormat="1" ht="31.5" customHeight="1">
      <c r="A270" s="58"/>
      <c r="B270" s="58"/>
      <c r="C270" s="522"/>
      <c r="D270" s="522"/>
      <c r="E270" s="524"/>
      <c r="F270" s="991"/>
      <c r="G270" s="991"/>
      <c r="H270" s="991"/>
      <c r="I270" s="991"/>
      <c r="J270" s="525"/>
      <c r="K270" s="531"/>
      <c r="L270" s="989"/>
      <c r="M270" s="989"/>
      <c r="N270" s="1123"/>
      <c r="O270" s="1123"/>
      <c r="P270" s="1123"/>
      <c r="Q270" s="1123"/>
      <c r="R270" s="58"/>
      <c r="S270" s="58"/>
      <c r="T270" s="483" t="s">
        <v>5</v>
      </c>
      <c r="U270" s="221" t="s">
        <v>36</v>
      </c>
      <c r="V270" s="408">
        <v>0</v>
      </c>
      <c r="W270" s="408">
        <f>V270*K300</f>
        <v>0</v>
      </c>
      <c r="X270" s="408">
        <v>0</v>
      </c>
      <c r="Y270" s="408">
        <f>X270*K300</f>
        <v>0</v>
      </c>
      <c r="Z270" s="408">
        <v>0</v>
      </c>
      <c r="AA270" s="409">
        <f>Z270*K300</f>
        <v>0</v>
      </c>
      <c r="AR270" s="448" t="s">
        <v>128</v>
      </c>
      <c r="AT270" s="448" t="s">
        <v>126</v>
      </c>
      <c r="AU270" s="448" t="s">
        <v>76</v>
      </c>
      <c r="AY270" s="448" t="s">
        <v>125</v>
      </c>
      <c r="BE270" s="484">
        <f>IF(U270="základní",N300,0)</f>
        <v>0</v>
      </c>
      <c r="BF270" s="484">
        <f>IF(U270="snížená",N300,0)</f>
        <v>0</v>
      </c>
      <c r="BG270" s="484">
        <f>IF(U270="zákl. přenesená",N300,0)</f>
        <v>0</v>
      </c>
      <c r="BH270" s="484">
        <f>IF(U270="sníž. přenesená",N300,0)</f>
        <v>0</v>
      </c>
      <c r="BI270" s="484">
        <f>IF(U270="nulová",N300,0)</f>
        <v>0</v>
      </c>
      <c r="BJ270" s="448" t="s">
        <v>80</v>
      </c>
      <c r="BK270" s="484">
        <f>ROUND(L300*K300,2)</f>
        <v>0</v>
      </c>
      <c r="BL270" s="448" t="s">
        <v>128</v>
      </c>
      <c r="BM270" s="448" t="s">
        <v>168</v>
      </c>
    </row>
    <row r="271" spans="1:47" s="162" customFormat="1" ht="42" customHeight="1">
      <c r="A271" s="58"/>
      <c r="B271" s="58"/>
      <c r="C271" s="58"/>
      <c r="D271" s="58"/>
      <c r="E271" s="58"/>
      <c r="F271" s="986"/>
      <c r="G271" s="973"/>
      <c r="H271" s="973"/>
      <c r="I271" s="973"/>
      <c r="J271" s="58"/>
      <c r="K271" s="58"/>
      <c r="L271" s="58"/>
      <c r="M271" s="58"/>
      <c r="N271" s="799"/>
      <c r="O271" s="799"/>
      <c r="P271" s="799"/>
      <c r="Q271" s="799"/>
      <c r="R271" s="58"/>
      <c r="S271" s="58"/>
      <c r="T271" s="58"/>
      <c r="U271" s="58"/>
      <c r="V271" s="58"/>
      <c r="W271" s="58"/>
      <c r="X271" s="58"/>
      <c r="Y271" s="58"/>
      <c r="Z271" s="58"/>
      <c r="AA271" s="507"/>
      <c r="AT271" s="448" t="s">
        <v>182</v>
      </c>
      <c r="AU271" s="448" t="s">
        <v>76</v>
      </c>
    </row>
    <row r="272" spans="1:65" s="162" customFormat="1" ht="31.5" customHeight="1">
      <c r="A272" s="58"/>
      <c r="B272" s="58"/>
      <c r="C272" s="522"/>
      <c r="D272" s="522"/>
      <c r="E272" s="524"/>
      <c r="F272" s="991"/>
      <c r="G272" s="991"/>
      <c r="H272" s="991"/>
      <c r="I272" s="991"/>
      <c r="J272" s="525"/>
      <c r="K272" s="531"/>
      <c r="L272" s="989"/>
      <c r="M272" s="989"/>
      <c r="N272" s="1123"/>
      <c r="O272" s="1123"/>
      <c r="P272" s="1123"/>
      <c r="Q272" s="1123"/>
      <c r="R272" s="58"/>
      <c r="S272" s="58"/>
      <c r="T272" s="483" t="s">
        <v>5</v>
      </c>
      <c r="U272" s="221" t="s">
        <v>36</v>
      </c>
      <c r="V272" s="408">
        <v>0</v>
      </c>
      <c r="W272" s="408">
        <f>V272*K302</f>
        <v>0</v>
      </c>
      <c r="X272" s="408">
        <v>0</v>
      </c>
      <c r="Y272" s="408">
        <f>X272*K302</f>
        <v>0</v>
      </c>
      <c r="Z272" s="408">
        <v>0</v>
      </c>
      <c r="AA272" s="409">
        <f>Z272*K302</f>
        <v>0</v>
      </c>
      <c r="AR272" s="448" t="s">
        <v>128</v>
      </c>
      <c r="AT272" s="448" t="s">
        <v>126</v>
      </c>
      <c r="AU272" s="448" t="s">
        <v>76</v>
      </c>
      <c r="AY272" s="448" t="s">
        <v>125</v>
      </c>
      <c r="BE272" s="484">
        <f>IF(U272="základní",N302,0)</f>
        <v>0</v>
      </c>
      <c r="BF272" s="484">
        <f>IF(U272="snížená",N302,0)</f>
        <v>0</v>
      </c>
      <c r="BG272" s="484">
        <f>IF(U272="zákl. přenesená",N302,0)</f>
        <v>0</v>
      </c>
      <c r="BH272" s="484">
        <f>IF(U272="sníž. přenesená",N302,0)</f>
        <v>0</v>
      </c>
      <c r="BI272" s="484">
        <f>IF(U272="nulová",N302,0)</f>
        <v>0</v>
      </c>
      <c r="BJ272" s="448" t="s">
        <v>80</v>
      </c>
      <c r="BK272" s="484">
        <f>ROUND(L302*K302,2)</f>
        <v>0</v>
      </c>
      <c r="BL272" s="448" t="s">
        <v>128</v>
      </c>
      <c r="BM272" s="448" t="s">
        <v>169</v>
      </c>
    </row>
    <row r="273" spans="1:47" s="162" customFormat="1" ht="42" customHeight="1">
      <c r="A273" s="58"/>
      <c r="B273" s="58"/>
      <c r="C273" s="58"/>
      <c r="D273" s="58"/>
      <c r="E273" s="58"/>
      <c r="F273" s="986"/>
      <c r="G273" s="973"/>
      <c r="H273" s="973"/>
      <c r="I273" s="973"/>
      <c r="J273" s="58"/>
      <c r="K273" s="58"/>
      <c r="L273" s="58"/>
      <c r="M273" s="58"/>
      <c r="N273" s="799"/>
      <c r="O273" s="799"/>
      <c r="P273" s="799"/>
      <c r="Q273" s="799"/>
      <c r="R273" s="58"/>
      <c r="S273" s="58"/>
      <c r="T273" s="58"/>
      <c r="U273" s="58"/>
      <c r="V273" s="58"/>
      <c r="W273" s="58"/>
      <c r="X273" s="58"/>
      <c r="Y273" s="58"/>
      <c r="Z273" s="58"/>
      <c r="AA273" s="507"/>
      <c r="AT273" s="448" t="s">
        <v>182</v>
      </c>
      <c r="AU273" s="448" t="s">
        <v>76</v>
      </c>
    </row>
    <row r="274" spans="1:65" s="162" customFormat="1" ht="31.5" customHeight="1">
      <c r="A274" s="58"/>
      <c r="B274" s="58"/>
      <c r="C274" s="522"/>
      <c r="D274" s="522"/>
      <c r="E274" s="524"/>
      <c r="F274" s="991"/>
      <c r="G274" s="991"/>
      <c r="H274" s="991"/>
      <c r="I274" s="991"/>
      <c r="J274" s="525"/>
      <c r="K274" s="531"/>
      <c r="L274" s="989"/>
      <c r="M274" s="989"/>
      <c r="N274" s="1123"/>
      <c r="O274" s="1123"/>
      <c r="P274" s="1123"/>
      <c r="Q274" s="1123"/>
      <c r="R274" s="58"/>
      <c r="S274" s="58"/>
      <c r="T274" s="483" t="s">
        <v>5</v>
      </c>
      <c r="U274" s="221" t="s">
        <v>36</v>
      </c>
      <c r="V274" s="408">
        <v>0</v>
      </c>
      <c r="W274" s="408">
        <f>V274*K304</f>
        <v>0</v>
      </c>
      <c r="X274" s="408">
        <v>0</v>
      </c>
      <c r="Y274" s="408">
        <f>X274*K304</f>
        <v>0</v>
      </c>
      <c r="Z274" s="408">
        <v>0</v>
      </c>
      <c r="AA274" s="409">
        <f>Z274*K304</f>
        <v>0</v>
      </c>
      <c r="AR274" s="448" t="s">
        <v>128</v>
      </c>
      <c r="AT274" s="448" t="s">
        <v>126</v>
      </c>
      <c r="AU274" s="448" t="s">
        <v>76</v>
      </c>
      <c r="AY274" s="448" t="s">
        <v>125</v>
      </c>
      <c r="BE274" s="484">
        <f>IF(U274="základní",N304,0)</f>
        <v>0</v>
      </c>
      <c r="BF274" s="484">
        <f>IF(U274="snížená",N304,0)</f>
        <v>0</v>
      </c>
      <c r="BG274" s="484">
        <f>IF(U274="zákl. přenesená",N304,0)</f>
        <v>0</v>
      </c>
      <c r="BH274" s="484">
        <f>IF(U274="sníž. přenesená",N304,0)</f>
        <v>0</v>
      </c>
      <c r="BI274" s="484">
        <f>IF(U274="nulová",N304,0)</f>
        <v>0</v>
      </c>
      <c r="BJ274" s="448" t="s">
        <v>80</v>
      </c>
      <c r="BK274" s="484">
        <f>ROUND(L304*K304,2)</f>
        <v>0</v>
      </c>
      <c r="BL274" s="448" t="s">
        <v>128</v>
      </c>
      <c r="BM274" s="448" t="s">
        <v>170</v>
      </c>
    </row>
    <row r="275" spans="1:47" s="162" customFormat="1" ht="42" customHeight="1">
      <c r="A275" s="58"/>
      <c r="B275" s="58"/>
      <c r="C275" s="58"/>
      <c r="D275" s="58"/>
      <c r="E275" s="58"/>
      <c r="F275" s="986"/>
      <c r="G275" s="973"/>
      <c r="H275" s="973"/>
      <c r="I275" s="973"/>
      <c r="J275" s="58"/>
      <c r="K275" s="58"/>
      <c r="L275" s="58"/>
      <c r="M275" s="58"/>
      <c r="N275" s="799"/>
      <c r="O275" s="799"/>
      <c r="P275" s="799"/>
      <c r="Q275" s="799"/>
      <c r="R275" s="58"/>
      <c r="S275" s="58"/>
      <c r="T275" s="58"/>
      <c r="U275" s="58"/>
      <c r="V275" s="58"/>
      <c r="W275" s="58"/>
      <c r="X275" s="58"/>
      <c r="Y275" s="58"/>
      <c r="Z275" s="58"/>
      <c r="AA275" s="507"/>
      <c r="AT275" s="448" t="s">
        <v>182</v>
      </c>
      <c r="AU275" s="448" t="s">
        <v>76</v>
      </c>
    </row>
    <row r="276" spans="1:65" s="162" customFormat="1" ht="31.5" customHeight="1">
      <c r="A276" s="58"/>
      <c r="B276" s="58"/>
      <c r="C276" s="522"/>
      <c r="D276" s="522"/>
      <c r="E276" s="524"/>
      <c r="F276" s="991"/>
      <c r="G276" s="991"/>
      <c r="H276" s="991"/>
      <c r="I276" s="991"/>
      <c r="J276" s="525"/>
      <c r="K276" s="531"/>
      <c r="L276" s="989"/>
      <c r="M276" s="989"/>
      <c r="N276" s="1123"/>
      <c r="O276" s="1123"/>
      <c r="P276" s="1123"/>
      <c r="Q276" s="1123"/>
      <c r="R276" s="58"/>
      <c r="S276" s="58"/>
      <c r="T276" s="483" t="s">
        <v>5</v>
      </c>
      <c r="U276" s="221" t="s">
        <v>36</v>
      </c>
      <c r="V276" s="408">
        <v>0</v>
      </c>
      <c r="W276" s="408">
        <f>V276*K306</f>
        <v>0</v>
      </c>
      <c r="X276" s="408">
        <v>0</v>
      </c>
      <c r="Y276" s="408">
        <f>X276*K306</f>
        <v>0</v>
      </c>
      <c r="Z276" s="408">
        <v>0</v>
      </c>
      <c r="AA276" s="409">
        <f>Z276*K306</f>
        <v>0</v>
      </c>
      <c r="AR276" s="448" t="s">
        <v>128</v>
      </c>
      <c r="AT276" s="448" t="s">
        <v>126</v>
      </c>
      <c r="AU276" s="448" t="s">
        <v>76</v>
      </c>
      <c r="AY276" s="448" t="s">
        <v>125</v>
      </c>
      <c r="BE276" s="484">
        <f>IF(U276="základní",N306,0)</f>
        <v>0</v>
      </c>
      <c r="BF276" s="484">
        <f>IF(U276="snížená",N306,0)</f>
        <v>0</v>
      </c>
      <c r="BG276" s="484">
        <f>IF(U276="zákl. přenesená",N306,0)</f>
        <v>0</v>
      </c>
      <c r="BH276" s="484">
        <f>IF(U276="sníž. přenesená",N306,0)</f>
        <v>0</v>
      </c>
      <c r="BI276" s="484">
        <f>IF(U276="nulová",N306,0)</f>
        <v>0</v>
      </c>
      <c r="BJ276" s="448" t="s">
        <v>80</v>
      </c>
      <c r="BK276" s="484">
        <f>ROUND(L306*K306,2)</f>
        <v>0</v>
      </c>
      <c r="BL276" s="448" t="s">
        <v>128</v>
      </c>
      <c r="BM276" s="448" t="s">
        <v>171</v>
      </c>
    </row>
    <row r="277" spans="1:47" s="162" customFormat="1" ht="42" customHeight="1">
      <c r="A277" s="58"/>
      <c r="B277" s="58"/>
      <c r="C277" s="58"/>
      <c r="D277" s="58"/>
      <c r="E277" s="58"/>
      <c r="F277" s="986"/>
      <c r="G277" s="973"/>
      <c r="H277" s="973"/>
      <c r="I277" s="973"/>
      <c r="J277" s="58"/>
      <c r="K277" s="58"/>
      <c r="L277" s="58"/>
      <c r="M277" s="58"/>
      <c r="N277" s="799"/>
      <c r="O277" s="799"/>
      <c r="P277" s="799"/>
      <c r="Q277" s="799"/>
      <c r="R277" s="58"/>
      <c r="S277" s="58"/>
      <c r="T277" s="58"/>
      <c r="U277" s="58"/>
      <c r="V277" s="58"/>
      <c r="W277" s="58"/>
      <c r="X277" s="58"/>
      <c r="Y277" s="58"/>
      <c r="Z277" s="58"/>
      <c r="AA277" s="507"/>
      <c r="AT277" s="448" t="s">
        <v>182</v>
      </c>
      <c r="AU277" s="448" t="s">
        <v>76</v>
      </c>
    </row>
    <row r="278" spans="1:65" s="162" customFormat="1" ht="22.5" customHeight="1">
      <c r="A278" s="58"/>
      <c r="B278" s="58"/>
      <c r="C278" s="522"/>
      <c r="D278" s="522"/>
      <c r="E278" s="524"/>
      <c r="F278" s="991"/>
      <c r="G278" s="991"/>
      <c r="H278" s="991"/>
      <c r="I278" s="991"/>
      <c r="J278" s="525"/>
      <c r="K278" s="531"/>
      <c r="L278" s="989"/>
      <c r="M278" s="989"/>
      <c r="N278" s="1123"/>
      <c r="O278" s="1123"/>
      <c r="P278" s="1123"/>
      <c r="Q278" s="1123"/>
      <c r="R278" s="58"/>
      <c r="S278" s="58"/>
      <c r="T278" s="483" t="s">
        <v>5</v>
      </c>
      <c r="U278" s="221" t="s">
        <v>36</v>
      </c>
      <c r="V278" s="408">
        <v>0</v>
      </c>
      <c r="W278" s="408">
        <f>V278*K308</f>
        <v>0</v>
      </c>
      <c r="X278" s="408">
        <v>0</v>
      </c>
      <c r="Y278" s="408">
        <f>X278*K308</f>
        <v>0</v>
      </c>
      <c r="Z278" s="408">
        <v>0</v>
      </c>
      <c r="AA278" s="409">
        <f>Z278*K308</f>
        <v>0</v>
      </c>
      <c r="AR278" s="448" t="s">
        <v>128</v>
      </c>
      <c r="AT278" s="448" t="s">
        <v>126</v>
      </c>
      <c r="AU278" s="448" t="s">
        <v>76</v>
      </c>
      <c r="AY278" s="448" t="s">
        <v>125</v>
      </c>
      <c r="BE278" s="484">
        <f>IF(U278="základní",N308,0)</f>
        <v>0</v>
      </c>
      <c r="BF278" s="484">
        <f>IF(U278="snížená",N308,0)</f>
        <v>0</v>
      </c>
      <c r="BG278" s="484">
        <f>IF(U278="zákl. přenesená",N308,0)</f>
        <v>0</v>
      </c>
      <c r="BH278" s="484">
        <f>IF(U278="sníž. přenesená",N308,0)</f>
        <v>0</v>
      </c>
      <c r="BI278" s="484">
        <f>IF(U278="nulová",N308,0)</f>
        <v>0</v>
      </c>
      <c r="BJ278" s="448" t="s">
        <v>80</v>
      </c>
      <c r="BK278" s="484">
        <f>ROUND(L308*K308,2)</f>
        <v>0</v>
      </c>
      <c r="BL278" s="448" t="s">
        <v>128</v>
      </c>
      <c r="BM278" s="448" t="s">
        <v>172</v>
      </c>
    </row>
    <row r="279" spans="1:47" s="162" customFormat="1" ht="42" customHeight="1">
      <c r="A279" s="58"/>
      <c r="B279" s="58"/>
      <c r="C279" s="58"/>
      <c r="D279" s="58"/>
      <c r="E279" s="58"/>
      <c r="F279" s="986"/>
      <c r="G279" s="973"/>
      <c r="H279" s="973"/>
      <c r="I279" s="973"/>
      <c r="J279" s="58"/>
      <c r="K279" s="58"/>
      <c r="L279" s="58"/>
      <c r="M279" s="58"/>
      <c r="N279" s="799"/>
      <c r="O279" s="799"/>
      <c r="P279" s="799"/>
      <c r="Q279" s="799"/>
      <c r="R279" s="58"/>
      <c r="S279" s="58"/>
      <c r="T279" s="58"/>
      <c r="U279" s="58"/>
      <c r="V279" s="58"/>
      <c r="W279" s="58"/>
      <c r="X279" s="58"/>
      <c r="Y279" s="58"/>
      <c r="Z279" s="58"/>
      <c r="AA279" s="507"/>
      <c r="AT279" s="448" t="s">
        <v>182</v>
      </c>
      <c r="AU279" s="448" t="s">
        <v>76</v>
      </c>
    </row>
    <row r="280" spans="1:65" s="162" customFormat="1" ht="22.5" customHeight="1">
      <c r="A280" s="58"/>
      <c r="B280" s="58"/>
      <c r="C280" s="522"/>
      <c r="D280" s="522"/>
      <c r="E280" s="524"/>
      <c r="F280" s="991"/>
      <c r="G280" s="991"/>
      <c r="H280" s="991"/>
      <c r="I280" s="991"/>
      <c r="J280" s="525"/>
      <c r="K280" s="531"/>
      <c r="L280" s="989"/>
      <c r="M280" s="989"/>
      <c r="N280" s="1123"/>
      <c r="O280" s="1123"/>
      <c r="P280" s="1123"/>
      <c r="Q280" s="1123"/>
      <c r="R280" s="58"/>
      <c r="S280" s="58"/>
      <c r="T280" s="483" t="s">
        <v>5</v>
      </c>
      <c r="U280" s="221" t="s">
        <v>36</v>
      </c>
      <c r="V280" s="408">
        <v>0</v>
      </c>
      <c r="W280" s="408">
        <f>V280*K310</f>
        <v>0</v>
      </c>
      <c r="X280" s="408">
        <v>0</v>
      </c>
      <c r="Y280" s="408">
        <f>X280*K310</f>
        <v>0</v>
      </c>
      <c r="Z280" s="408">
        <v>0</v>
      </c>
      <c r="AA280" s="409">
        <f>Z280*K310</f>
        <v>0</v>
      </c>
      <c r="AR280" s="448" t="s">
        <v>128</v>
      </c>
      <c r="AT280" s="448" t="s">
        <v>126</v>
      </c>
      <c r="AU280" s="448" t="s">
        <v>76</v>
      </c>
      <c r="AY280" s="448" t="s">
        <v>125</v>
      </c>
      <c r="BE280" s="484">
        <f>IF(U280="základní",N310,0)</f>
        <v>0</v>
      </c>
      <c r="BF280" s="484">
        <f>IF(U280="snížená",N310,0)</f>
        <v>0</v>
      </c>
      <c r="BG280" s="484">
        <f>IF(U280="zákl. přenesená",N310,0)</f>
        <v>0</v>
      </c>
      <c r="BH280" s="484">
        <f>IF(U280="sníž. přenesená",N310,0)</f>
        <v>0</v>
      </c>
      <c r="BI280" s="484">
        <f>IF(U280="nulová",N310,0)</f>
        <v>0</v>
      </c>
      <c r="BJ280" s="448" t="s">
        <v>80</v>
      </c>
      <c r="BK280" s="484">
        <f>ROUND(L310*K310,2)</f>
        <v>0</v>
      </c>
      <c r="BL280" s="448" t="s">
        <v>128</v>
      </c>
      <c r="BM280" s="448" t="s">
        <v>173</v>
      </c>
    </row>
    <row r="281" spans="1:47" s="162" customFormat="1" ht="42" customHeight="1">
      <c r="A281" s="58"/>
      <c r="B281" s="58"/>
      <c r="C281" s="58"/>
      <c r="D281" s="58"/>
      <c r="E281" s="58"/>
      <c r="F281" s="986"/>
      <c r="G281" s="973"/>
      <c r="H281" s="973"/>
      <c r="I281" s="973"/>
      <c r="J281" s="58"/>
      <c r="K281" s="58"/>
      <c r="L281" s="58"/>
      <c r="M281" s="58"/>
      <c r="N281" s="799"/>
      <c r="O281" s="799"/>
      <c r="P281" s="799"/>
      <c r="Q281" s="799"/>
      <c r="R281" s="58"/>
      <c r="S281" s="58"/>
      <c r="T281" s="58"/>
      <c r="U281" s="58"/>
      <c r="V281" s="58"/>
      <c r="W281" s="58"/>
      <c r="X281" s="58"/>
      <c r="Y281" s="58"/>
      <c r="Z281" s="58"/>
      <c r="AA281" s="507"/>
      <c r="AT281" s="448" t="s">
        <v>182</v>
      </c>
      <c r="AU281" s="448" t="s">
        <v>76</v>
      </c>
    </row>
    <row r="282" spans="1:65" s="162" customFormat="1" ht="31.5" customHeight="1">
      <c r="A282" s="58"/>
      <c r="B282" s="58"/>
      <c r="C282" s="181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124"/>
      <c r="O282" s="1125"/>
      <c r="P282" s="1125"/>
      <c r="Q282" s="1125"/>
      <c r="R282" s="58"/>
      <c r="S282" s="58"/>
      <c r="T282" s="483" t="s">
        <v>5</v>
      </c>
      <c r="U282" s="221" t="s">
        <v>36</v>
      </c>
      <c r="V282" s="408">
        <v>0</v>
      </c>
      <c r="W282" s="408">
        <f>V282*K312</f>
        <v>0</v>
      </c>
      <c r="X282" s="408">
        <v>0</v>
      </c>
      <c r="Y282" s="408">
        <f>X282*K312</f>
        <v>0</v>
      </c>
      <c r="Z282" s="408">
        <v>0</v>
      </c>
      <c r="AA282" s="409">
        <f>Z282*K312</f>
        <v>0</v>
      </c>
      <c r="AR282" s="448" t="s">
        <v>128</v>
      </c>
      <c r="AT282" s="448" t="s">
        <v>126</v>
      </c>
      <c r="AU282" s="448" t="s">
        <v>76</v>
      </c>
      <c r="AY282" s="448" t="s">
        <v>125</v>
      </c>
      <c r="BE282" s="484">
        <f>IF(U282="základní",N312,0)</f>
        <v>0</v>
      </c>
      <c r="BF282" s="484">
        <f>IF(U282="snížená",N312,0)</f>
        <v>0</v>
      </c>
      <c r="BG282" s="484">
        <f>IF(U282="zákl. přenesená",N312,0)</f>
        <v>0</v>
      </c>
      <c r="BH282" s="484">
        <f>IF(U282="sníž. přenesená",N312,0)</f>
        <v>0</v>
      </c>
      <c r="BI282" s="484">
        <f>IF(U282="nulová",N312,0)</f>
        <v>0</v>
      </c>
      <c r="BJ282" s="448" t="s">
        <v>80</v>
      </c>
      <c r="BK282" s="484">
        <f>ROUND(L312*K312,2)</f>
        <v>0</v>
      </c>
      <c r="BL282" s="448" t="s">
        <v>128</v>
      </c>
      <c r="BM282" s="448" t="s">
        <v>174</v>
      </c>
    </row>
    <row r="283" spans="1:47" s="162" customFormat="1" ht="42" customHeight="1">
      <c r="A283" s="58"/>
      <c r="B283" s="58"/>
      <c r="C283" s="522"/>
      <c r="D283" s="522"/>
      <c r="E283" s="524"/>
      <c r="F283" s="991"/>
      <c r="G283" s="991"/>
      <c r="H283" s="991"/>
      <c r="I283" s="991"/>
      <c r="J283" s="525"/>
      <c r="K283" s="531"/>
      <c r="L283" s="989"/>
      <c r="M283" s="989"/>
      <c r="N283" s="1123"/>
      <c r="O283" s="1123"/>
      <c r="P283" s="1123"/>
      <c r="Q283" s="1123"/>
      <c r="R283" s="58"/>
      <c r="S283" s="58"/>
      <c r="T283" s="58"/>
      <c r="U283" s="58"/>
      <c r="V283" s="58"/>
      <c r="W283" s="58"/>
      <c r="X283" s="58"/>
      <c r="Y283" s="58"/>
      <c r="Z283" s="58"/>
      <c r="AA283" s="507"/>
      <c r="AT283" s="448" t="s">
        <v>182</v>
      </c>
      <c r="AU283" s="448" t="s">
        <v>76</v>
      </c>
    </row>
    <row r="284" spans="1:65" s="162" customFormat="1" ht="31.5" customHeight="1">
      <c r="A284" s="58"/>
      <c r="B284" s="58"/>
      <c r="C284" s="58"/>
      <c r="D284" s="58"/>
      <c r="E284" s="58"/>
      <c r="F284" s="986"/>
      <c r="G284" s="973"/>
      <c r="H284" s="973"/>
      <c r="I284" s="973"/>
      <c r="J284" s="58"/>
      <c r="K284" s="58"/>
      <c r="L284" s="58"/>
      <c r="M284" s="58"/>
      <c r="N284" s="799"/>
      <c r="O284" s="799"/>
      <c r="P284" s="799"/>
      <c r="Q284" s="799"/>
      <c r="R284" s="58"/>
      <c r="S284" s="58"/>
      <c r="T284" s="483" t="s">
        <v>5</v>
      </c>
      <c r="U284" s="221" t="s">
        <v>36</v>
      </c>
      <c r="V284" s="408">
        <v>0</v>
      </c>
      <c r="W284" s="408">
        <f>V284*K314</f>
        <v>0</v>
      </c>
      <c r="X284" s="408">
        <v>0</v>
      </c>
      <c r="Y284" s="408">
        <f>X284*K314</f>
        <v>0</v>
      </c>
      <c r="Z284" s="408">
        <v>0</v>
      </c>
      <c r="AA284" s="409">
        <f>Z284*K314</f>
        <v>0</v>
      </c>
      <c r="AR284" s="448" t="s">
        <v>128</v>
      </c>
      <c r="AT284" s="448" t="s">
        <v>126</v>
      </c>
      <c r="AU284" s="448" t="s">
        <v>76</v>
      </c>
      <c r="AY284" s="448" t="s">
        <v>125</v>
      </c>
      <c r="BE284" s="484">
        <f>IF(U284="základní",N314,0)</f>
        <v>0</v>
      </c>
      <c r="BF284" s="484">
        <f>IF(U284="snížená",N314,0)</f>
        <v>0</v>
      </c>
      <c r="BG284" s="484">
        <f>IF(U284="zákl. přenesená",N314,0)</f>
        <v>0</v>
      </c>
      <c r="BH284" s="484">
        <f>IF(U284="sníž. přenesená",N314,0)</f>
        <v>0</v>
      </c>
      <c r="BI284" s="484">
        <f>IF(U284="nulová",N314,0)</f>
        <v>0</v>
      </c>
      <c r="BJ284" s="448" t="s">
        <v>80</v>
      </c>
      <c r="BK284" s="484">
        <f>ROUND(L314*K314,2)</f>
        <v>0</v>
      </c>
      <c r="BL284" s="448" t="s">
        <v>128</v>
      </c>
      <c r="BM284" s="448" t="s">
        <v>175</v>
      </c>
    </row>
    <row r="285" spans="1:47" s="162" customFormat="1" ht="42" customHeight="1">
      <c r="A285" s="58"/>
      <c r="B285" s="58"/>
      <c r="C285" s="522"/>
      <c r="D285" s="522"/>
      <c r="E285" s="524"/>
      <c r="F285" s="991"/>
      <c r="G285" s="991"/>
      <c r="H285" s="991"/>
      <c r="I285" s="991"/>
      <c r="J285" s="525"/>
      <c r="K285" s="531"/>
      <c r="L285" s="989"/>
      <c r="M285" s="989"/>
      <c r="N285" s="1123"/>
      <c r="O285" s="1123"/>
      <c r="P285" s="1123"/>
      <c r="Q285" s="1123"/>
      <c r="R285" s="58"/>
      <c r="S285" s="58"/>
      <c r="T285" s="58"/>
      <c r="U285" s="58"/>
      <c r="V285" s="58"/>
      <c r="W285" s="58"/>
      <c r="X285" s="58"/>
      <c r="Y285" s="58"/>
      <c r="Z285" s="58"/>
      <c r="AA285" s="507"/>
      <c r="AT285" s="448" t="s">
        <v>182</v>
      </c>
      <c r="AU285" s="448" t="s">
        <v>76</v>
      </c>
    </row>
    <row r="286" spans="1:63" s="398" customFormat="1" ht="37.35" customHeight="1">
      <c r="A286" s="181"/>
      <c r="B286" s="181"/>
      <c r="C286" s="58"/>
      <c r="D286" s="58"/>
      <c r="E286" s="58"/>
      <c r="F286" s="986"/>
      <c r="G286" s="973"/>
      <c r="H286" s="973"/>
      <c r="I286" s="973"/>
      <c r="J286" s="58"/>
      <c r="K286" s="58"/>
      <c r="L286" s="58"/>
      <c r="M286" s="58"/>
      <c r="N286" s="799"/>
      <c r="O286" s="799"/>
      <c r="P286" s="799"/>
      <c r="Q286" s="799"/>
      <c r="R286" s="181"/>
      <c r="S286" s="181"/>
      <c r="T286" s="181"/>
      <c r="U286" s="181"/>
      <c r="V286" s="181"/>
      <c r="W286" s="402">
        <f>SUM(W287:W290)</f>
        <v>0</v>
      </c>
      <c r="X286" s="181"/>
      <c r="Y286" s="402">
        <f>SUM(Y287:Y290)</f>
        <v>0</v>
      </c>
      <c r="Z286" s="181"/>
      <c r="AA286" s="403">
        <f>SUM(AA287:AA290)</f>
        <v>0</v>
      </c>
      <c r="AR286" s="404" t="s">
        <v>76</v>
      </c>
      <c r="AT286" s="405" t="s">
        <v>68</v>
      </c>
      <c r="AU286" s="405" t="s">
        <v>69</v>
      </c>
      <c r="AY286" s="404" t="s">
        <v>125</v>
      </c>
      <c r="BK286" s="406">
        <f>SUM(BK287:BK290)</f>
        <v>0</v>
      </c>
    </row>
    <row r="287" spans="1:65" s="162" customFormat="1" ht="22.5" customHeight="1">
      <c r="A287" s="58"/>
      <c r="B287" s="58"/>
      <c r="C287" s="522"/>
      <c r="D287" s="522"/>
      <c r="E287" s="524"/>
      <c r="F287" s="991"/>
      <c r="G287" s="991"/>
      <c r="H287" s="991"/>
      <c r="I287" s="991"/>
      <c r="J287" s="525"/>
      <c r="K287" s="531"/>
      <c r="L287" s="989"/>
      <c r="M287" s="989"/>
      <c r="N287" s="1123"/>
      <c r="O287" s="1123"/>
      <c r="P287" s="1123"/>
      <c r="Q287" s="1123"/>
      <c r="R287" s="58"/>
      <c r="S287" s="58"/>
      <c r="T287" s="483" t="s">
        <v>5</v>
      </c>
      <c r="U287" s="221" t="s">
        <v>36</v>
      </c>
      <c r="V287" s="408">
        <v>0</v>
      </c>
      <c r="W287" s="408">
        <f>V287*K317</f>
        <v>0</v>
      </c>
      <c r="X287" s="408">
        <v>0</v>
      </c>
      <c r="Y287" s="408">
        <f>X287*K317</f>
        <v>0</v>
      </c>
      <c r="Z287" s="408">
        <v>0</v>
      </c>
      <c r="AA287" s="409">
        <f>Z287*K317</f>
        <v>0</v>
      </c>
      <c r="AR287" s="448" t="s">
        <v>128</v>
      </c>
      <c r="AT287" s="448" t="s">
        <v>126</v>
      </c>
      <c r="AU287" s="448" t="s">
        <v>76</v>
      </c>
      <c r="AY287" s="448" t="s">
        <v>125</v>
      </c>
      <c r="BE287" s="484">
        <f>IF(U287="základní",N317,0)</f>
        <v>0</v>
      </c>
      <c r="BF287" s="484">
        <f>IF(U287="snížená",N317,0)</f>
        <v>0</v>
      </c>
      <c r="BG287" s="484">
        <f>IF(U287="zákl. přenesená",N317,0)</f>
        <v>0</v>
      </c>
      <c r="BH287" s="484">
        <f>IF(U287="sníž. přenesená",N317,0)</f>
        <v>0</v>
      </c>
      <c r="BI287" s="484">
        <f>IF(U287="nulová",N317,0)</f>
        <v>0</v>
      </c>
      <c r="BJ287" s="448" t="s">
        <v>80</v>
      </c>
      <c r="BK287" s="484">
        <f>ROUND(L317*K317,2)</f>
        <v>0</v>
      </c>
      <c r="BL287" s="448" t="s">
        <v>128</v>
      </c>
      <c r="BM287" s="448" t="s">
        <v>176</v>
      </c>
    </row>
    <row r="288" spans="1:47" s="162" customFormat="1" ht="42" customHeight="1">
      <c r="A288" s="58"/>
      <c r="B288" s="58"/>
      <c r="C288" s="58"/>
      <c r="D288" s="58"/>
      <c r="E288" s="58"/>
      <c r="F288" s="986"/>
      <c r="G288" s="973"/>
      <c r="H288" s="973"/>
      <c r="I288" s="973"/>
      <c r="J288" s="58"/>
      <c r="K288" s="58"/>
      <c r="L288" s="58"/>
      <c r="M288" s="58"/>
      <c r="N288" s="799"/>
      <c r="O288" s="799"/>
      <c r="P288" s="799"/>
      <c r="Q288" s="799"/>
      <c r="R288" s="58"/>
      <c r="S288" s="58"/>
      <c r="T288" s="58"/>
      <c r="U288" s="58"/>
      <c r="V288" s="58"/>
      <c r="W288" s="58"/>
      <c r="X288" s="58"/>
      <c r="Y288" s="58"/>
      <c r="Z288" s="58"/>
      <c r="AA288" s="507"/>
      <c r="AT288" s="448" t="s">
        <v>182</v>
      </c>
      <c r="AU288" s="448" t="s">
        <v>76</v>
      </c>
    </row>
    <row r="289" spans="1:65" s="162" customFormat="1" ht="31.5" customHeight="1">
      <c r="A289" s="58"/>
      <c r="B289" s="58"/>
      <c r="C289" s="522"/>
      <c r="D289" s="522"/>
      <c r="E289" s="524"/>
      <c r="F289" s="991"/>
      <c r="G289" s="991"/>
      <c r="H289" s="991"/>
      <c r="I289" s="991"/>
      <c r="J289" s="525"/>
      <c r="K289" s="531"/>
      <c r="L289" s="989"/>
      <c r="M289" s="989"/>
      <c r="N289" s="1123"/>
      <c r="O289" s="1123"/>
      <c r="P289" s="1123"/>
      <c r="Q289" s="1123"/>
      <c r="R289" s="58"/>
      <c r="S289" s="58"/>
      <c r="T289" s="483" t="s">
        <v>5</v>
      </c>
      <c r="U289" s="221" t="s">
        <v>36</v>
      </c>
      <c r="V289" s="408">
        <v>0</v>
      </c>
      <c r="W289" s="408">
        <f>V289*K319</f>
        <v>0</v>
      </c>
      <c r="X289" s="408">
        <v>0</v>
      </c>
      <c r="Y289" s="408">
        <f>X289*K319</f>
        <v>0</v>
      </c>
      <c r="Z289" s="408">
        <v>0</v>
      </c>
      <c r="AA289" s="409">
        <f>Z289*K319</f>
        <v>0</v>
      </c>
      <c r="AR289" s="448" t="s">
        <v>128</v>
      </c>
      <c r="AT289" s="448" t="s">
        <v>126</v>
      </c>
      <c r="AU289" s="448" t="s">
        <v>76</v>
      </c>
      <c r="AY289" s="448" t="s">
        <v>125</v>
      </c>
      <c r="BE289" s="484">
        <f>IF(U289="základní",N319,0)</f>
        <v>0</v>
      </c>
      <c r="BF289" s="484">
        <f>IF(U289="snížená",N319,0)</f>
        <v>0</v>
      </c>
      <c r="BG289" s="484">
        <f>IF(U289="zákl. přenesená",N319,0)</f>
        <v>0</v>
      </c>
      <c r="BH289" s="484">
        <f>IF(U289="sníž. přenesená",N319,0)</f>
        <v>0</v>
      </c>
      <c r="BI289" s="484">
        <f>IF(U289="nulová",N319,0)</f>
        <v>0</v>
      </c>
      <c r="BJ289" s="448" t="s">
        <v>80</v>
      </c>
      <c r="BK289" s="484">
        <f>ROUND(L319*K319,2)</f>
        <v>0</v>
      </c>
      <c r="BL289" s="448" t="s">
        <v>128</v>
      </c>
      <c r="BM289" s="448" t="s">
        <v>177</v>
      </c>
    </row>
    <row r="290" spans="1:47" s="162" customFormat="1" ht="30" customHeight="1">
      <c r="A290" s="58"/>
      <c r="B290" s="58"/>
      <c r="C290" s="58"/>
      <c r="D290" s="58"/>
      <c r="E290" s="58"/>
      <c r="F290" s="986"/>
      <c r="G290" s="973"/>
      <c r="H290" s="973"/>
      <c r="I290" s="973"/>
      <c r="J290" s="58"/>
      <c r="K290" s="58"/>
      <c r="L290" s="58"/>
      <c r="M290" s="58"/>
      <c r="N290" s="799"/>
      <c r="O290" s="799"/>
      <c r="P290" s="799"/>
      <c r="Q290" s="799"/>
      <c r="R290" s="58"/>
      <c r="S290" s="58"/>
      <c r="T290" s="58"/>
      <c r="U290" s="58"/>
      <c r="V290" s="58"/>
      <c r="W290" s="58"/>
      <c r="X290" s="58"/>
      <c r="Y290" s="58"/>
      <c r="Z290" s="58"/>
      <c r="AA290" s="507"/>
      <c r="AT290" s="448" t="s">
        <v>182</v>
      </c>
      <c r="AU290" s="448" t="s">
        <v>76</v>
      </c>
    </row>
    <row r="291" spans="1:63" s="398" customFormat="1" ht="37.35" customHeight="1">
      <c r="A291" s="181"/>
      <c r="B291" s="181"/>
      <c r="C291" s="181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124"/>
      <c r="O291" s="1125"/>
      <c r="P291" s="1125"/>
      <c r="Q291" s="1125"/>
      <c r="R291" s="181"/>
      <c r="S291" s="181"/>
      <c r="T291" s="181"/>
      <c r="U291" s="181"/>
      <c r="V291" s="181"/>
      <c r="W291" s="402">
        <f>SUM(W292:W299)</f>
        <v>0</v>
      </c>
      <c r="X291" s="181"/>
      <c r="Y291" s="402">
        <f>SUM(Y292:Y299)</f>
        <v>0</v>
      </c>
      <c r="Z291" s="181"/>
      <c r="AA291" s="403">
        <f>SUM(AA292:AA299)</f>
        <v>0</v>
      </c>
      <c r="AR291" s="404" t="s">
        <v>76</v>
      </c>
      <c r="AT291" s="405" t="s">
        <v>68</v>
      </c>
      <c r="AU291" s="405" t="s">
        <v>69</v>
      </c>
      <c r="AY291" s="404" t="s">
        <v>125</v>
      </c>
      <c r="BK291" s="406">
        <f>SUM(BK292:BK299)</f>
        <v>0</v>
      </c>
    </row>
    <row r="292" spans="1:65" s="162" customFormat="1" ht="31.5" customHeight="1">
      <c r="A292" s="58"/>
      <c r="B292" s="58"/>
      <c r="C292" s="522"/>
      <c r="D292" s="522"/>
      <c r="E292" s="524"/>
      <c r="F292" s="991"/>
      <c r="G292" s="991"/>
      <c r="H292" s="991"/>
      <c r="I292" s="991"/>
      <c r="J292" s="525"/>
      <c r="K292" s="531"/>
      <c r="L292" s="989"/>
      <c r="M292" s="989"/>
      <c r="N292" s="1123"/>
      <c r="O292" s="1123"/>
      <c r="P292" s="1123"/>
      <c r="Q292" s="1123"/>
      <c r="R292" s="58"/>
      <c r="S292" s="58"/>
      <c r="T292" s="483" t="s">
        <v>5</v>
      </c>
      <c r="U292" s="221" t="s">
        <v>36</v>
      </c>
      <c r="V292" s="408">
        <v>0</v>
      </c>
      <c r="W292" s="408">
        <f>V292*K322</f>
        <v>0</v>
      </c>
      <c r="X292" s="408">
        <v>0</v>
      </c>
      <c r="Y292" s="408">
        <f>X292*K322</f>
        <v>0</v>
      </c>
      <c r="Z292" s="408">
        <v>0</v>
      </c>
      <c r="AA292" s="409">
        <f>Z292*K322</f>
        <v>0</v>
      </c>
      <c r="AR292" s="448" t="s">
        <v>128</v>
      </c>
      <c r="AT292" s="448" t="s">
        <v>126</v>
      </c>
      <c r="AU292" s="448" t="s">
        <v>76</v>
      </c>
      <c r="AY292" s="448" t="s">
        <v>125</v>
      </c>
      <c r="BE292" s="484">
        <f>IF(U292="základní",N322,0)</f>
        <v>0</v>
      </c>
      <c r="BF292" s="484">
        <f>IF(U292="snížená",N322,0)</f>
        <v>0</v>
      </c>
      <c r="BG292" s="484">
        <f>IF(U292="zákl. přenesená",N322,0)</f>
        <v>0</v>
      </c>
      <c r="BH292" s="484">
        <f>IF(U292="sníž. přenesená",N322,0)</f>
        <v>0</v>
      </c>
      <c r="BI292" s="484">
        <f>IF(U292="nulová",N322,0)</f>
        <v>0</v>
      </c>
      <c r="BJ292" s="448" t="s">
        <v>80</v>
      </c>
      <c r="BK292" s="484">
        <f>ROUND(L322*K322,2)</f>
        <v>0</v>
      </c>
      <c r="BL292" s="448" t="s">
        <v>128</v>
      </c>
      <c r="BM292" s="448" t="s">
        <v>178</v>
      </c>
    </row>
    <row r="293" spans="1:47" s="162" customFormat="1" ht="66" customHeight="1">
      <c r="A293" s="58"/>
      <c r="B293" s="58"/>
      <c r="C293" s="58"/>
      <c r="D293" s="58"/>
      <c r="E293" s="58"/>
      <c r="F293" s="986"/>
      <c r="G293" s="973"/>
      <c r="H293" s="973"/>
      <c r="I293" s="973"/>
      <c r="J293" s="58"/>
      <c r="K293" s="58"/>
      <c r="L293" s="58"/>
      <c r="M293" s="58"/>
      <c r="N293" s="799"/>
      <c r="O293" s="799"/>
      <c r="P293" s="799"/>
      <c r="Q293" s="799"/>
      <c r="R293" s="58"/>
      <c r="S293" s="58"/>
      <c r="T293" s="58"/>
      <c r="U293" s="58"/>
      <c r="V293" s="58"/>
      <c r="W293" s="58"/>
      <c r="X293" s="58"/>
      <c r="Y293" s="58"/>
      <c r="Z293" s="58"/>
      <c r="AA293" s="507"/>
      <c r="AT293" s="448" t="s">
        <v>182</v>
      </c>
      <c r="AU293" s="448" t="s">
        <v>76</v>
      </c>
    </row>
    <row r="294" spans="1:65" s="162" customFormat="1" ht="31.5" customHeight="1">
      <c r="A294" s="58"/>
      <c r="B294" s="58"/>
      <c r="C294" s="522"/>
      <c r="D294" s="522"/>
      <c r="E294" s="524"/>
      <c r="F294" s="991"/>
      <c r="G294" s="991"/>
      <c r="H294" s="991"/>
      <c r="I294" s="991"/>
      <c r="J294" s="525"/>
      <c r="K294" s="531"/>
      <c r="L294" s="989"/>
      <c r="M294" s="989"/>
      <c r="N294" s="1123"/>
      <c r="O294" s="1123"/>
      <c r="P294" s="1123"/>
      <c r="Q294" s="1123"/>
      <c r="R294" s="58"/>
      <c r="S294" s="58"/>
      <c r="T294" s="483" t="s">
        <v>5</v>
      </c>
      <c r="U294" s="221" t="s">
        <v>36</v>
      </c>
      <c r="V294" s="408">
        <v>0</v>
      </c>
      <c r="W294" s="408">
        <f>V294*K324</f>
        <v>0</v>
      </c>
      <c r="X294" s="408">
        <v>0</v>
      </c>
      <c r="Y294" s="408">
        <f>X294*K324</f>
        <v>0</v>
      </c>
      <c r="Z294" s="408">
        <v>0</v>
      </c>
      <c r="AA294" s="409">
        <f>Z294*K324</f>
        <v>0</v>
      </c>
      <c r="AR294" s="448" t="s">
        <v>128</v>
      </c>
      <c r="AT294" s="448" t="s">
        <v>126</v>
      </c>
      <c r="AU294" s="448" t="s">
        <v>76</v>
      </c>
      <c r="AY294" s="448" t="s">
        <v>125</v>
      </c>
      <c r="BE294" s="484">
        <f>IF(U294="základní",N324,0)</f>
        <v>0</v>
      </c>
      <c r="BF294" s="484">
        <f>IF(U294="snížená",N324,0)</f>
        <v>0</v>
      </c>
      <c r="BG294" s="484">
        <f>IF(U294="zákl. přenesená",N324,0)</f>
        <v>0</v>
      </c>
      <c r="BH294" s="484">
        <f>IF(U294="sníž. přenesená",N324,0)</f>
        <v>0</v>
      </c>
      <c r="BI294" s="484">
        <f>IF(U294="nulová",N324,0)</f>
        <v>0</v>
      </c>
      <c r="BJ294" s="448" t="s">
        <v>80</v>
      </c>
      <c r="BK294" s="484">
        <f>ROUND(L324*K324,2)</f>
        <v>0</v>
      </c>
      <c r="BL294" s="448" t="s">
        <v>128</v>
      </c>
      <c r="BM294" s="448" t="s">
        <v>179</v>
      </c>
    </row>
    <row r="295" spans="1:47" s="162" customFormat="1" ht="42" customHeight="1">
      <c r="A295" s="58"/>
      <c r="B295" s="58"/>
      <c r="C295" s="58"/>
      <c r="D295" s="58"/>
      <c r="E295" s="58"/>
      <c r="F295" s="986"/>
      <c r="G295" s="973"/>
      <c r="H295" s="973"/>
      <c r="I295" s="973"/>
      <c r="J295" s="58"/>
      <c r="K295" s="58"/>
      <c r="L295" s="58"/>
      <c r="M295" s="58"/>
      <c r="N295" s="799"/>
      <c r="O295" s="799"/>
      <c r="P295" s="799"/>
      <c r="Q295" s="799"/>
      <c r="R295" s="58"/>
      <c r="S295" s="58"/>
      <c r="T295" s="58"/>
      <c r="U295" s="58"/>
      <c r="V295" s="58"/>
      <c r="W295" s="58"/>
      <c r="X295" s="58"/>
      <c r="Y295" s="58"/>
      <c r="Z295" s="58"/>
      <c r="AA295" s="507"/>
      <c r="AT295" s="448" t="s">
        <v>182</v>
      </c>
      <c r="AU295" s="448" t="s">
        <v>76</v>
      </c>
    </row>
    <row r="296" spans="1:65" s="162" customFormat="1" ht="31.5" customHeight="1">
      <c r="A296" s="58"/>
      <c r="B296" s="58"/>
      <c r="C296" s="522"/>
      <c r="D296" s="522"/>
      <c r="E296" s="524"/>
      <c r="F296" s="991"/>
      <c r="G296" s="991"/>
      <c r="H296" s="991"/>
      <c r="I296" s="991"/>
      <c r="J296" s="525"/>
      <c r="K296" s="531"/>
      <c r="L296" s="989"/>
      <c r="M296" s="989"/>
      <c r="N296" s="1123"/>
      <c r="O296" s="1123"/>
      <c r="P296" s="1123"/>
      <c r="Q296" s="1123"/>
      <c r="R296" s="58"/>
      <c r="S296" s="58"/>
      <c r="T296" s="483" t="s">
        <v>5</v>
      </c>
      <c r="U296" s="221" t="s">
        <v>36</v>
      </c>
      <c r="V296" s="408">
        <v>0</v>
      </c>
      <c r="W296" s="408">
        <f>V296*K326</f>
        <v>0</v>
      </c>
      <c r="X296" s="408">
        <v>0</v>
      </c>
      <c r="Y296" s="408">
        <f>X296*K326</f>
        <v>0</v>
      </c>
      <c r="Z296" s="408">
        <v>0</v>
      </c>
      <c r="AA296" s="409">
        <f>Z296*K326</f>
        <v>0</v>
      </c>
      <c r="AR296" s="448" t="s">
        <v>128</v>
      </c>
      <c r="AT296" s="448" t="s">
        <v>126</v>
      </c>
      <c r="AU296" s="448" t="s">
        <v>76</v>
      </c>
      <c r="AY296" s="448" t="s">
        <v>125</v>
      </c>
      <c r="BE296" s="484">
        <f>IF(U296="základní",N326,0)</f>
        <v>0</v>
      </c>
      <c r="BF296" s="484">
        <f>IF(U296="snížená",N326,0)</f>
        <v>0</v>
      </c>
      <c r="BG296" s="484">
        <f>IF(U296="zákl. přenesená",N326,0)</f>
        <v>0</v>
      </c>
      <c r="BH296" s="484">
        <f>IF(U296="sníž. přenesená",N326,0)</f>
        <v>0</v>
      </c>
      <c r="BI296" s="484">
        <f>IF(U296="nulová",N326,0)</f>
        <v>0</v>
      </c>
      <c r="BJ296" s="448" t="s">
        <v>80</v>
      </c>
      <c r="BK296" s="484">
        <f>ROUND(L326*K326,2)</f>
        <v>0</v>
      </c>
      <c r="BL296" s="448" t="s">
        <v>128</v>
      </c>
      <c r="BM296" s="448" t="s">
        <v>180</v>
      </c>
    </row>
    <row r="297" spans="1:47" s="162" customFormat="1" ht="42" customHeight="1">
      <c r="A297" s="58"/>
      <c r="B297" s="58"/>
      <c r="C297" s="58"/>
      <c r="D297" s="58"/>
      <c r="E297" s="58"/>
      <c r="F297" s="986"/>
      <c r="G297" s="973"/>
      <c r="H297" s="973"/>
      <c r="I297" s="973"/>
      <c r="J297" s="58"/>
      <c r="K297" s="58"/>
      <c r="L297" s="58"/>
      <c r="M297" s="58"/>
      <c r="N297" s="799"/>
      <c r="O297" s="799"/>
      <c r="P297" s="799"/>
      <c r="Q297" s="799"/>
      <c r="R297" s="58"/>
      <c r="S297" s="58"/>
      <c r="T297" s="58"/>
      <c r="U297" s="58"/>
      <c r="V297" s="58"/>
      <c r="W297" s="58"/>
      <c r="X297" s="58"/>
      <c r="Y297" s="58"/>
      <c r="Z297" s="58"/>
      <c r="AA297" s="507"/>
      <c r="AT297" s="448" t="s">
        <v>182</v>
      </c>
      <c r="AU297" s="448" t="s">
        <v>76</v>
      </c>
    </row>
    <row r="298" spans="1:65" s="162" customFormat="1" ht="31.5" customHeight="1">
      <c r="A298" s="58"/>
      <c r="B298" s="58"/>
      <c r="C298" s="522"/>
      <c r="D298" s="522"/>
      <c r="E298" s="524"/>
      <c r="F298" s="991"/>
      <c r="G298" s="991"/>
      <c r="H298" s="991"/>
      <c r="I298" s="991"/>
      <c r="J298" s="525"/>
      <c r="K298" s="531"/>
      <c r="L298" s="989"/>
      <c r="M298" s="989"/>
      <c r="N298" s="1123"/>
      <c r="O298" s="1123"/>
      <c r="P298" s="1123"/>
      <c r="Q298" s="1123"/>
      <c r="R298" s="58"/>
      <c r="S298" s="58"/>
      <c r="T298" s="483" t="s">
        <v>5</v>
      </c>
      <c r="U298" s="221" t="s">
        <v>36</v>
      </c>
      <c r="V298" s="408">
        <v>0</v>
      </c>
      <c r="W298" s="408">
        <f>V298*K328</f>
        <v>0</v>
      </c>
      <c r="X298" s="408">
        <v>0</v>
      </c>
      <c r="Y298" s="408">
        <f>X298*K328</f>
        <v>0</v>
      </c>
      <c r="Z298" s="408">
        <v>0</v>
      </c>
      <c r="AA298" s="409">
        <f>Z298*K328</f>
        <v>0</v>
      </c>
      <c r="AR298" s="448" t="s">
        <v>128</v>
      </c>
      <c r="AT298" s="448" t="s">
        <v>126</v>
      </c>
      <c r="AU298" s="448" t="s">
        <v>76</v>
      </c>
      <c r="AY298" s="448" t="s">
        <v>125</v>
      </c>
      <c r="BE298" s="484">
        <f>IF(U298="základní",N328,0)</f>
        <v>0</v>
      </c>
      <c r="BF298" s="484">
        <f>IF(U298="snížená",N328,0)</f>
        <v>0</v>
      </c>
      <c r="BG298" s="484">
        <f>IF(U298="zákl. přenesená",N328,0)</f>
        <v>0</v>
      </c>
      <c r="BH298" s="484">
        <f>IF(U298="sníž. přenesená",N328,0)</f>
        <v>0</v>
      </c>
      <c r="BI298" s="484">
        <f>IF(U298="nulová",N328,0)</f>
        <v>0</v>
      </c>
      <c r="BJ298" s="448" t="s">
        <v>80</v>
      </c>
      <c r="BK298" s="484">
        <f>ROUND(L328*K328,2)</f>
        <v>0</v>
      </c>
      <c r="BL298" s="448" t="s">
        <v>128</v>
      </c>
      <c r="BM298" s="448" t="s">
        <v>181</v>
      </c>
    </row>
    <row r="299" spans="1:47" s="162" customFormat="1" ht="42" customHeight="1">
      <c r="A299" s="58"/>
      <c r="B299" s="58"/>
      <c r="C299" s="58"/>
      <c r="D299" s="58"/>
      <c r="E299" s="58"/>
      <c r="F299" s="986"/>
      <c r="G299" s="973"/>
      <c r="H299" s="973"/>
      <c r="I299" s="973"/>
      <c r="J299" s="58"/>
      <c r="K299" s="58"/>
      <c r="L299" s="58"/>
      <c r="M299" s="58"/>
      <c r="N299" s="799"/>
      <c r="O299" s="799"/>
      <c r="P299" s="799"/>
      <c r="Q299" s="799"/>
      <c r="R299" s="58"/>
      <c r="S299" s="58"/>
      <c r="T299" s="58"/>
      <c r="U299" s="58"/>
      <c r="V299" s="58"/>
      <c r="W299" s="58"/>
      <c r="X299" s="58"/>
      <c r="Y299" s="58"/>
      <c r="Z299" s="58"/>
      <c r="AA299" s="507"/>
      <c r="AT299" s="448" t="s">
        <v>182</v>
      </c>
      <c r="AU299" s="448" t="s">
        <v>76</v>
      </c>
    </row>
    <row r="300" spans="1:63" s="398" customFormat="1" ht="37.35" customHeight="1">
      <c r="A300" s="181"/>
      <c r="B300" s="181"/>
      <c r="C300" s="522"/>
      <c r="D300" s="522"/>
      <c r="E300" s="524"/>
      <c r="F300" s="991"/>
      <c r="G300" s="991"/>
      <c r="H300" s="991"/>
      <c r="I300" s="991"/>
      <c r="J300" s="525"/>
      <c r="K300" s="531"/>
      <c r="L300" s="989"/>
      <c r="M300" s="989"/>
      <c r="N300" s="1123"/>
      <c r="O300" s="1123"/>
      <c r="P300" s="1123"/>
      <c r="Q300" s="1123"/>
      <c r="R300" s="181"/>
      <c r="S300" s="181"/>
      <c r="T300" s="181"/>
      <c r="U300" s="181"/>
      <c r="V300" s="181"/>
      <c r="W300" s="402">
        <f>SUM(W301:W307)</f>
        <v>0</v>
      </c>
      <c r="X300" s="181"/>
      <c r="Y300" s="402">
        <f>SUM(Y301:Y307)</f>
        <v>0</v>
      </c>
      <c r="Z300" s="181"/>
      <c r="AA300" s="403">
        <f>SUM(AA301:AA307)</f>
        <v>0</v>
      </c>
      <c r="AR300" s="404" t="s">
        <v>76</v>
      </c>
      <c r="AT300" s="405" t="s">
        <v>68</v>
      </c>
      <c r="AU300" s="405" t="s">
        <v>69</v>
      </c>
      <c r="AY300" s="404" t="s">
        <v>125</v>
      </c>
      <c r="BK300" s="406">
        <f>SUM(BK301:BK307)</f>
        <v>0</v>
      </c>
    </row>
    <row r="301" spans="1:65" s="162" customFormat="1" ht="31.5" customHeight="1">
      <c r="A301" s="58"/>
      <c r="B301" s="58"/>
      <c r="C301" s="58"/>
      <c r="D301" s="58"/>
      <c r="E301" s="58"/>
      <c r="F301" s="986"/>
      <c r="G301" s="973"/>
      <c r="H301" s="973"/>
      <c r="I301" s="973"/>
      <c r="J301" s="58"/>
      <c r="K301" s="58"/>
      <c r="L301" s="58"/>
      <c r="M301" s="58"/>
      <c r="N301" s="799"/>
      <c r="O301" s="799"/>
      <c r="P301" s="799"/>
      <c r="Q301" s="799"/>
      <c r="R301" s="58"/>
      <c r="S301" s="58"/>
      <c r="T301" s="483" t="s">
        <v>5</v>
      </c>
      <c r="U301" s="221" t="s">
        <v>36</v>
      </c>
      <c r="V301" s="408">
        <v>0</v>
      </c>
      <c r="W301" s="408">
        <f aca="true" t="shared" si="12" ref="W301:W307">V301*K331</f>
        <v>0</v>
      </c>
      <c r="X301" s="408">
        <v>0</v>
      </c>
      <c r="Y301" s="408">
        <f aca="true" t="shared" si="13" ref="Y301:Y307">X301*K331</f>
        <v>0</v>
      </c>
      <c r="Z301" s="408">
        <v>0</v>
      </c>
      <c r="AA301" s="409">
        <f aca="true" t="shared" si="14" ref="AA301:AA307">Z301*K331</f>
        <v>0</v>
      </c>
      <c r="AR301" s="448" t="s">
        <v>128</v>
      </c>
      <c r="AT301" s="448" t="s">
        <v>126</v>
      </c>
      <c r="AU301" s="448" t="s">
        <v>76</v>
      </c>
      <c r="AY301" s="448" t="s">
        <v>125</v>
      </c>
      <c r="BE301" s="484">
        <f aca="true" t="shared" si="15" ref="BE301:BE307">IF(U301="základní",N331,0)</f>
        <v>0</v>
      </c>
      <c r="BF301" s="484">
        <f aca="true" t="shared" si="16" ref="BF301:BF307">IF(U301="snížená",N331,0)</f>
        <v>0</v>
      </c>
      <c r="BG301" s="484">
        <f aca="true" t="shared" si="17" ref="BG301:BG307">IF(U301="zákl. přenesená",N331,0)</f>
        <v>0</v>
      </c>
      <c r="BH301" s="484">
        <f aca="true" t="shared" si="18" ref="BH301:BH307">IF(U301="sníž. přenesená",N331,0)</f>
        <v>0</v>
      </c>
      <c r="BI301" s="484">
        <f aca="true" t="shared" si="19" ref="BI301:BI307">IF(U301="nulová",N331,0)</f>
        <v>0</v>
      </c>
      <c r="BJ301" s="448" t="s">
        <v>80</v>
      </c>
      <c r="BK301" s="484">
        <f aca="true" t="shared" si="20" ref="BK301:BK307">ROUND(L331*K331,2)</f>
        <v>0</v>
      </c>
      <c r="BL301" s="448" t="s">
        <v>128</v>
      </c>
      <c r="BM301" s="448" t="s">
        <v>183</v>
      </c>
    </row>
    <row r="302" spans="1:65" s="162" customFormat="1" ht="31.5" customHeight="1">
      <c r="A302" s="58"/>
      <c r="B302" s="58"/>
      <c r="C302" s="522"/>
      <c r="D302" s="522"/>
      <c r="E302" s="524"/>
      <c r="F302" s="991"/>
      <c r="G302" s="991"/>
      <c r="H302" s="991"/>
      <c r="I302" s="991"/>
      <c r="J302" s="525"/>
      <c r="K302" s="531"/>
      <c r="L302" s="989"/>
      <c r="M302" s="989"/>
      <c r="N302" s="1123"/>
      <c r="O302" s="1123"/>
      <c r="P302" s="1123"/>
      <c r="Q302" s="1123"/>
      <c r="R302" s="58"/>
      <c r="S302" s="58"/>
      <c r="T302" s="483" t="s">
        <v>5</v>
      </c>
      <c r="U302" s="221" t="s">
        <v>36</v>
      </c>
      <c r="V302" s="408">
        <v>0</v>
      </c>
      <c r="W302" s="408">
        <f t="shared" si="12"/>
        <v>0</v>
      </c>
      <c r="X302" s="408">
        <v>0</v>
      </c>
      <c r="Y302" s="408">
        <f t="shared" si="13"/>
        <v>0</v>
      </c>
      <c r="Z302" s="408">
        <v>0</v>
      </c>
      <c r="AA302" s="409">
        <f t="shared" si="14"/>
        <v>0</v>
      </c>
      <c r="AR302" s="448" t="s">
        <v>128</v>
      </c>
      <c r="AT302" s="448" t="s">
        <v>126</v>
      </c>
      <c r="AU302" s="448" t="s">
        <v>76</v>
      </c>
      <c r="AY302" s="448" t="s">
        <v>125</v>
      </c>
      <c r="BE302" s="484">
        <f t="shared" si="15"/>
        <v>0</v>
      </c>
      <c r="BF302" s="484">
        <f t="shared" si="16"/>
        <v>0</v>
      </c>
      <c r="BG302" s="484">
        <f t="shared" si="17"/>
        <v>0</v>
      </c>
      <c r="BH302" s="484">
        <f t="shared" si="18"/>
        <v>0</v>
      </c>
      <c r="BI302" s="484">
        <f t="shared" si="19"/>
        <v>0</v>
      </c>
      <c r="BJ302" s="448" t="s">
        <v>80</v>
      </c>
      <c r="BK302" s="484">
        <f t="shared" si="20"/>
        <v>0</v>
      </c>
      <c r="BL302" s="448" t="s">
        <v>128</v>
      </c>
      <c r="BM302" s="448" t="s">
        <v>184</v>
      </c>
    </row>
    <row r="303" spans="1:65" s="162" customFormat="1" ht="31.5" customHeight="1">
      <c r="A303" s="58"/>
      <c r="B303" s="58"/>
      <c r="C303" s="58"/>
      <c r="D303" s="58"/>
      <c r="E303" s="58"/>
      <c r="F303" s="986"/>
      <c r="G303" s="973"/>
      <c r="H303" s="973"/>
      <c r="I303" s="973"/>
      <c r="J303" s="58"/>
      <c r="K303" s="58"/>
      <c r="L303" s="58"/>
      <c r="M303" s="58"/>
      <c r="N303" s="799"/>
      <c r="O303" s="799"/>
      <c r="P303" s="799"/>
      <c r="Q303" s="799"/>
      <c r="R303" s="58"/>
      <c r="S303" s="58"/>
      <c r="T303" s="483" t="s">
        <v>5</v>
      </c>
      <c r="U303" s="221" t="s">
        <v>36</v>
      </c>
      <c r="V303" s="408">
        <v>0</v>
      </c>
      <c r="W303" s="408">
        <f t="shared" si="12"/>
        <v>0</v>
      </c>
      <c r="X303" s="408">
        <v>0</v>
      </c>
      <c r="Y303" s="408">
        <f t="shared" si="13"/>
        <v>0</v>
      </c>
      <c r="Z303" s="408">
        <v>0</v>
      </c>
      <c r="AA303" s="409">
        <f t="shared" si="14"/>
        <v>0</v>
      </c>
      <c r="AR303" s="448" t="s">
        <v>128</v>
      </c>
      <c r="AT303" s="448" t="s">
        <v>126</v>
      </c>
      <c r="AU303" s="448" t="s">
        <v>76</v>
      </c>
      <c r="AY303" s="448" t="s">
        <v>125</v>
      </c>
      <c r="BE303" s="484">
        <f t="shared" si="15"/>
        <v>0</v>
      </c>
      <c r="BF303" s="484">
        <f t="shared" si="16"/>
        <v>0</v>
      </c>
      <c r="BG303" s="484">
        <f t="shared" si="17"/>
        <v>0</v>
      </c>
      <c r="BH303" s="484">
        <f t="shared" si="18"/>
        <v>0</v>
      </c>
      <c r="BI303" s="484">
        <f t="shared" si="19"/>
        <v>0</v>
      </c>
      <c r="BJ303" s="448" t="s">
        <v>80</v>
      </c>
      <c r="BK303" s="484">
        <f t="shared" si="20"/>
        <v>0</v>
      </c>
      <c r="BL303" s="448" t="s">
        <v>128</v>
      </c>
      <c r="BM303" s="448" t="s">
        <v>185</v>
      </c>
    </row>
    <row r="304" spans="1:65" s="162" customFormat="1" ht="31.5" customHeight="1">
      <c r="A304" s="58"/>
      <c r="B304" s="58"/>
      <c r="C304" s="522"/>
      <c r="D304" s="522"/>
      <c r="E304" s="524"/>
      <c r="F304" s="991"/>
      <c r="G304" s="991"/>
      <c r="H304" s="991"/>
      <c r="I304" s="991"/>
      <c r="J304" s="525"/>
      <c r="K304" s="531"/>
      <c r="L304" s="989"/>
      <c r="M304" s="989"/>
      <c r="N304" s="989"/>
      <c r="O304" s="989"/>
      <c r="P304" s="989"/>
      <c r="Q304" s="989"/>
      <c r="R304" s="58"/>
      <c r="S304" s="58"/>
      <c r="T304" s="483" t="s">
        <v>5</v>
      </c>
      <c r="U304" s="221" t="s">
        <v>36</v>
      </c>
      <c r="V304" s="408">
        <v>0</v>
      </c>
      <c r="W304" s="408">
        <f t="shared" si="12"/>
        <v>0</v>
      </c>
      <c r="X304" s="408">
        <v>0</v>
      </c>
      <c r="Y304" s="408">
        <f t="shared" si="13"/>
        <v>0</v>
      </c>
      <c r="Z304" s="408">
        <v>0</v>
      </c>
      <c r="AA304" s="409">
        <f t="shared" si="14"/>
        <v>0</v>
      </c>
      <c r="AR304" s="448" t="s">
        <v>128</v>
      </c>
      <c r="AT304" s="448" t="s">
        <v>126</v>
      </c>
      <c r="AU304" s="448" t="s">
        <v>76</v>
      </c>
      <c r="AY304" s="448" t="s">
        <v>125</v>
      </c>
      <c r="BE304" s="484">
        <f t="shared" si="15"/>
        <v>0</v>
      </c>
      <c r="BF304" s="484">
        <f t="shared" si="16"/>
        <v>0</v>
      </c>
      <c r="BG304" s="484">
        <f t="shared" si="17"/>
        <v>0</v>
      </c>
      <c r="BH304" s="484">
        <f t="shared" si="18"/>
        <v>0</v>
      </c>
      <c r="BI304" s="484">
        <f t="shared" si="19"/>
        <v>0</v>
      </c>
      <c r="BJ304" s="448" t="s">
        <v>80</v>
      </c>
      <c r="BK304" s="484">
        <f t="shared" si="20"/>
        <v>0</v>
      </c>
      <c r="BL304" s="448" t="s">
        <v>128</v>
      </c>
      <c r="BM304" s="448" t="s">
        <v>186</v>
      </c>
    </row>
    <row r="305" spans="1:65" s="162" customFormat="1" ht="31.5" customHeight="1">
      <c r="A305" s="58"/>
      <c r="B305" s="58"/>
      <c r="C305" s="58"/>
      <c r="D305" s="58"/>
      <c r="E305" s="58"/>
      <c r="F305" s="986"/>
      <c r="G305" s="973"/>
      <c r="H305" s="973"/>
      <c r="I305" s="973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483" t="s">
        <v>5</v>
      </c>
      <c r="U305" s="221" t="s">
        <v>36</v>
      </c>
      <c r="V305" s="408">
        <v>0</v>
      </c>
      <c r="W305" s="408">
        <f t="shared" si="12"/>
        <v>0</v>
      </c>
      <c r="X305" s="408">
        <v>0</v>
      </c>
      <c r="Y305" s="408">
        <f t="shared" si="13"/>
        <v>0</v>
      </c>
      <c r="Z305" s="408">
        <v>0</v>
      </c>
      <c r="AA305" s="409">
        <f t="shared" si="14"/>
        <v>0</v>
      </c>
      <c r="AR305" s="448" t="s">
        <v>128</v>
      </c>
      <c r="AT305" s="448" t="s">
        <v>126</v>
      </c>
      <c r="AU305" s="448" t="s">
        <v>76</v>
      </c>
      <c r="AY305" s="448" t="s">
        <v>125</v>
      </c>
      <c r="BE305" s="484">
        <f t="shared" si="15"/>
        <v>0</v>
      </c>
      <c r="BF305" s="484">
        <f t="shared" si="16"/>
        <v>0</v>
      </c>
      <c r="BG305" s="484">
        <f t="shared" si="17"/>
        <v>0</v>
      </c>
      <c r="BH305" s="484">
        <f t="shared" si="18"/>
        <v>0</v>
      </c>
      <c r="BI305" s="484">
        <f t="shared" si="19"/>
        <v>0</v>
      </c>
      <c r="BJ305" s="448" t="s">
        <v>80</v>
      </c>
      <c r="BK305" s="484">
        <f t="shared" si="20"/>
        <v>0</v>
      </c>
      <c r="BL305" s="448" t="s">
        <v>128</v>
      </c>
      <c r="BM305" s="448" t="s">
        <v>187</v>
      </c>
    </row>
    <row r="306" spans="1:65" s="162" customFormat="1" ht="31.5" customHeight="1">
      <c r="A306" s="58"/>
      <c r="B306" s="58"/>
      <c r="C306" s="522"/>
      <c r="D306" s="522"/>
      <c r="E306" s="524"/>
      <c r="F306" s="991"/>
      <c r="G306" s="991"/>
      <c r="H306" s="991"/>
      <c r="I306" s="991"/>
      <c r="J306" s="525"/>
      <c r="K306" s="531"/>
      <c r="L306" s="989"/>
      <c r="M306" s="989"/>
      <c r="N306" s="989"/>
      <c r="O306" s="989"/>
      <c r="P306" s="989"/>
      <c r="Q306" s="989"/>
      <c r="R306" s="58"/>
      <c r="S306" s="58"/>
      <c r="T306" s="483" t="s">
        <v>5</v>
      </c>
      <c r="U306" s="221" t="s">
        <v>36</v>
      </c>
      <c r="V306" s="408">
        <v>0</v>
      </c>
      <c r="W306" s="408">
        <f t="shared" si="12"/>
        <v>0</v>
      </c>
      <c r="X306" s="408">
        <v>0</v>
      </c>
      <c r="Y306" s="408">
        <f t="shared" si="13"/>
        <v>0</v>
      </c>
      <c r="Z306" s="408">
        <v>0</v>
      </c>
      <c r="AA306" s="409">
        <f t="shared" si="14"/>
        <v>0</v>
      </c>
      <c r="AR306" s="448" t="s">
        <v>128</v>
      </c>
      <c r="AT306" s="448" t="s">
        <v>126</v>
      </c>
      <c r="AU306" s="448" t="s">
        <v>76</v>
      </c>
      <c r="AY306" s="448" t="s">
        <v>125</v>
      </c>
      <c r="BE306" s="484">
        <f t="shared" si="15"/>
        <v>0</v>
      </c>
      <c r="BF306" s="484">
        <f t="shared" si="16"/>
        <v>0</v>
      </c>
      <c r="BG306" s="484">
        <f t="shared" si="17"/>
        <v>0</v>
      </c>
      <c r="BH306" s="484">
        <f t="shared" si="18"/>
        <v>0</v>
      </c>
      <c r="BI306" s="484">
        <f t="shared" si="19"/>
        <v>0</v>
      </c>
      <c r="BJ306" s="448" t="s">
        <v>80</v>
      </c>
      <c r="BK306" s="484">
        <f t="shared" si="20"/>
        <v>0</v>
      </c>
      <c r="BL306" s="448" t="s">
        <v>128</v>
      </c>
      <c r="BM306" s="448" t="s">
        <v>188</v>
      </c>
    </row>
    <row r="307" spans="1:65" s="162" customFormat="1" ht="44.25" customHeight="1">
      <c r="A307" s="58"/>
      <c r="B307" s="58"/>
      <c r="C307" s="58"/>
      <c r="D307" s="58"/>
      <c r="E307" s="58"/>
      <c r="F307" s="986"/>
      <c r="G307" s="973"/>
      <c r="H307" s="973"/>
      <c r="I307" s="973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483" t="s">
        <v>5</v>
      </c>
      <c r="U307" s="526" t="s">
        <v>36</v>
      </c>
      <c r="V307" s="527">
        <v>0</v>
      </c>
      <c r="W307" s="527">
        <f t="shared" si="12"/>
        <v>0</v>
      </c>
      <c r="X307" s="527">
        <v>0</v>
      </c>
      <c r="Y307" s="527">
        <f t="shared" si="13"/>
        <v>0</v>
      </c>
      <c r="Z307" s="527">
        <v>0</v>
      </c>
      <c r="AA307" s="528">
        <f t="shared" si="14"/>
        <v>0</v>
      </c>
      <c r="AR307" s="448" t="s">
        <v>128</v>
      </c>
      <c r="AT307" s="448" t="s">
        <v>126</v>
      </c>
      <c r="AU307" s="448" t="s">
        <v>76</v>
      </c>
      <c r="AY307" s="448" t="s">
        <v>125</v>
      </c>
      <c r="BE307" s="484">
        <f t="shared" si="15"/>
        <v>0</v>
      </c>
      <c r="BF307" s="484">
        <f t="shared" si="16"/>
        <v>0</v>
      </c>
      <c r="BG307" s="484">
        <f t="shared" si="17"/>
        <v>0</v>
      </c>
      <c r="BH307" s="484">
        <f t="shared" si="18"/>
        <v>0</v>
      </c>
      <c r="BI307" s="484">
        <f t="shared" si="19"/>
        <v>0</v>
      </c>
      <c r="BJ307" s="448" t="s">
        <v>80</v>
      </c>
      <c r="BK307" s="484">
        <f t="shared" si="20"/>
        <v>0</v>
      </c>
      <c r="BL307" s="448" t="s">
        <v>128</v>
      </c>
      <c r="BM307" s="448" t="s">
        <v>189</v>
      </c>
    </row>
    <row r="308" spans="1:19" s="162" customFormat="1" ht="6.95" customHeight="1">
      <c r="A308" s="58"/>
      <c r="B308" s="58"/>
      <c r="C308" s="522"/>
      <c r="D308" s="522"/>
      <c r="E308" s="524"/>
      <c r="F308" s="991"/>
      <c r="G308" s="991"/>
      <c r="H308" s="991"/>
      <c r="I308" s="991"/>
      <c r="J308" s="525"/>
      <c r="K308" s="531"/>
      <c r="L308" s="989"/>
      <c r="M308" s="989"/>
      <c r="N308" s="989"/>
      <c r="O308" s="989"/>
      <c r="P308" s="989"/>
      <c r="Q308" s="989"/>
      <c r="R308" s="58"/>
      <c r="S308" s="58"/>
    </row>
    <row r="309" spans="1:19" ht="13.5">
      <c r="A309" s="157"/>
      <c r="B309" s="157"/>
      <c r="C309" s="58"/>
      <c r="D309" s="58"/>
      <c r="E309" s="58"/>
      <c r="F309" s="986"/>
      <c r="G309" s="973"/>
      <c r="H309" s="973"/>
      <c r="I309" s="973"/>
      <c r="J309" s="58"/>
      <c r="K309" s="58"/>
      <c r="L309" s="58"/>
      <c r="M309" s="58"/>
      <c r="N309" s="58"/>
      <c r="O309" s="58"/>
      <c r="P309" s="58"/>
      <c r="Q309" s="58"/>
      <c r="R309" s="157"/>
      <c r="S309" s="157"/>
    </row>
    <row r="310" spans="1:19" ht="13.5">
      <c r="A310" s="157"/>
      <c r="B310" s="157"/>
      <c r="C310" s="522"/>
      <c r="D310" s="522"/>
      <c r="E310" s="524"/>
      <c r="F310" s="991"/>
      <c r="G310" s="991"/>
      <c r="H310" s="991"/>
      <c r="I310" s="991"/>
      <c r="J310" s="525"/>
      <c r="K310" s="531"/>
      <c r="L310" s="989"/>
      <c r="M310" s="989"/>
      <c r="N310" s="989"/>
      <c r="O310" s="989"/>
      <c r="P310" s="989"/>
      <c r="Q310" s="989"/>
      <c r="R310" s="157"/>
      <c r="S310" s="157"/>
    </row>
    <row r="311" spans="1:19" ht="13.5">
      <c r="A311" s="157"/>
      <c r="B311" s="157"/>
      <c r="C311" s="58"/>
      <c r="D311" s="58"/>
      <c r="E311" s="58"/>
      <c r="F311" s="986"/>
      <c r="G311" s="973"/>
      <c r="H311" s="973"/>
      <c r="I311" s="973"/>
      <c r="J311" s="58"/>
      <c r="K311" s="58"/>
      <c r="L311" s="58"/>
      <c r="M311" s="58"/>
      <c r="N311" s="58"/>
      <c r="O311" s="58"/>
      <c r="P311" s="58"/>
      <c r="Q311" s="58"/>
      <c r="R311" s="157"/>
      <c r="S311" s="157"/>
    </row>
    <row r="312" spans="1:19" ht="13.5">
      <c r="A312" s="157"/>
      <c r="B312" s="157"/>
      <c r="C312" s="522"/>
      <c r="D312" s="522"/>
      <c r="E312" s="524"/>
      <c r="F312" s="991"/>
      <c r="G312" s="991"/>
      <c r="H312" s="991"/>
      <c r="I312" s="991"/>
      <c r="J312" s="525"/>
      <c r="K312" s="531"/>
      <c r="L312" s="989"/>
      <c r="M312" s="989"/>
      <c r="N312" s="989"/>
      <c r="O312" s="989"/>
      <c r="P312" s="989"/>
      <c r="Q312" s="989"/>
      <c r="R312" s="157"/>
      <c r="S312" s="157"/>
    </row>
    <row r="313" spans="1:19" ht="13.5">
      <c r="A313" s="157"/>
      <c r="B313" s="157"/>
      <c r="C313" s="58"/>
      <c r="D313" s="58"/>
      <c r="E313" s="58"/>
      <c r="F313" s="986"/>
      <c r="G313" s="973"/>
      <c r="H313" s="973"/>
      <c r="I313" s="973"/>
      <c r="J313" s="58"/>
      <c r="K313" s="58"/>
      <c r="L313" s="58"/>
      <c r="M313" s="58"/>
      <c r="N313" s="58"/>
      <c r="O313" s="58"/>
      <c r="P313" s="58"/>
      <c r="Q313" s="58"/>
      <c r="R313" s="157"/>
      <c r="S313" s="157"/>
    </row>
    <row r="314" spans="1:19" ht="13.5">
      <c r="A314" s="157"/>
      <c r="B314" s="157"/>
      <c r="C314" s="522"/>
      <c r="D314" s="522"/>
      <c r="E314" s="524"/>
      <c r="F314" s="991"/>
      <c r="G314" s="991"/>
      <c r="H314" s="991"/>
      <c r="I314" s="991"/>
      <c r="J314" s="525"/>
      <c r="K314" s="531"/>
      <c r="L314" s="989"/>
      <c r="M314" s="989"/>
      <c r="N314" s="989"/>
      <c r="O314" s="989"/>
      <c r="P314" s="989"/>
      <c r="Q314" s="989"/>
      <c r="R314" s="157"/>
      <c r="S314" s="157"/>
    </row>
    <row r="315" spans="1:19" ht="13.5">
      <c r="A315" s="157"/>
      <c r="B315" s="157"/>
      <c r="C315" s="58"/>
      <c r="D315" s="58"/>
      <c r="E315" s="58"/>
      <c r="F315" s="986"/>
      <c r="G315" s="973"/>
      <c r="H315" s="973"/>
      <c r="I315" s="973"/>
      <c r="J315" s="58"/>
      <c r="K315" s="58"/>
      <c r="L315" s="58"/>
      <c r="M315" s="58"/>
      <c r="N315" s="58"/>
      <c r="O315" s="58"/>
      <c r="P315" s="58"/>
      <c r="Q315" s="58"/>
      <c r="R315" s="157"/>
      <c r="S315" s="157"/>
    </row>
    <row r="316" spans="1:19" ht="18">
      <c r="A316" s="157"/>
      <c r="B316" s="157"/>
      <c r="C316" s="181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971"/>
      <c r="O316" s="926"/>
      <c r="P316" s="926"/>
      <c r="Q316" s="926"/>
      <c r="R316" s="157"/>
      <c r="S316" s="157"/>
    </row>
    <row r="317" spans="1:19" ht="13.5">
      <c r="A317" s="157"/>
      <c r="B317" s="157"/>
      <c r="C317" s="522"/>
      <c r="D317" s="522"/>
      <c r="E317" s="524"/>
      <c r="F317" s="991"/>
      <c r="G317" s="991"/>
      <c r="H317" s="991"/>
      <c r="I317" s="991"/>
      <c r="J317" s="525"/>
      <c r="K317" s="531"/>
      <c r="L317" s="989"/>
      <c r="M317" s="989"/>
      <c r="N317" s="989"/>
      <c r="O317" s="989"/>
      <c r="P317" s="989"/>
      <c r="Q317" s="989"/>
      <c r="R317" s="157"/>
      <c r="S317" s="157"/>
    </row>
    <row r="318" spans="1:19" ht="13.5">
      <c r="A318" s="157"/>
      <c r="B318" s="157"/>
      <c r="C318" s="58"/>
      <c r="D318" s="58"/>
      <c r="E318" s="58"/>
      <c r="F318" s="986"/>
      <c r="G318" s="973"/>
      <c r="H318" s="973"/>
      <c r="I318" s="973"/>
      <c r="J318" s="58"/>
      <c r="K318" s="58"/>
      <c r="L318" s="58"/>
      <c r="M318" s="58"/>
      <c r="N318" s="58"/>
      <c r="O318" s="58"/>
      <c r="P318" s="58"/>
      <c r="Q318" s="58"/>
      <c r="R318" s="157"/>
      <c r="S318" s="157"/>
    </row>
    <row r="319" spans="1:19" ht="13.5">
      <c r="A319" s="157"/>
      <c r="B319" s="157"/>
      <c r="C319" s="522"/>
      <c r="D319" s="522"/>
      <c r="E319" s="524"/>
      <c r="F319" s="991"/>
      <c r="G319" s="991"/>
      <c r="H319" s="991"/>
      <c r="I319" s="991"/>
      <c r="J319" s="525"/>
      <c r="K319" s="531"/>
      <c r="L319" s="989"/>
      <c r="M319" s="989"/>
      <c r="N319" s="989"/>
      <c r="O319" s="989"/>
      <c r="P319" s="989"/>
      <c r="Q319" s="989"/>
      <c r="R319" s="157"/>
      <c r="S319" s="157"/>
    </row>
    <row r="320" spans="1:19" ht="13.5">
      <c r="A320" s="157"/>
      <c r="B320" s="157"/>
      <c r="C320" s="58"/>
      <c r="D320" s="58"/>
      <c r="E320" s="58"/>
      <c r="F320" s="986"/>
      <c r="G320" s="973"/>
      <c r="H320" s="973"/>
      <c r="I320" s="973"/>
      <c r="J320" s="58"/>
      <c r="K320" s="58"/>
      <c r="L320" s="58"/>
      <c r="M320" s="58"/>
      <c r="N320" s="58"/>
      <c r="O320" s="58"/>
      <c r="P320" s="58"/>
      <c r="Q320" s="58"/>
      <c r="R320" s="157"/>
      <c r="S320" s="157"/>
    </row>
    <row r="321" spans="1:19" ht="18">
      <c r="A321" s="157"/>
      <c r="B321" s="157"/>
      <c r="C321" s="181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971"/>
      <c r="O321" s="926"/>
      <c r="P321" s="926"/>
      <c r="Q321" s="926"/>
      <c r="R321" s="157"/>
      <c r="S321" s="157"/>
    </row>
    <row r="322" spans="1:19" ht="13.5">
      <c r="A322" s="157"/>
      <c r="B322" s="157"/>
      <c r="C322" s="522"/>
      <c r="D322" s="522"/>
      <c r="E322" s="524"/>
      <c r="F322" s="991"/>
      <c r="G322" s="991"/>
      <c r="H322" s="991"/>
      <c r="I322" s="991"/>
      <c r="J322" s="525"/>
      <c r="K322" s="531"/>
      <c r="L322" s="989"/>
      <c r="M322" s="989"/>
      <c r="N322" s="989"/>
      <c r="O322" s="989"/>
      <c r="P322" s="989"/>
      <c r="Q322" s="989"/>
      <c r="R322" s="157"/>
      <c r="S322" s="157"/>
    </row>
    <row r="323" spans="1:19" ht="13.5">
      <c r="A323" s="157"/>
      <c r="B323" s="157"/>
      <c r="C323" s="58"/>
      <c r="D323" s="58"/>
      <c r="E323" s="58"/>
      <c r="F323" s="986"/>
      <c r="G323" s="973"/>
      <c r="H323" s="973"/>
      <c r="I323" s="973"/>
      <c r="J323" s="58"/>
      <c r="K323" s="58"/>
      <c r="L323" s="58"/>
      <c r="M323" s="58"/>
      <c r="N323" s="58"/>
      <c r="O323" s="58"/>
      <c r="P323" s="58"/>
      <c r="Q323" s="58"/>
      <c r="R323" s="157"/>
      <c r="S323" s="157"/>
    </row>
    <row r="324" spans="1:19" ht="13.5">
      <c r="A324" s="157"/>
      <c r="B324" s="157"/>
      <c r="C324" s="522"/>
      <c r="D324" s="522"/>
      <c r="E324" s="524"/>
      <c r="F324" s="991"/>
      <c r="G324" s="991"/>
      <c r="H324" s="991"/>
      <c r="I324" s="991"/>
      <c r="J324" s="525"/>
      <c r="K324" s="531"/>
      <c r="L324" s="989"/>
      <c r="M324" s="989"/>
      <c r="N324" s="989"/>
      <c r="O324" s="989"/>
      <c r="P324" s="989"/>
      <c r="Q324" s="989"/>
      <c r="R324" s="157"/>
      <c r="S324" s="157"/>
    </row>
    <row r="325" spans="1:19" ht="13.5">
      <c r="A325" s="157"/>
      <c r="B325" s="157"/>
      <c r="C325" s="58"/>
      <c r="D325" s="58"/>
      <c r="E325" s="58"/>
      <c r="F325" s="986"/>
      <c r="G325" s="973"/>
      <c r="H325" s="973"/>
      <c r="I325" s="973"/>
      <c r="J325" s="58"/>
      <c r="K325" s="58"/>
      <c r="L325" s="58"/>
      <c r="M325" s="58"/>
      <c r="N325" s="58"/>
      <c r="O325" s="58"/>
      <c r="P325" s="58"/>
      <c r="Q325" s="58"/>
      <c r="R325" s="157"/>
      <c r="S325" s="157"/>
    </row>
    <row r="326" spans="1:19" ht="13.5">
      <c r="A326" s="157"/>
      <c r="B326" s="157"/>
      <c r="C326" s="522"/>
      <c r="D326" s="522"/>
      <c r="E326" s="524"/>
      <c r="F326" s="991"/>
      <c r="G326" s="991"/>
      <c r="H326" s="991"/>
      <c r="I326" s="991"/>
      <c r="J326" s="525"/>
      <c r="K326" s="531"/>
      <c r="L326" s="989"/>
      <c r="M326" s="989"/>
      <c r="N326" s="989"/>
      <c r="O326" s="989"/>
      <c r="P326" s="989"/>
      <c r="Q326" s="989"/>
      <c r="R326" s="157"/>
      <c r="S326" s="157"/>
    </row>
    <row r="327" spans="1:19" ht="13.5">
      <c r="A327" s="157"/>
      <c r="B327" s="157"/>
      <c r="C327" s="58"/>
      <c r="D327" s="58"/>
      <c r="E327" s="58"/>
      <c r="F327" s="986"/>
      <c r="G327" s="973"/>
      <c r="H327" s="973"/>
      <c r="I327" s="973"/>
      <c r="J327" s="58"/>
      <c r="K327" s="58"/>
      <c r="L327" s="58"/>
      <c r="M327" s="58"/>
      <c r="N327" s="58"/>
      <c r="O327" s="58"/>
      <c r="P327" s="58"/>
      <c r="Q327" s="58"/>
      <c r="R327" s="157"/>
      <c r="S327" s="157"/>
    </row>
    <row r="328" spans="1:19" ht="13.5">
      <c r="A328" s="157"/>
      <c r="B328" s="157"/>
      <c r="C328" s="522"/>
      <c r="D328" s="522"/>
      <c r="E328" s="524"/>
      <c r="F328" s="991"/>
      <c r="G328" s="991"/>
      <c r="H328" s="991"/>
      <c r="I328" s="991"/>
      <c r="J328" s="525"/>
      <c r="K328" s="531"/>
      <c r="L328" s="989"/>
      <c r="M328" s="989"/>
      <c r="N328" s="989"/>
      <c r="O328" s="989"/>
      <c r="P328" s="989"/>
      <c r="Q328" s="989"/>
      <c r="R328" s="157"/>
      <c r="S328" s="157"/>
    </row>
    <row r="329" spans="1:19" ht="13.5">
      <c r="A329" s="157"/>
      <c r="B329" s="157"/>
      <c r="C329" s="58"/>
      <c r="D329" s="58"/>
      <c r="E329" s="58"/>
      <c r="F329" s="986"/>
      <c r="G329" s="973"/>
      <c r="H329" s="973"/>
      <c r="I329" s="973"/>
      <c r="J329" s="58"/>
      <c r="K329" s="58"/>
      <c r="L329" s="58"/>
      <c r="M329" s="58"/>
      <c r="N329" s="58"/>
      <c r="O329" s="58"/>
      <c r="P329" s="58"/>
      <c r="Q329" s="58"/>
      <c r="R329" s="157"/>
      <c r="S329" s="157"/>
    </row>
    <row r="330" spans="1:19" ht="18">
      <c r="A330" s="157"/>
      <c r="B330" s="157"/>
      <c r="C330" s="181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971"/>
      <c r="O330" s="926"/>
      <c r="P330" s="926"/>
      <c r="Q330" s="926"/>
      <c r="R330" s="157"/>
      <c r="S330" s="157"/>
    </row>
    <row r="331" spans="1:19" ht="13.5">
      <c r="A331" s="157"/>
      <c r="B331" s="157"/>
      <c r="C331" s="522"/>
      <c r="D331" s="522"/>
      <c r="E331" s="524"/>
      <c r="F331" s="991"/>
      <c r="G331" s="991"/>
      <c r="H331" s="991"/>
      <c r="I331" s="991"/>
      <c r="J331" s="525"/>
      <c r="K331" s="531"/>
      <c r="L331" s="989"/>
      <c r="M331" s="989"/>
      <c r="N331" s="989"/>
      <c r="O331" s="989"/>
      <c r="P331" s="989"/>
      <c r="Q331" s="989"/>
      <c r="R331" s="157"/>
      <c r="S331" s="157"/>
    </row>
    <row r="332" spans="1:19" ht="13.5">
      <c r="A332" s="157"/>
      <c r="B332" s="157"/>
      <c r="C332" s="522"/>
      <c r="D332" s="522"/>
      <c r="E332" s="524"/>
      <c r="F332" s="991"/>
      <c r="G332" s="991"/>
      <c r="H332" s="991"/>
      <c r="I332" s="991"/>
      <c r="J332" s="525"/>
      <c r="K332" s="531"/>
      <c r="L332" s="989"/>
      <c r="M332" s="989"/>
      <c r="N332" s="989"/>
      <c r="O332" s="989"/>
      <c r="P332" s="989"/>
      <c r="Q332" s="989"/>
      <c r="R332" s="157"/>
      <c r="S332" s="157"/>
    </row>
    <row r="333" spans="1:19" ht="13.5">
      <c r="A333" s="157"/>
      <c r="B333" s="157"/>
      <c r="C333" s="522"/>
      <c r="D333" s="522"/>
      <c r="E333" s="524"/>
      <c r="F333" s="991"/>
      <c r="G333" s="991"/>
      <c r="H333" s="991"/>
      <c r="I333" s="991"/>
      <c r="J333" s="525"/>
      <c r="K333" s="531"/>
      <c r="L333" s="989"/>
      <c r="M333" s="989"/>
      <c r="N333" s="989"/>
      <c r="O333" s="989"/>
      <c r="P333" s="989"/>
      <c r="Q333" s="989"/>
      <c r="R333" s="157"/>
      <c r="S333" s="157"/>
    </row>
    <row r="334" spans="1:19" ht="13.5">
      <c r="A334" s="157"/>
      <c r="B334" s="157"/>
      <c r="C334" s="522"/>
      <c r="D334" s="522"/>
      <c r="E334" s="524"/>
      <c r="F334" s="991"/>
      <c r="G334" s="991"/>
      <c r="H334" s="991"/>
      <c r="I334" s="991"/>
      <c r="J334" s="525"/>
      <c r="K334" s="531"/>
      <c r="L334" s="989"/>
      <c r="M334" s="989"/>
      <c r="N334" s="989"/>
      <c r="O334" s="989"/>
      <c r="P334" s="989"/>
      <c r="Q334" s="989"/>
      <c r="R334" s="157"/>
      <c r="S334" s="157"/>
    </row>
    <row r="335" spans="1:19" ht="13.5">
      <c r="A335" s="157"/>
      <c r="B335" s="157"/>
      <c r="C335" s="522"/>
      <c r="D335" s="522"/>
      <c r="E335" s="524"/>
      <c r="F335" s="991"/>
      <c r="G335" s="991"/>
      <c r="H335" s="991"/>
      <c r="I335" s="991"/>
      <c r="J335" s="525"/>
      <c r="K335" s="531"/>
      <c r="L335" s="989"/>
      <c r="M335" s="989"/>
      <c r="N335" s="989"/>
      <c r="O335" s="989"/>
      <c r="P335" s="989"/>
      <c r="Q335" s="989"/>
      <c r="R335" s="157"/>
      <c r="S335" s="157"/>
    </row>
    <row r="336" spans="1:19" ht="13.5">
      <c r="A336" s="157"/>
      <c r="B336" s="157"/>
      <c r="C336" s="522"/>
      <c r="D336" s="522"/>
      <c r="E336" s="524"/>
      <c r="F336" s="991"/>
      <c r="G336" s="991"/>
      <c r="H336" s="991"/>
      <c r="I336" s="991"/>
      <c r="J336" s="525"/>
      <c r="K336" s="531"/>
      <c r="L336" s="989"/>
      <c r="M336" s="989"/>
      <c r="N336" s="989"/>
      <c r="O336" s="989"/>
      <c r="P336" s="989"/>
      <c r="Q336" s="989"/>
      <c r="R336" s="157"/>
      <c r="S336" s="157"/>
    </row>
    <row r="337" spans="1:19" ht="13.5">
      <c r="A337" s="157"/>
      <c r="B337" s="157"/>
      <c r="C337" s="522"/>
      <c r="D337" s="522"/>
      <c r="E337" s="524"/>
      <c r="F337" s="991"/>
      <c r="G337" s="991"/>
      <c r="H337" s="991"/>
      <c r="I337" s="991"/>
      <c r="J337" s="525"/>
      <c r="K337" s="531"/>
      <c r="L337" s="989"/>
      <c r="M337" s="989"/>
      <c r="N337" s="989"/>
      <c r="O337" s="989"/>
      <c r="P337" s="989"/>
      <c r="Q337" s="989"/>
      <c r="R337" s="157"/>
      <c r="S337" s="157"/>
    </row>
    <row r="338" spans="1:19" ht="13.5">
      <c r="A338" s="157"/>
      <c r="B338" s="157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157"/>
      <c r="S338" s="157"/>
    </row>
    <row r="339" spans="1:19" ht="13.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</row>
  </sheetData>
  <sheetProtection sheet="1" objects="1" scenarios="1"/>
  <mergeCells count="478">
    <mergeCell ref="F211:I211"/>
    <mergeCell ref="N211:Q211"/>
    <mergeCell ref="F219:I219"/>
    <mergeCell ref="N219:Q219"/>
    <mergeCell ref="F218:I218"/>
    <mergeCell ref="N206:Q206"/>
    <mergeCell ref="N207:Q207"/>
    <mergeCell ref="N209:Q209"/>
    <mergeCell ref="N210:Q210"/>
    <mergeCell ref="N212:Q212"/>
    <mergeCell ref="F206:I206"/>
    <mergeCell ref="F207:I207"/>
    <mergeCell ref="F209:I209"/>
    <mergeCell ref="F210:I210"/>
    <mergeCell ref="F212:I212"/>
    <mergeCell ref="N213:Q213"/>
    <mergeCell ref="F213:I213"/>
    <mergeCell ref="F214:I214"/>
    <mergeCell ref="F215:I215"/>
    <mergeCell ref="F216:I216"/>
    <mergeCell ref="F217:I217"/>
    <mergeCell ref="N214:Q214"/>
    <mergeCell ref="N215:Q215"/>
    <mergeCell ref="N216:Q216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N217:Q217"/>
    <mergeCell ref="F205:I205"/>
    <mergeCell ref="F188:I188"/>
    <mergeCell ref="N203:Q203"/>
    <mergeCell ref="N204:Q204"/>
    <mergeCell ref="N205:Q205"/>
    <mergeCell ref="N218:Q218"/>
    <mergeCell ref="F191:I191"/>
    <mergeCell ref="F192:I192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F193:I193"/>
    <mergeCell ref="F194:I194"/>
    <mergeCell ref="F195:I195"/>
    <mergeCell ref="F189:I189"/>
    <mergeCell ref="F190:I190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N171:Q171"/>
    <mergeCell ref="N172:Q172"/>
    <mergeCell ref="N173:Q173"/>
    <mergeCell ref="N174:Q174"/>
    <mergeCell ref="N175:Q175"/>
    <mergeCell ref="N176:Q176"/>
    <mergeCell ref="N177:Q177"/>
    <mergeCell ref="N187:Q187"/>
    <mergeCell ref="N188:Q188"/>
    <mergeCell ref="N184:Q184"/>
    <mergeCell ref="N185:Q185"/>
    <mergeCell ref="N186:Q186"/>
    <mergeCell ref="N180:Q180"/>
    <mergeCell ref="N181:Q181"/>
    <mergeCell ref="N182:Q182"/>
    <mergeCell ref="N183:Q183"/>
    <mergeCell ref="N178:Q178"/>
    <mergeCell ref="N179:Q179"/>
    <mergeCell ref="N164:Q164"/>
    <mergeCell ref="N165:Q165"/>
    <mergeCell ref="N189:Q189"/>
    <mergeCell ref="N190:Q190"/>
    <mergeCell ref="F163:I163"/>
    <mergeCell ref="N163:Q163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87:I187"/>
    <mergeCell ref="N166:Q166"/>
    <mergeCell ref="N167:Q167"/>
    <mergeCell ref="N168:Q168"/>
    <mergeCell ref="N169:Q169"/>
    <mergeCell ref="N170:Q170"/>
    <mergeCell ref="N155:Q155"/>
    <mergeCell ref="N156:Q156"/>
    <mergeCell ref="N157:Q157"/>
    <mergeCell ref="N158:Q158"/>
    <mergeCell ref="F161:I161"/>
    <mergeCell ref="F164:I164"/>
    <mergeCell ref="F165:I165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F148:I148"/>
    <mergeCell ref="F136:I136"/>
    <mergeCell ref="F137:I137"/>
    <mergeCell ref="F138:I138"/>
    <mergeCell ref="F139:I139"/>
    <mergeCell ref="F140:I140"/>
    <mergeCell ref="F141:I141"/>
    <mergeCell ref="F134:I134"/>
    <mergeCell ref="N161:Q161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F336:I336"/>
    <mergeCell ref="F254:I254"/>
    <mergeCell ref="F255:I255"/>
    <mergeCell ref="L255:M255"/>
    <mergeCell ref="F335:I335"/>
    <mergeCell ref="L335:M335"/>
    <mergeCell ref="F329:I329"/>
    <mergeCell ref="F328:I328"/>
    <mergeCell ref="L328:M328"/>
    <mergeCell ref="F326:I326"/>
    <mergeCell ref="F334:I334"/>
    <mergeCell ref="L334:M334"/>
    <mergeCell ref="F332:I332"/>
    <mergeCell ref="L332:M332"/>
    <mergeCell ref="L326:M326"/>
    <mergeCell ref="F304:I304"/>
    <mergeCell ref="L304:M304"/>
    <mergeCell ref="F292:I292"/>
    <mergeCell ref="L292:M292"/>
    <mergeCell ref="F325:I325"/>
    <mergeCell ref="F297:I297"/>
    <mergeCell ref="F298:I298"/>
    <mergeCell ref="L298:M298"/>
    <mergeCell ref="F290:I290"/>
    <mergeCell ref="F279:I279"/>
    <mergeCell ref="F280:I280"/>
    <mergeCell ref="L314:M314"/>
    <mergeCell ref="F281:I281"/>
    <mergeCell ref="F283:I283"/>
    <mergeCell ref="L285:M285"/>
    <mergeCell ref="L287:M287"/>
    <mergeCell ref="F284:I284"/>
    <mergeCell ref="F285:I285"/>
    <mergeCell ref="L308:M308"/>
    <mergeCell ref="F307:I307"/>
    <mergeCell ref="F308:I308"/>
    <mergeCell ref="F311:I311"/>
    <mergeCell ref="F312:I312"/>
    <mergeCell ref="F313:I313"/>
    <mergeCell ref="S2:AC2"/>
    <mergeCell ref="F299:I299"/>
    <mergeCell ref="L296:M296"/>
    <mergeCell ref="N296:Q296"/>
    <mergeCell ref="F293:I293"/>
    <mergeCell ref="F294:I294"/>
    <mergeCell ref="N112:Q112"/>
    <mergeCell ref="N113:Q113"/>
    <mergeCell ref="N238:Q238"/>
    <mergeCell ref="N282:Q282"/>
    <mergeCell ref="N270:Q270"/>
    <mergeCell ref="F274:I274"/>
    <mergeCell ref="N298:Q298"/>
    <mergeCell ref="L280:M280"/>
    <mergeCell ref="N280:Q280"/>
    <mergeCell ref="L294:M294"/>
    <mergeCell ref="N294:Q294"/>
    <mergeCell ref="F248:I248"/>
    <mergeCell ref="N291:Q291"/>
    <mergeCell ref="F270:I270"/>
    <mergeCell ref="L276:M276"/>
    <mergeCell ref="F277:I277"/>
    <mergeCell ref="F266:I266"/>
    <mergeCell ref="F271:I271"/>
    <mergeCell ref="N319:Q319"/>
    <mergeCell ref="N292:Q292"/>
    <mergeCell ref="N334:Q334"/>
    <mergeCell ref="N332:Q332"/>
    <mergeCell ref="F333:I333"/>
    <mergeCell ref="L333:M333"/>
    <mergeCell ref="N333:Q333"/>
    <mergeCell ref="L331:M331"/>
    <mergeCell ref="N331:Q331"/>
    <mergeCell ref="L310:M310"/>
    <mergeCell ref="N306:Q306"/>
    <mergeCell ref="L302:M302"/>
    <mergeCell ref="F300:I300"/>
    <mergeCell ref="L300:M300"/>
    <mergeCell ref="L306:M306"/>
    <mergeCell ref="N312:Q312"/>
    <mergeCell ref="N308:Q308"/>
    <mergeCell ref="N330:Q330"/>
    <mergeCell ref="N316:Q316"/>
    <mergeCell ref="F303:I303"/>
    <mergeCell ref="F309:I309"/>
    <mergeCell ref="F310:I310"/>
    <mergeCell ref="F315:I315"/>
    <mergeCell ref="F317:I317"/>
    <mergeCell ref="N310:Q310"/>
    <mergeCell ref="F337:I337"/>
    <mergeCell ref="L337:M337"/>
    <mergeCell ref="N337:Q337"/>
    <mergeCell ref="L324:M324"/>
    <mergeCell ref="N314:Q314"/>
    <mergeCell ref="N328:Q328"/>
    <mergeCell ref="F323:I323"/>
    <mergeCell ref="F324:I324"/>
    <mergeCell ref="N324:Q324"/>
    <mergeCell ref="F318:I318"/>
    <mergeCell ref="F319:I319"/>
    <mergeCell ref="F327:I327"/>
    <mergeCell ref="N326:Q326"/>
    <mergeCell ref="L319:M319"/>
    <mergeCell ref="N335:Q335"/>
    <mergeCell ref="L336:M336"/>
    <mergeCell ref="N336:Q336"/>
    <mergeCell ref="F331:I331"/>
    <mergeCell ref="F322:I322"/>
    <mergeCell ref="L322:M322"/>
    <mergeCell ref="N322:Q322"/>
    <mergeCell ref="N321:Q321"/>
    <mergeCell ref="L317:M317"/>
    <mergeCell ref="H1:K1"/>
    <mergeCell ref="F295:I295"/>
    <mergeCell ref="F296:I296"/>
    <mergeCell ref="F288:I288"/>
    <mergeCell ref="F289:I289"/>
    <mergeCell ref="F286:I286"/>
    <mergeCell ref="F314:I314"/>
    <mergeCell ref="N300:Q300"/>
    <mergeCell ref="N304:Q304"/>
    <mergeCell ref="N302:Q302"/>
    <mergeCell ref="F306:I306"/>
    <mergeCell ref="F301:I301"/>
    <mergeCell ref="F302:I302"/>
    <mergeCell ref="F305:I305"/>
    <mergeCell ref="L312:M312"/>
    <mergeCell ref="N278:Q278"/>
    <mergeCell ref="L250:M250"/>
    <mergeCell ref="N250:Q250"/>
    <mergeCell ref="F249:I249"/>
    <mergeCell ref="L249:M249"/>
    <mergeCell ref="N251:Q251"/>
    <mergeCell ref="N255:Q255"/>
    <mergeCell ref="L269:M269"/>
    <mergeCell ref="L272:M272"/>
    <mergeCell ref="N317:Q317"/>
    <mergeCell ref="L270:M270"/>
    <mergeCell ref="F269:I269"/>
    <mergeCell ref="F320:I320"/>
    <mergeCell ref="N289:Q289"/>
    <mergeCell ref="L289:M289"/>
    <mergeCell ref="L268:M268"/>
    <mergeCell ref="F273:I273"/>
    <mergeCell ref="L274:M274"/>
    <mergeCell ref="N274:Q274"/>
    <mergeCell ref="N287:Q287"/>
    <mergeCell ref="N285:Q285"/>
    <mergeCell ref="L283:M283"/>
    <mergeCell ref="F287:I287"/>
    <mergeCell ref="F278:I278"/>
    <mergeCell ref="F275:I275"/>
    <mergeCell ref="F276:I276"/>
    <mergeCell ref="N272:Q272"/>
    <mergeCell ref="N268:Q268"/>
    <mergeCell ref="N269:Q269"/>
    <mergeCell ref="F268:I268"/>
    <mergeCell ref="N276:Q276"/>
    <mergeCell ref="N283:Q283"/>
    <mergeCell ref="L278:M278"/>
    <mergeCell ref="F272:I272"/>
    <mergeCell ref="F267:I267"/>
    <mergeCell ref="L266:M266"/>
    <mergeCell ref="N266:Q266"/>
    <mergeCell ref="F265:I265"/>
    <mergeCell ref="N264:Q264"/>
    <mergeCell ref="N263:Q263"/>
    <mergeCell ref="F263:I263"/>
    <mergeCell ref="L263:M263"/>
    <mergeCell ref="F264:I264"/>
    <mergeCell ref="L264:M264"/>
    <mergeCell ref="N261:Q261"/>
    <mergeCell ref="F262:I262"/>
    <mergeCell ref="F261:I261"/>
    <mergeCell ref="L261:M261"/>
    <mergeCell ref="N244:Q244"/>
    <mergeCell ref="N243:Q243"/>
    <mergeCell ref="L246:M246"/>
    <mergeCell ref="N246:Q246"/>
    <mergeCell ref="L244:M244"/>
    <mergeCell ref="N245:Q245"/>
    <mergeCell ref="N259:Q259"/>
    <mergeCell ref="N257:Q257"/>
    <mergeCell ref="F258:I258"/>
    <mergeCell ref="F259:I259"/>
    <mergeCell ref="L259:M259"/>
    <mergeCell ref="F256:I256"/>
    <mergeCell ref="F257:I257"/>
    <mergeCell ref="L257:M257"/>
    <mergeCell ref="N248:Q248"/>
    <mergeCell ref="L248:M248"/>
    <mergeCell ref="F253:I253"/>
    <mergeCell ref="F251:I251"/>
    <mergeCell ref="L251:M251"/>
    <mergeCell ref="F252:I252"/>
    <mergeCell ref="N220:Q220"/>
    <mergeCell ref="F155:I155"/>
    <mergeCell ref="F156:I156"/>
    <mergeCell ref="F157:I157"/>
    <mergeCell ref="L253:M253"/>
    <mergeCell ref="N253:Q253"/>
    <mergeCell ref="N249:Q249"/>
    <mergeCell ref="F250:I250"/>
    <mergeCell ref="F260:I260"/>
    <mergeCell ref="F247:I247"/>
    <mergeCell ref="F241:I241"/>
    <mergeCell ref="L241:M241"/>
    <mergeCell ref="L245:M245"/>
    <mergeCell ref="L247:M247"/>
    <mergeCell ref="F243:I243"/>
    <mergeCell ref="F246:I246"/>
    <mergeCell ref="N242:Q242"/>
    <mergeCell ref="N247:Q247"/>
    <mergeCell ref="L243:M243"/>
    <mergeCell ref="F245:I245"/>
    <mergeCell ref="F244:I244"/>
    <mergeCell ref="F242:I242"/>
    <mergeCell ref="L242:M242"/>
    <mergeCell ref="F158:I158"/>
    <mergeCell ref="N151:Q151"/>
    <mergeCell ref="N124:Q124"/>
    <mergeCell ref="F121:I121"/>
    <mergeCell ref="F146:I146"/>
    <mergeCell ref="F151:I151"/>
    <mergeCell ref="F123:I123"/>
    <mergeCell ref="N239:Q239"/>
    <mergeCell ref="F160:I160"/>
    <mergeCell ref="N241:Q241"/>
    <mergeCell ref="F153:I153"/>
    <mergeCell ref="N160:Q160"/>
    <mergeCell ref="F152:I152"/>
    <mergeCell ref="F159:I159"/>
    <mergeCell ref="N153:Q153"/>
    <mergeCell ref="N152:Q152"/>
    <mergeCell ref="N221:Q221"/>
    <mergeCell ref="F154:I154"/>
    <mergeCell ref="N154:Q154"/>
    <mergeCell ref="F221:I221"/>
    <mergeCell ref="N159:Q159"/>
    <mergeCell ref="F220:I220"/>
    <mergeCell ref="F240:I240"/>
    <mergeCell ref="F239:I239"/>
    <mergeCell ref="L239:M239"/>
    <mergeCell ref="F120:I120"/>
    <mergeCell ref="N120:Q120"/>
    <mergeCell ref="N123:Q123"/>
    <mergeCell ref="F147:I147"/>
    <mergeCell ref="F149:I149"/>
    <mergeCell ref="F150:I150"/>
    <mergeCell ref="N147:Q147"/>
    <mergeCell ref="N148:Q148"/>
    <mergeCell ref="N149:Q149"/>
    <mergeCell ref="N150:Q150"/>
    <mergeCell ref="F122:I122"/>
    <mergeCell ref="F124:I124"/>
    <mergeCell ref="N144:Q144"/>
    <mergeCell ref="F144:I144"/>
    <mergeCell ref="F135:I135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19:I119"/>
    <mergeCell ref="N119:Q119"/>
    <mergeCell ref="M85:Q85"/>
    <mergeCell ref="F78:P78"/>
    <mergeCell ref="N121:Q121"/>
    <mergeCell ref="F116:I116"/>
    <mergeCell ref="N146:Q146"/>
    <mergeCell ref="F142:I142"/>
    <mergeCell ref="N142:Q142"/>
    <mergeCell ref="N116:Q116"/>
    <mergeCell ref="F117:I117"/>
    <mergeCell ref="N117:Q117"/>
    <mergeCell ref="F115:I115"/>
    <mergeCell ref="N115:Q115"/>
    <mergeCell ref="F143:I143"/>
    <mergeCell ref="N143:Q143"/>
    <mergeCell ref="N122:Q122"/>
    <mergeCell ref="N89:Q89"/>
    <mergeCell ref="N90:Q90"/>
    <mergeCell ref="N87:Q87"/>
    <mergeCell ref="C87:G87"/>
    <mergeCell ref="N92:Q92"/>
    <mergeCell ref="L94:Q94"/>
    <mergeCell ref="L111:M111"/>
    <mergeCell ref="N111:Q111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M84:Q84"/>
    <mergeCell ref="F84:J84"/>
    <mergeCell ref="C76:Q76"/>
    <mergeCell ref="M37:P37"/>
    <mergeCell ref="F82:J82"/>
    <mergeCell ref="M82:P82"/>
    <mergeCell ref="L39:P39"/>
    <mergeCell ref="H37:J37"/>
    <mergeCell ref="O12:P12"/>
    <mergeCell ref="H35:J35"/>
    <mergeCell ref="M35:P35"/>
    <mergeCell ref="H36:J36"/>
    <mergeCell ref="M36:P36"/>
    <mergeCell ref="F79:P79"/>
    <mergeCell ref="F80:P80"/>
    <mergeCell ref="F8:P8"/>
    <mergeCell ref="O10:P10"/>
    <mergeCell ref="O13:P13"/>
    <mergeCell ref="M34:P34"/>
    <mergeCell ref="C2:Q2"/>
    <mergeCell ref="C4:Q4"/>
    <mergeCell ref="F6:P6"/>
    <mergeCell ref="F7:P7"/>
    <mergeCell ref="O22:P22"/>
    <mergeCell ref="M28:P28"/>
    <mergeCell ref="O21:P21"/>
    <mergeCell ref="H33:J33"/>
    <mergeCell ref="M33:P33"/>
    <mergeCell ref="E25:P25"/>
    <mergeCell ref="M29:P29"/>
    <mergeCell ref="M31:P31"/>
    <mergeCell ref="O15:P15"/>
    <mergeCell ref="O16:P16"/>
    <mergeCell ref="O18:P18"/>
    <mergeCell ref="O19:P19"/>
    <mergeCell ref="H34:J34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244"/>
  <sheetViews>
    <sheetView showGridLines="0" view="pageBreakPreview" zoomScaleSheetLayoutView="100" workbookViewId="0" topLeftCell="B1">
      <pane ySplit="1" topLeftCell="A113" activePane="bottomLeft" state="frozen"/>
      <selection pane="topLeft" activeCell="AE69" sqref="AE69"/>
      <selection pane="bottomLeft" activeCell="L114" sqref="L114:L126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23" t="s">
        <v>256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74">
        <f>IF('[5]Rekapitulace stavby'!AN13="","",'[5]Rekapitulace stavby'!AN13)</f>
        <v>0</v>
      </c>
      <c r="P15" s="974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74">
        <f>IF('[5]Rekapitulace stavby'!AN14="","",'[5]Rekapitulace stavby'!AN14)</f>
        <v>0</v>
      </c>
      <c r="P16" s="974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f>M31</f>
        <v>0</v>
      </c>
      <c r="I34" s="973"/>
      <c r="J34" s="973"/>
      <c r="K34" s="58"/>
      <c r="L34" s="58"/>
      <c r="M34" s="975">
        <f>H34*F34</f>
        <v>0</v>
      </c>
      <c r="N34" s="973"/>
      <c r="O34" s="973"/>
      <c r="P34" s="973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>ROUND((SUM(BG92:BG93)+SUM(BG112:BG212)),2)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>ROUND((SUM(BH92:BH93)+SUM(BH112:BH212)),2)</f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>ROUND((SUM(BI92:BI93)+SUM(BI112:BI212)),2)</f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910" t="str">
        <f>F8</f>
        <v>06 - VNITŘNÍ PLYNOVOD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78" t="str">
        <f>F12</f>
        <v>R-MOSTY, Z.S.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982"/>
      <c r="P89" s="982"/>
      <c r="Q89" s="982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06 - VNITŘNÍ PLYNOVOD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2">
        <v>0</v>
      </c>
      <c r="O92" s="983"/>
      <c r="P92" s="983"/>
      <c r="Q92" s="983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57"/>
      <c r="R103" s="453"/>
    </row>
    <row r="104" spans="2:18" s="162" customFormat="1" ht="36.95" customHeight="1">
      <c r="B104" s="455"/>
      <c r="C104" s="174" t="s">
        <v>102</v>
      </c>
      <c r="D104" s="58"/>
      <c r="E104" s="58"/>
      <c r="F104" s="910" t="str">
        <f>F8</f>
        <v>06 - VNITŘNÍ PLYNOVOD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9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525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W113+#REF!+#REF!+#REF!+#REF!+W122+W157+W166+W191+W196+W205</f>
        <v>#REF!</v>
      </c>
      <c r="X112" s="85"/>
      <c r="Y112" s="474" t="e">
        <f>Y113+#REF!+#REF!+#REF!+#REF!+Y122+Y157+Y166+Y191+Y196+Y205</f>
        <v>#REF!</v>
      </c>
      <c r="Z112" s="85"/>
      <c r="AA112" s="475" t="e">
        <f>AA113+#REF!+#REF!+#REF!+#REF!+AA122+AA157+AA166+AA191+AA196+AA205</f>
        <v>#REF!</v>
      </c>
      <c r="AC112" s="58"/>
      <c r="AU112" s="448" t="s">
        <v>109</v>
      </c>
      <c r="BK112" s="476" t="e">
        <f>BK113+#REF!+#REF!+#REF!+#REF!+BK122+BK157+BK166+BK191+BK196+BK205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06 - VNITŘNÍ PLYNOVOD</v>
      </c>
      <c r="E113" s="105"/>
      <c r="F113" s="105"/>
      <c r="G113" s="105"/>
      <c r="H113" s="105"/>
      <c r="I113" s="105"/>
      <c r="J113" s="105"/>
      <c r="K113" s="105"/>
      <c r="L113" s="105"/>
      <c r="M113" s="58"/>
      <c r="N113" s="971">
        <f>SUM(N114:Q126)</f>
        <v>0</v>
      </c>
      <c r="O113" s="926"/>
      <c r="P113" s="926"/>
      <c r="Q113" s="926"/>
      <c r="R113" s="181"/>
      <c r="S113" s="181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2" t="e">
        <f>SUM(#REF!)</f>
        <v>#REF!</v>
      </c>
      <c r="AB113" s="181"/>
      <c r="AC113" s="181"/>
      <c r="AU113" s="405" t="s">
        <v>69</v>
      </c>
      <c r="AY113" s="404" t="s">
        <v>125</v>
      </c>
      <c r="BK113" s="406" t="e">
        <f>SUM(#REF!)</f>
        <v>#REF!</v>
      </c>
    </row>
    <row r="114" spans="1:63" s="398" customFormat="1" ht="37.35" customHeight="1">
      <c r="A114" s="181"/>
      <c r="B114" s="399"/>
      <c r="C114" s="183" t="s">
        <v>207</v>
      </c>
      <c r="D114" s="486"/>
      <c r="E114" s="94" t="s">
        <v>1155</v>
      </c>
      <c r="F114" s="960" t="s">
        <v>661</v>
      </c>
      <c r="G114" s="960"/>
      <c r="H114" s="960"/>
      <c r="I114" s="960"/>
      <c r="J114" s="94" t="s">
        <v>131</v>
      </c>
      <c r="K114" s="95">
        <v>1</v>
      </c>
      <c r="L114" s="21"/>
      <c r="M114" s="58"/>
      <c r="N114" s="966">
        <f>ROUND(L114*K114,2)</f>
        <v>0</v>
      </c>
      <c r="O114" s="966"/>
      <c r="P114" s="966"/>
      <c r="Q114" s="966"/>
      <c r="R114" s="181"/>
      <c r="S114" s="181"/>
      <c r="T114" s="181"/>
      <c r="U114" s="181"/>
      <c r="V114" s="181"/>
      <c r="W114" s="402"/>
      <c r="X114" s="181"/>
      <c r="Y114" s="402"/>
      <c r="Z114" s="181"/>
      <c r="AA114" s="402"/>
      <c r="AB114" s="181"/>
      <c r="AC114" s="181"/>
      <c r="AU114" s="405"/>
      <c r="AY114" s="404"/>
      <c r="BK114" s="406"/>
    </row>
    <row r="115" spans="1:63" s="398" customFormat="1" ht="37.35" customHeight="1">
      <c r="A115" s="181"/>
      <c r="B115" s="399"/>
      <c r="C115" s="485" t="s">
        <v>208</v>
      </c>
      <c r="D115" s="486"/>
      <c r="E115" s="94" t="s">
        <v>1156</v>
      </c>
      <c r="F115" s="960" t="s">
        <v>667</v>
      </c>
      <c r="G115" s="960"/>
      <c r="H115" s="960"/>
      <c r="I115" s="960"/>
      <c r="J115" s="94" t="s">
        <v>133</v>
      </c>
      <c r="K115" s="95">
        <f>0.6+10.1+0.35+2.1+0.97+2.5+4.6+1.3</f>
        <v>22.52</v>
      </c>
      <c r="L115" s="21"/>
      <c r="M115" s="58"/>
      <c r="N115" s="966">
        <f aca="true" t="shared" si="0" ref="N115:N121">ROUND(L115*K115,2)</f>
        <v>0</v>
      </c>
      <c r="O115" s="966"/>
      <c r="P115" s="966"/>
      <c r="Q115" s="966"/>
      <c r="R115" s="181"/>
      <c r="S115" s="181"/>
      <c r="T115" s="181"/>
      <c r="U115" s="181"/>
      <c r="V115" s="181"/>
      <c r="W115" s="402"/>
      <c r="X115" s="181"/>
      <c r="Y115" s="402"/>
      <c r="Z115" s="181"/>
      <c r="AA115" s="402"/>
      <c r="AB115" s="181"/>
      <c r="AC115" s="181"/>
      <c r="AU115" s="405"/>
      <c r="AY115" s="404"/>
      <c r="BK115" s="406"/>
    </row>
    <row r="116" spans="1:63" s="806" customFormat="1" ht="37.35" customHeight="1">
      <c r="A116" s="801"/>
      <c r="B116" s="802"/>
      <c r="C116" s="803" t="s">
        <v>209</v>
      </c>
      <c r="D116" s="804"/>
      <c r="E116" s="137" t="s">
        <v>1157</v>
      </c>
      <c r="F116" s="1129" t="s">
        <v>662</v>
      </c>
      <c r="G116" s="1129"/>
      <c r="H116" s="1129"/>
      <c r="I116" s="1129"/>
      <c r="J116" s="132" t="s">
        <v>133</v>
      </c>
      <c r="K116" s="127">
        <f>K115*1.1</f>
        <v>24.772000000000002</v>
      </c>
      <c r="L116" s="14"/>
      <c r="M116" s="58"/>
      <c r="N116" s="1134">
        <f t="shared" si="0"/>
        <v>0</v>
      </c>
      <c r="O116" s="1134"/>
      <c r="P116" s="1134"/>
      <c r="Q116" s="1134"/>
      <c r="R116" s="801"/>
      <c r="S116" s="801"/>
      <c r="T116" s="801"/>
      <c r="U116" s="801"/>
      <c r="V116" s="801"/>
      <c r="W116" s="805"/>
      <c r="X116" s="801"/>
      <c r="Y116" s="805"/>
      <c r="Z116" s="801"/>
      <c r="AA116" s="805"/>
      <c r="AB116" s="801"/>
      <c r="AC116" s="801"/>
      <c r="AU116" s="807"/>
      <c r="AY116" s="808"/>
      <c r="BK116" s="809"/>
    </row>
    <row r="117" spans="1:63" s="398" customFormat="1" ht="37.35" customHeight="1">
      <c r="A117" s="181"/>
      <c r="B117" s="399"/>
      <c r="C117" s="485" t="s">
        <v>210</v>
      </c>
      <c r="D117" s="486"/>
      <c r="E117" s="94" t="s">
        <v>1158</v>
      </c>
      <c r="F117" s="960" t="s">
        <v>663</v>
      </c>
      <c r="G117" s="960"/>
      <c r="H117" s="960"/>
      <c r="I117" s="960"/>
      <c r="J117" s="94" t="s">
        <v>133</v>
      </c>
      <c r="K117" s="95">
        <f>1.3+0.55+1.5</f>
        <v>3.35</v>
      </c>
      <c r="L117" s="21"/>
      <c r="M117" s="58"/>
      <c r="N117" s="966">
        <f t="shared" si="0"/>
        <v>0</v>
      </c>
      <c r="O117" s="966"/>
      <c r="P117" s="966"/>
      <c r="Q117" s="966"/>
      <c r="R117" s="181"/>
      <c r="S117" s="181"/>
      <c r="T117" s="181"/>
      <c r="U117" s="181"/>
      <c r="V117" s="181"/>
      <c r="W117" s="402"/>
      <c r="X117" s="181"/>
      <c r="Y117" s="402"/>
      <c r="Z117" s="181"/>
      <c r="AA117" s="402"/>
      <c r="AB117" s="181"/>
      <c r="AC117" s="181"/>
      <c r="AU117" s="405"/>
      <c r="AY117" s="404"/>
      <c r="BK117" s="406"/>
    </row>
    <row r="118" spans="1:63" s="806" customFormat="1" ht="37.35" customHeight="1">
      <c r="A118" s="801"/>
      <c r="B118" s="802"/>
      <c r="C118" s="803" t="s">
        <v>211</v>
      </c>
      <c r="D118" s="804"/>
      <c r="E118" s="137" t="s">
        <v>1159</v>
      </c>
      <c r="F118" s="1129" t="s">
        <v>664</v>
      </c>
      <c r="G118" s="1129"/>
      <c r="H118" s="1129"/>
      <c r="I118" s="1129"/>
      <c r="J118" s="132" t="s">
        <v>133</v>
      </c>
      <c r="K118" s="127">
        <f>K117*1.1</f>
        <v>3.6850000000000005</v>
      </c>
      <c r="L118" s="14"/>
      <c r="M118" s="58"/>
      <c r="N118" s="1134">
        <f t="shared" si="0"/>
        <v>0</v>
      </c>
      <c r="O118" s="1134"/>
      <c r="P118" s="1134"/>
      <c r="Q118" s="1134"/>
      <c r="R118" s="801"/>
      <c r="S118" s="801"/>
      <c r="T118" s="801"/>
      <c r="U118" s="801"/>
      <c r="V118" s="801"/>
      <c r="W118" s="805"/>
      <c r="X118" s="801"/>
      <c r="Y118" s="805"/>
      <c r="Z118" s="801"/>
      <c r="AA118" s="805"/>
      <c r="AB118" s="801"/>
      <c r="AC118" s="801"/>
      <c r="AU118" s="807"/>
      <c r="AY118" s="808"/>
      <c r="BK118" s="809"/>
    </row>
    <row r="119" spans="1:63" s="398" customFormat="1" ht="37.35" customHeight="1">
      <c r="A119" s="181"/>
      <c r="B119" s="399"/>
      <c r="C119" s="485" t="s">
        <v>212</v>
      </c>
      <c r="D119" s="486"/>
      <c r="E119" s="94" t="s">
        <v>1160</v>
      </c>
      <c r="F119" s="960" t="s">
        <v>665</v>
      </c>
      <c r="G119" s="960"/>
      <c r="H119" s="960"/>
      <c r="I119" s="960"/>
      <c r="J119" s="133" t="s">
        <v>198</v>
      </c>
      <c r="K119" s="134">
        <v>3</v>
      </c>
      <c r="L119" s="21"/>
      <c r="M119" s="58"/>
      <c r="N119" s="966">
        <f t="shared" si="0"/>
        <v>0</v>
      </c>
      <c r="O119" s="966"/>
      <c r="P119" s="966"/>
      <c r="Q119" s="966"/>
      <c r="R119" s="181"/>
      <c r="S119" s="181"/>
      <c r="T119" s="181"/>
      <c r="U119" s="181"/>
      <c r="V119" s="181"/>
      <c r="W119" s="402"/>
      <c r="X119" s="181"/>
      <c r="Y119" s="402"/>
      <c r="Z119" s="181"/>
      <c r="AA119" s="402"/>
      <c r="AB119" s="181"/>
      <c r="AC119" s="181"/>
      <c r="AU119" s="405"/>
      <c r="AY119" s="404"/>
      <c r="BK119" s="406"/>
    </row>
    <row r="120" spans="1:63" s="806" customFormat="1" ht="37.35" customHeight="1">
      <c r="A120" s="801"/>
      <c r="B120" s="802"/>
      <c r="C120" s="803" t="s">
        <v>213</v>
      </c>
      <c r="D120" s="804"/>
      <c r="E120" s="137" t="s">
        <v>1161</v>
      </c>
      <c r="F120" s="1129" t="s">
        <v>666</v>
      </c>
      <c r="G120" s="1129"/>
      <c r="H120" s="1129"/>
      <c r="I120" s="1129"/>
      <c r="J120" s="132" t="s">
        <v>198</v>
      </c>
      <c r="K120" s="127">
        <v>3</v>
      </c>
      <c r="L120" s="14"/>
      <c r="M120" s="58"/>
      <c r="N120" s="1134">
        <f t="shared" si="0"/>
        <v>0</v>
      </c>
      <c r="O120" s="1134"/>
      <c r="P120" s="1134"/>
      <c r="Q120" s="1134"/>
      <c r="R120" s="801"/>
      <c r="S120" s="801"/>
      <c r="T120" s="801"/>
      <c r="U120" s="801"/>
      <c r="V120" s="801"/>
      <c r="W120" s="805"/>
      <c r="X120" s="801"/>
      <c r="Y120" s="805"/>
      <c r="Z120" s="801"/>
      <c r="AA120" s="805"/>
      <c r="AB120" s="801"/>
      <c r="AC120" s="801"/>
      <c r="AU120" s="807"/>
      <c r="AY120" s="808"/>
      <c r="BK120" s="809"/>
    </row>
    <row r="121" spans="1:63" s="398" customFormat="1" ht="37.35" customHeight="1">
      <c r="A121" s="181"/>
      <c r="B121" s="399"/>
      <c r="C121" s="485" t="s">
        <v>214</v>
      </c>
      <c r="D121" s="486"/>
      <c r="E121" s="94" t="s">
        <v>1162</v>
      </c>
      <c r="F121" s="960" t="s">
        <v>668</v>
      </c>
      <c r="G121" s="960"/>
      <c r="H121" s="960"/>
      <c r="I121" s="960"/>
      <c r="J121" s="94" t="s">
        <v>131</v>
      </c>
      <c r="K121" s="134">
        <v>1</v>
      </c>
      <c r="L121" s="21"/>
      <c r="M121" s="58"/>
      <c r="N121" s="966">
        <f t="shared" si="0"/>
        <v>0</v>
      </c>
      <c r="O121" s="966"/>
      <c r="P121" s="966"/>
      <c r="Q121" s="966"/>
      <c r="R121" s="181"/>
      <c r="S121" s="181"/>
      <c r="T121" s="181"/>
      <c r="U121" s="181"/>
      <c r="V121" s="181"/>
      <c r="W121" s="402"/>
      <c r="X121" s="181"/>
      <c r="Y121" s="402"/>
      <c r="Z121" s="181"/>
      <c r="AA121" s="402"/>
      <c r="AB121" s="181"/>
      <c r="AC121" s="181"/>
      <c r="AU121" s="405"/>
      <c r="AY121" s="404"/>
      <c r="BK121" s="406"/>
    </row>
    <row r="122" spans="2:63" s="398" customFormat="1" ht="30" customHeight="1">
      <c r="B122" s="455"/>
      <c r="C122" s="485" t="s">
        <v>215</v>
      </c>
      <c r="D122" s="490"/>
      <c r="E122" s="94" t="s">
        <v>1163</v>
      </c>
      <c r="F122" s="960" t="s">
        <v>255</v>
      </c>
      <c r="G122" s="965"/>
      <c r="H122" s="965"/>
      <c r="I122" s="965"/>
      <c r="J122" s="94" t="s">
        <v>131</v>
      </c>
      <c r="K122" s="125">
        <v>1</v>
      </c>
      <c r="L122" s="21"/>
      <c r="M122" s="58"/>
      <c r="N122" s="966">
        <f>ROUND(L122*K122,2)</f>
        <v>0</v>
      </c>
      <c r="O122" s="966"/>
      <c r="P122" s="966"/>
      <c r="Q122" s="966"/>
      <c r="R122" s="58"/>
      <c r="S122" s="181"/>
      <c r="T122" s="181"/>
      <c r="U122" s="181"/>
      <c r="V122" s="181"/>
      <c r="W122" s="402">
        <f>SUM(W127:W156)</f>
        <v>0</v>
      </c>
      <c r="X122" s="181"/>
      <c r="Y122" s="402">
        <f>SUM(Y127:Y156)</f>
        <v>0</v>
      </c>
      <c r="Z122" s="181"/>
      <c r="AA122" s="402">
        <f>SUM(AA127:AA156)</f>
        <v>0</v>
      </c>
      <c r="AB122" s="181"/>
      <c r="AC122" s="181"/>
      <c r="AU122" s="405" t="s">
        <v>69</v>
      </c>
      <c r="AY122" s="404" t="s">
        <v>125</v>
      </c>
      <c r="BK122" s="406">
        <f>SUM(BK127:BK156)</f>
        <v>0</v>
      </c>
    </row>
    <row r="123" spans="2:47" s="162" customFormat="1" ht="30" customHeight="1">
      <c r="B123" s="455"/>
      <c r="C123" s="485" t="s">
        <v>216</v>
      </c>
      <c r="D123" s="490"/>
      <c r="E123" s="94" t="s">
        <v>1164</v>
      </c>
      <c r="F123" s="965" t="s">
        <v>247</v>
      </c>
      <c r="G123" s="965"/>
      <c r="H123" s="965"/>
      <c r="I123" s="965"/>
      <c r="J123" s="135" t="s">
        <v>131</v>
      </c>
      <c r="K123" s="125">
        <v>1</v>
      </c>
      <c r="L123" s="21"/>
      <c r="M123" s="58"/>
      <c r="N123" s="966">
        <f>ROUND(L123*K123,2)</f>
        <v>0</v>
      </c>
      <c r="O123" s="966"/>
      <c r="P123" s="966"/>
      <c r="Q123" s="966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U123" s="448" t="s">
        <v>76</v>
      </c>
    </row>
    <row r="124" spans="2:47" s="162" customFormat="1" ht="30" customHeight="1">
      <c r="B124" s="455"/>
      <c r="C124" s="485" t="s">
        <v>217</v>
      </c>
      <c r="D124" s="490"/>
      <c r="E124" s="94" t="s">
        <v>1165</v>
      </c>
      <c r="F124" s="965" t="s">
        <v>244</v>
      </c>
      <c r="G124" s="965"/>
      <c r="H124" s="965"/>
      <c r="I124" s="965"/>
      <c r="J124" s="135" t="s">
        <v>131</v>
      </c>
      <c r="K124" s="125">
        <v>1</v>
      </c>
      <c r="L124" s="21"/>
      <c r="M124" s="58"/>
      <c r="N124" s="966">
        <f>ROUND(L124*K124,2)</f>
        <v>0</v>
      </c>
      <c r="O124" s="966"/>
      <c r="P124" s="966"/>
      <c r="Q124" s="966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U124" s="448" t="s">
        <v>76</v>
      </c>
    </row>
    <row r="125" spans="2:47" s="716" customFormat="1" ht="30" customHeight="1">
      <c r="B125" s="717"/>
      <c r="C125" s="760" t="s">
        <v>218</v>
      </c>
      <c r="D125" s="718"/>
      <c r="E125" s="767" t="s">
        <v>1166</v>
      </c>
      <c r="F125" s="954" t="s">
        <v>206</v>
      </c>
      <c r="G125" s="954"/>
      <c r="H125" s="954"/>
      <c r="I125" s="954"/>
      <c r="J125" s="103" t="s">
        <v>2227</v>
      </c>
      <c r="K125" s="124">
        <v>1</v>
      </c>
      <c r="L125" s="122"/>
      <c r="M125" s="58"/>
      <c r="N125" s="1009">
        <f>ROUND(L125*K125,2)</f>
        <v>0</v>
      </c>
      <c r="O125" s="1009"/>
      <c r="P125" s="1009"/>
      <c r="Q125" s="1009"/>
      <c r="R125" s="721"/>
      <c r="S125" s="58"/>
      <c r="T125" s="721"/>
      <c r="U125" s="721"/>
      <c r="V125" s="721"/>
      <c r="W125" s="721"/>
      <c r="X125" s="721"/>
      <c r="Y125" s="721"/>
      <c r="Z125" s="721"/>
      <c r="AA125" s="721"/>
      <c r="AB125" s="721"/>
      <c r="AC125" s="721"/>
      <c r="AU125" s="724" t="s">
        <v>76</v>
      </c>
    </row>
    <row r="126" spans="2:65" s="716" customFormat="1" ht="30" customHeight="1">
      <c r="B126" s="717"/>
      <c r="C126" s="760" t="s">
        <v>219</v>
      </c>
      <c r="D126" s="810"/>
      <c r="E126" s="767" t="s">
        <v>1167</v>
      </c>
      <c r="F126" s="954" t="s">
        <v>2226</v>
      </c>
      <c r="G126" s="954"/>
      <c r="H126" s="954"/>
      <c r="I126" s="954"/>
      <c r="J126" s="103" t="s">
        <v>2227</v>
      </c>
      <c r="K126" s="136">
        <v>1</v>
      </c>
      <c r="L126" s="131"/>
      <c r="M126" s="58"/>
      <c r="N126" s="1133">
        <f>ROUND(L126*K126,2)</f>
        <v>0</v>
      </c>
      <c r="O126" s="1133"/>
      <c r="P126" s="1133"/>
      <c r="Q126" s="1133"/>
      <c r="R126" s="721"/>
      <c r="S126" s="58"/>
      <c r="T126" s="748"/>
      <c r="U126" s="726"/>
      <c r="V126" s="727"/>
      <c r="W126" s="727" t="e">
        <f>V126*#REF!</f>
        <v>#REF!</v>
      </c>
      <c r="X126" s="727">
        <v>0</v>
      </c>
      <c r="Y126" s="727" t="e">
        <f>X126*#REF!</f>
        <v>#REF!</v>
      </c>
      <c r="Z126" s="727">
        <v>0</v>
      </c>
      <c r="AA126" s="727" t="e">
        <f>Z126*#REF!</f>
        <v>#REF!</v>
      </c>
      <c r="AB126" s="721"/>
      <c r="AC126" s="721"/>
      <c r="AU126" s="724" t="s">
        <v>76</v>
      </c>
      <c r="AY126" s="724" t="s">
        <v>125</v>
      </c>
      <c r="BE126" s="729">
        <f>IF(U126="základní",#REF!,0)</f>
        <v>0</v>
      </c>
      <c r="BF126" s="729">
        <f>IF(U126="snížená",#REF!,0)</f>
        <v>0</v>
      </c>
      <c r="BG126" s="729">
        <f>IF(U126="zákl. přenesená",#REF!,0)</f>
        <v>0</v>
      </c>
      <c r="BH126" s="729">
        <f>IF(U126="sníž. přenesená",#REF!,0)</f>
        <v>0</v>
      </c>
      <c r="BI126" s="729">
        <f>IF(U126="nulová",#REF!,0)</f>
        <v>0</v>
      </c>
      <c r="BJ126" s="724" t="s">
        <v>80</v>
      </c>
      <c r="BK126" s="729" t="e">
        <f>ROUND(#REF!*#REF!,2)</f>
        <v>#REF!</v>
      </c>
      <c r="BL126" s="724" t="s">
        <v>128</v>
      </c>
      <c r="BM126" s="724" t="s">
        <v>139</v>
      </c>
    </row>
    <row r="127" spans="2:65" s="162" customFormat="1" ht="33" customHeight="1">
      <c r="B127" s="58"/>
      <c r="C127" s="58"/>
      <c r="D127" s="58"/>
      <c r="E127" s="58"/>
      <c r="F127" s="1135"/>
      <c r="G127" s="1135"/>
      <c r="H127" s="1135"/>
      <c r="I127" s="1135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89" t="s">
        <v>5</v>
      </c>
      <c r="U127" s="221" t="s">
        <v>36</v>
      </c>
      <c r="V127" s="408">
        <v>0</v>
      </c>
      <c r="W127" s="408">
        <f>V127*K144</f>
        <v>0</v>
      </c>
      <c r="X127" s="408">
        <v>0</v>
      </c>
      <c r="Y127" s="408">
        <f>X127*K144</f>
        <v>0</v>
      </c>
      <c r="Z127" s="408">
        <v>0</v>
      </c>
      <c r="AA127" s="408">
        <f>Z127*K144</f>
        <v>0</v>
      </c>
      <c r="AB127" s="58"/>
      <c r="AC127" s="58"/>
      <c r="AE127" s="422"/>
      <c r="AR127" s="448" t="s">
        <v>128</v>
      </c>
      <c r="AT127" s="448" t="s">
        <v>126</v>
      </c>
      <c r="AU127" s="448" t="s">
        <v>76</v>
      </c>
      <c r="AY127" s="448" t="s">
        <v>125</v>
      </c>
      <c r="BE127" s="484">
        <f>IF(U127="základní",N144,0)</f>
        <v>0</v>
      </c>
      <c r="BF127" s="484">
        <f>IF(U127="snížená",N144,0)</f>
        <v>0</v>
      </c>
      <c r="BG127" s="484">
        <f>IF(U127="zákl. přenesená",N144,0)</f>
        <v>0</v>
      </c>
      <c r="BH127" s="484">
        <f>IF(U127="sníž. přenesená",N144,0)</f>
        <v>0</v>
      </c>
      <c r="BI127" s="484">
        <f>IF(U127="nulová",N144,0)</f>
        <v>0</v>
      </c>
      <c r="BJ127" s="448" t="s">
        <v>80</v>
      </c>
      <c r="BK127" s="484">
        <f>ROUND(L144*K144,2)</f>
        <v>0</v>
      </c>
      <c r="BL127" s="448" t="s">
        <v>128</v>
      </c>
      <c r="BM127" s="448" t="s">
        <v>145</v>
      </c>
    </row>
    <row r="128" spans="2:47" s="162" customFormat="1" ht="30" customHeight="1">
      <c r="B128" s="58"/>
      <c r="C128" s="58"/>
      <c r="D128" s="58"/>
      <c r="E128" s="58"/>
      <c r="F128" s="1135"/>
      <c r="G128" s="1135"/>
      <c r="H128" s="1135"/>
      <c r="I128" s="1135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E128" s="58"/>
      <c r="AT128" s="448" t="s">
        <v>182</v>
      </c>
      <c r="AU128" s="448" t="s">
        <v>76</v>
      </c>
    </row>
    <row r="129" spans="2:65" s="162" customFormat="1" ht="31.5" customHeight="1">
      <c r="B129" s="58"/>
      <c r="C129" s="58"/>
      <c r="D129" s="58"/>
      <c r="E129" s="58"/>
      <c r="F129" s="1135"/>
      <c r="G129" s="1135"/>
      <c r="H129" s="1135"/>
      <c r="I129" s="1135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89" t="s">
        <v>5</v>
      </c>
      <c r="U129" s="221" t="s">
        <v>36</v>
      </c>
      <c r="V129" s="408">
        <v>0</v>
      </c>
      <c r="W129" s="408">
        <f>V129*K156</f>
        <v>0</v>
      </c>
      <c r="X129" s="408">
        <v>0</v>
      </c>
      <c r="Y129" s="408">
        <f>X129*K156</f>
        <v>0</v>
      </c>
      <c r="Z129" s="408">
        <v>0</v>
      </c>
      <c r="AA129" s="408">
        <f>Z129*K156</f>
        <v>0</v>
      </c>
      <c r="AB129" s="58"/>
      <c r="AC129" s="58"/>
      <c r="AR129" s="448" t="s">
        <v>128</v>
      </c>
      <c r="AT129" s="448" t="s">
        <v>126</v>
      </c>
      <c r="AU129" s="448" t="s">
        <v>76</v>
      </c>
      <c r="AY129" s="448" t="s">
        <v>125</v>
      </c>
      <c r="BE129" s="484">
        <f>IF(U129="základní",N156,0)</f>
        <v>0</v>
      </c>
      <c r="BF129" s="484">
        <f>IF(U129="snížená",N156,0)</f>
        <v>0</v>
      </c>
      <c r="BG129" s="484">
        <f>IF(U129="zákl. přenesená",N156,0)</f>
        <v>0</v>
      </c>
      <c r="BH129" s="484">
        <f>IF(U129="sníž. přenesená",N156,0)</f>
        <v>0</v>
      </c>
      <c r="BI129" s="484">
        <f>IF(U129="nulová",N156,0)</f>
        <v>0</v>
      </c>
      <c r="BJ129" s="448" t="s">
        <v>80</v>
      </c>
      <c r="BK129" s="484">
        <f>ROUND(L156*K156,2)</f>
        <v>0</v>
      </c>
      <c r="BL129" s="448" t="s">
        <v>128</v>
      </c>
      <c r="BM129" s="448" t="s">
        <v>146</v>
      </c>
    </row>
    <row r="130" spans="2:47" s="162" customFormat="1" ht="42" customHeight="1">
      <c r="B130" s="58"/>
      <c r="C130" s="58"/>
      <c r="D130" s="58"/>
      <c r="E130" s="58"/>
      <c r="F130" s="1135"/>
      <c r="G130" s="1135"/>
      <c r="H130" s="1135"/>
      <c r="I130" s="1135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07"/>
      <c r="AT130" s="448" t="s">
        <v>182</v>
      </c>
      <c r="AU130" s="448" t="s">
        <v>76</v>
      </c>
    </row>
    <row r="131" spans="2:65" s="162" customFormat="1" ht="31.5" customHeight="1">
      <c r="B131" s="58"/>
      <c r="C131" s="58"/>
      <c r="D131" s="58"/>
      <c r="E131" s="58"/>
      <c r="F131" s="1135"/>
      <c r="G131" s="1135"/>
      <c r="H131" s="1135"/>
      <c r="I131" s="1135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483" t="s">
        <v>5</v>
      </c>
      <c r="U131" s="221" t="s">
        <v>36</v>
      </c>
      <c r="V131" s="408">
        <v>0</v>
      </c>
      <c r="W131" s="408">
        <f>V131*K158</f>
        <v>0</v>
      </c>
      <c r="X131" s="408">
        <v>0</v>
      </c>
      <c r="Y131" s="408">
        <f>X131*K158</f>
        <v>0</v>
      </c>
      <c r="Z131" s="408">
        <v>0</v>
      </c>
      <c r="AA131" s="409">
        <f>Z131*K158</f>
        <v>0</v>
      </c>
      <c r="AR131" s="448" t="s">
        <v>128</v>
      </c>
      <c r="AT131" s="448" t="s">
        <v>126</v>
      </c>
      <c r="AU131" s="448" t="s">
        <v>76</v>
      </c>
      <c r="AY131" s="448" t="s">
        <v>125</v>
      </c>
      <c r="BE131" s="484">
        <f>IF(U131="základní",N158,0)</f>
        <v>0</v>
      </c>
      <c r="BF131" s="484">
        <f>IF(U131="snížená",N158,0)</f>
        <v>0</v>
      </c>
      <c r="BG131" s="484">
        <f>IF(U131="zákl. přenesená",N158,0)</f>
        <v>0</v>
      </c>
      <c r="BH131" s="484">
        <f>IF(U131="sníž. přenesená",N158,0)</f>
        <v>0</v>
      </c>
      <c r="BI131" s="484">
        <f>IF(U131="nulová",N158,0)</f>
        <v>0</v>
      </c>
      <c r="BJ131" s="448" t="s">
        <v>80</v>
      </c>
      <c r="BK131" s="484">
        <f>ROUND(L158*K158,2)</f>
        <v>0</v>
      </c>
      <c r="BL131" s="448" t="s">
        <v>128</v>
      </c>
      <c r="BM131" s="448" t="s">
        <v>147</v>
      </c>
    </row>
    <row r="132" spans="2:47" s="162" customFormat="1" ht="42" customHeight="1">
      <c r="B132" s="58"/>
      <c r="C132" s="58"/>
      <c r="D132" s="58"/>
      <c r="E132" s="58"/>
      <c r="F132" s="1135"/>
      <c r="G132" s="1135"/>
      <c r="H132" s="1135"/>
      <c r="I132" s="1135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07"/>
      <c r="AC132" s="423"/>
      <c r="AT132" s="448" t="s">
        <v>182</v>
      </c>
      <c r="AU132" s="448" t="s">
        <v>76</v>
      </c>
    </row>
    <row r="133" spans="2:65" s="162" customFormat="1" ht="31.5" customHeight="1">
      <c r="B133" s="58"/>
      <c r="C133" s="58"/>
      <c r="D133" s="58"/>
      <c r="E133" s="58"/>
      <c r="F133" s="1135"/>
      <c r="G133" s="1135"/>
      <c r="H133" s="1135"/>
      <c r="I133" s="1135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483" t="s">
        <v>5</v>
      </c>
      <c r="U133" s="221" t="s">
        <v>36</v>
      </c>
      <c r="V133" s="408">
        <v>0</v>
      </c>
      <c r="W133" s="408">
        <f>V133*K160</f>
        <v>0</v>
      </c>
      <c r="X133" s="408">
        <v>0</v>
      </c>
      <c r="Y133" s="408">
        <f>X133*K160</f>
        <v>0</v>
      </c>
      <c r="Z133" s="408">
        <v>0</v>
      </c>
      <c r="AA133" s="409">
        <f>Z133*K160</f>
        <v>0</v>
      </c>
      <c r="AR133" s="448" t="s">
        <v>128</v>
      </c>
      <c r="AT133" s="448" t="s">
        <v>126</v>
      </c>
      <c r="AU133" s="448" t="s">
        <v>76</v>
      </c>
      <c r="AY133" s="448" t="s">
        <v>125</v>
      </c>
      <c r="BE133" s="484">
        <f>IF(U133="základní",N160,0)</f>
        <v>0</v>
      </c>
      <c r="BF133" s="484">
        <f>IF(U133="snížená",N160,0)</f>
        <v>0</v>
      </c>
      <c r="BG133" s="484">
        <f>IF(U133="zákl. přenesená",N160,0)</f>
        <v>0</v>
      </c>
      <c r="BH133" s="484">
        <f>IF(U133="sníž. přenesená",N160,0)</f>
        <v>0</v>
      </c>
      <c r="BI133" s="484">
        <f>IF(U133="nulová",N160,0)</f>
        <v>0</v>
      </c>
      <c r="BJ133" s="448" t="s">
        <v>80</v>
      </c>
      <c r="BK133" s="484">
        <f>ROUND(L160*K160,2)</f>
        <v>0</v>
      </c>
      <c r="BL133" s="448" t="s">
        <v>128</v>
      </c>
      <c r="BM133" s="448" t="s">
        <v>148</v>
      </c>
    </row>
    <row r="134" spans="2:47" s="162" customFormat="1" ht="33" customHeight="1">
      <c r="B134" s="58"/>
      <c r="C134" s="58"/>
      <c r="D134" s="58"/>
      <c r="E134" s="58"/>
      <c r="F134" s="1135"/>
      <c r="G134" s="1135"/>
      <c r="H134" s="1135"/>
      <c r="I134" s="1135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07"/>
      <c r="AT134" s="448" t="s">
        <v>182</v>
      </c>
      <c r="AU134" s="448" t="s">
        <v>76</v>
      </c>
    </row>
    <row r="135" spans="2:65" s="162" customFormat="1" ht="31.5" customHeight="1">
      <c r="B135" s="58"/>
      <c r="C135" s="58"/>
      <c r="D135" s="58"/>
      <c r="E135" s="58"/>
      <c r="F135" s="1135"/>
      <c r="G135" s="1135"/>
      <c r="H135" s="1135"/>
      <c r="I135" s="1135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483" t="s">
        <v>5</v>
      </c>
      <c r="U135" s="221" t="s">
        <v>36</v>
      </c>
      <c r="V135" s="408">
        <v>0</v>
      </c>
      <c r="W135" s="408">
        <f>V135*K162</f>
        <v>0</v>
      </c>
      <c r="X135" s="408">
        <v>0</v>
      </c>
      <c r="Y135" s="408">
        <f>X135*K162</f>
        <v>0</v>
      </c>
      <c r="Z135" s="408">
        <v>0</v>
      </c>
      <c r="AA135" s="409">
        <f>Z135*K162</f>
        <v>0</v>
      </c>
      <c r="AR135" s="448" t="s">
        <v>128</v>
      </c>
      <c r="AT135" s="448" t="s">
        <v>126</v>
      </c>
      <c r="AU135" s="448" t="s">
        <v>76</v>
      </c>
      <c r="AY135" s="448" t="s">
        <v>125</v>
      </c>
      <c r="BE135" s="484">
        <f>IF(U135="základní",N162,0)</f>
        <v>0</v>
      </c>
      <c r="BF135" s="484">
        <f>IF(U135="snížená",N162,0)</f>
        <v>0</v>
      </c>
      <c r="BG135" s="484">
        <f>IF(U135="zákl. přenesená",N162,0)</f>
        <v>0</v>
      </c>
      <c r="BH135" s="484">
        <f>IF(U135="sníž. přenesená",N162,0)</f>
        <v>0</v>
      </c>
      <c r="BI135" s="484">
        <f>IF(U135="nulová",N162,0)</f>
        <v>0</v>
      </c>
      <c r="BJ135" s="448" t="s">
        <v>80</v>
      </c>
      <c r="BK135" s="484">
        <f>ROUND(L162*K162,2)</f>
        <v>0</v>
      </c>
      <c r="BL135" s="448" t="s">
        <v>128</v>
      </c>
      <c r="BM135" s="448" t="s">
        <v>149</v>
      </c>
    </row>
    <row r="136" spans="2:47" s="162" customFormat="1" ht="30" customHeight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07"/>
      <c r="AT136" s="448" t="s">
        <v>182</v>
      </c>
      <c r="AU136" s="448" t="s">
        <v>76</v>
      </c>
    </row>
    <row r="137" spans="2:65" s="162" customFormat="1" ht="31.5" customHeight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483" t="s">
        <v>5</v>
      </c>
      <c r="U137" s="221" t="s">
        <v>36</v>
      </c>
      <c r="V137" s="408">
        <v>0</v>
      </c>
      <c r="W137" s="408">
        <f>V137*K164</f>
        <v>0</v>
      </c>
      <c r="X137" s="408">
        <v>0</v>
      </c>
      <c r="Y137" s="408">
        <f>X137*K164</f>
        <v>0</v>
      </c>
      <c r="Z137" s="408">
        <v>0</v>
      </c>
      <c r="AA137" s="409">
        <f>Z137*K164</f>
        <v>0</v>
      </c>
      <c r="AR137" s="448" t="s">
        <v>128</v>
      </c>
      <c r="AT137" s="448" t="s">
        <v>126</v>
      </c>
      <c r="AU137" s="448" t="s">
        <v>76</v>
      </c>
      <c r="AY137" s="448" t="s">
        <v>125</v>
      </c>
      <c r="BE137" s="484">
        <f>IF(U137="základní",N164,0)</f>
        <v>0</v>
      </c>
      <c r="BF137" s="484">
        <f>IF(U137="snížená",N164,0)</f>
        <v>0</v>
      </c>
      <c r="BG137" s="484">
        <f>IF(U137="zákl. přenesená",N164,0)</f>
        <v>0</v>
      </c>
      <c r="BH137" s="484">
        <f>IF(U137="sníž. přenesená",N164,0)</f>
        <v>0</v>
      </c>
      <c r="BI137" s="484">
        <f>IF(U137="nulová",N164,0)</f>
        <v>0</v>
      </c>
      <c r="BJ137" s="448" t="s">
        <v>80</v>
      </c>
      <c r="BK137" s="484">
        <f>ROUND(L164*K164,2)</f>
        <v>0</v>
      </c>
      <c r="BL137" s="448" t="s">
        <v>128</v>
      </c>
      <c r="BM137" s="448" t="s">
        <v>150</v>
      </c>
    </row>
    <row r="138" spans="2:47" s="162" customFormat="1" ht="25.5" customHeight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07"/>
      <c r="AT138" s="448" t="s">
        <v>182</v>
      </c>
      <c r="AU138" s="448" t="s">
        <v>76</v>
      </c>
    </row>
    <row r="139" spans="2:65" s="162" customFormat="1" ht="26.25" customHeight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483" t="s">
        <v>5</v>
      </c>
      <c r="U139" s="221" t="s">
        <v>36</v>
      </c>
      <c r="V139" s="408">
        <v>0</v>
      </c>
      <c r="W139" s="408">
        <f>V139*K166</f>
        <v>0</v>
      </c>
      <c r="X139" s="408">
        <v>0</v>
      </c>
      <c r="Y139" s="408">
        <f>X139*K166</f>
        <v>0</v>
      </c>
      <c r="Z139" s="408">
        <v>0</v>
      </c>
      <c r="AA139" s="409">
        <f>Z139*K166</f>
        <v>0</v>
      </c>
      <c r="AR139" s="448" t="s">
        <v>128</v>
      </c>
      <c r="AT139" s="448" t="s">
        <v>126</v>
      </c>
      <c r="AU139" s="448" t="s">
        <v>76</v>
      </c>
      <c r="AY139" s="448" t="s">
        <v>125</v>
      </c>
      <c r="BE139" s="484">
        <f>IF(U139="základní",N166,0)</f>
        <v>0</v>
      </c>
      <c r="BF139" s="484">
        <f>IF(U139="snížená",N166,0)</f>
        <v>0</v>
      </c>
      <c r="BG139" s="484">
        <f>IF(U139="zákl. přenesená",N166,0)</f>
        <v>0</v>
      </c>
      <c r="BH139" s="484">
        <f>IF(U139="sníž. přenesená",N166,0)</f>
        <v>0</v>
      </c>
      <c r="BI139" s="484">
        <f>IF(U139="nulová",N166,0)</f>
        <v>0</v>
      </c>
      <c r="BJ139" s="448" t="s">
        <v>80</v>
      </c>
      <c r="BK139" s="484">
        <f>ROUND(L166*K166,2)</f>
        <v>0</v>
      </c>
      <c r="BL139" s="448" t="s">
        <v>128</v>
      </c>
      <c r="BM139" s="448" t="s">
        <v>151</v>
      </c>
    </row>
    <row r="140" spans="2:47" s="162" customFormat="1" ht="24" customHeight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07"/>
      <c r="AT140" s="448" t="s">
        <v>182</v>
      </c>
      <c r="AU140" s="448" t="s">
        <v>76</v>
      </c>
    </row>
    <row r="141" spans="2:65" s="162" customFormat="1" ht="23.25" customHeight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483" t="s">
        <v>5</v>
      </c>
      <c r="U141" s="221" t="s">
        <v>36</v>
      </c>
      <c r="V141" s="408">
        <v>0</v>
      </c>
      <c r="W141" s="408">
        <f>V141*K169</f>
        <v>0</v>
      </c>
      <c r="X141" s="408">
        <v>0</v>
      </c>
      <c r="Y141" s="408">
        <f>X141*K169</f>
        <v>0</v>
      </c>
      <c r="Z141" s="408">
        <v>0</v>
      </c>
      <c r="AA141" s="409">
        <f>Z141*K169</f>
        <v>0</v>
      </c>
      <c r="AR141" s="448" t="s">
        <v>128</v>
      </c>
      <c r="AT141" s="448" t="s">
        <v>126</v>
      </c>
      <c r="AU141" s="448" t="s">
        <v>76</v>
      </c>
      <c r="AY141" s="448" t="s">
        <v>125</v>
      </c>
      <c r="BE141" s="484">
        <f>IF(U141="základní",N169,0)</f>
        <v>0</v>
      </c>
      <c r="BF141" s="484">
        <f>IF(U141="snížená",N169,0)</f>
        <v>0</v>
      </c>
      <c r="BG141" s="484">
        <f>IF(U141="zákl. přenesená",N169,0)</f>
        <v>0</v>
      </c>
      <c r="BH141" s="484">
        <f>IF(U141="sníž. přenesená",N169,0)</f>
        <v>0</v>
      </c>
      <c r="BI141" s="484">
        <f>IF(U141="nulová",N169,0)</f>
        <v>0</v>
      </c>
      <c r="BJ141" s="448" t="s">
        <v>80</v>
      </c>
      <c r="BK141" s="484">
        <f>ROUND(L169*K169,2)</f>
        <v>0</v>
      </c>
      <c r="BL141" s="448" t="s">
        <v>128</v>
      </c>
      <c r="BM141" s="448" t="s">
        <v>152</v>
      </c>
    </row>
    <row r="142" spans="2:47" s="162" customFormat="1" ht="42" customHeight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07"/>
      <c r="AT142" s="448" t="s">
        <v>182</v>
      </c>
      <c r="AU142" s="448" t="s">
        <v>76</v>
      </c>
    </row>
    <row r="143" spans="1:65" s="162" customFormat="1" ht="31.5" customHeight="1">
      <c r="A143" s="58"/>
      <c r="B143" s="58"/>
      <c r="C143" s="181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971"/>
      <c r="O143" s="926"/>
      <c r="P143" s="926"/>
      <c r="Q143" s="926"/>
      <c r="R143" s="58"/>
      <c r="S143" s="58"/>
      <c r="T143" s="483" t="s">
        <v>5</v>
      </c>
      <c r="U143" s="221" t="s">
        <v>36</v>
      </c>
      <c r="V143" s="408">
        <v>0</v>
      </c>
      <c r="W143" s="408">
        <f>V143*K174</f>
        <v>0</v>
      </c>
      <c r="X143" s="408">
        <v>0</v>
      </c>
      <c r="Y143" s="408">
        <f>X143*K174</f>
        <v>0</v>
      </c>
      <c r="Z143" s="408">
        <v>0</v>
      </c>
      <c r="AA143" s="409">
        <f>Z143*K174</f>
        <v>0</v>
      </c>
      <c r="AR143" s="448" t="s">
        <v>128</v>
      </c>
      <c r="AT143" s="448" t="s">
        <v>126</v>
      </c>
      <c r="AU143" s="448" t="s">
        <v>76</v>
      </c>
      <c r="AY143" s="448" t="s">
        <v>125</v>
      </c>
      <c r="BE143" s="484">
        <f>IF(U143="základní",N174,0)</f>
        <v>0</v>
      </c>
      <c r="BF143" s="484">
        <f>IF(U143="snížená",N174,0)</f>
        <v>0</v>
      </c>
      <c r="BG143" s="484">
        <f>IF(U143="zákl. přenesená",N174,0)</f>
        <v>0</v>
      </c>
      <c r="BH143" s="484">
        <f>IF(U143="sníž. přenesená",N174,0)</f>
        <v>0</v>
      </c>
      <c r="BI143" s="484">
        <f>IF(U143="nulová",N174,0)</f>
        <v>0</v>
      </c>
      <c r="BJ143" s="448" t="s">
        <v>80</v>
      </c>
      <c r="BK143" s="484">
        <f>ROUND(L174*K174,2)</f>
        <v>0</v>
      </c>
      <c r="BL143" s="448" t="s">
        <v>128</v>
      </c>
      <c r="BM143" s="448" t="s">
        <v>153</v>
      </c>
    </row>
    <row r="144" spans="1:47" s="162" customFormat="1" ht="30" customHeight="1">
      <c r="A144" s="58"/>
      <c r="B144" s="58"/>
      <c r="C144" s="522"/>
      <c r="D144" s="522"/>
      <c r="E144" s="524"/>
      <c r="F144" s="991"/>
      <c r="G144" s="991"/>
      <c r="H144" s="991"/>
      <c r="I144" s="991"/>
      <c r="J144" s="525"/>
      <c r="K144" s="531"/>
      <c r="L144" s="989"/>
      <c r="M144" s="989"/>
      <c r="N144" s="989"/>
      <c r="O144" s="989"/>
      <c r="P144" s="989"/>
      <c r="Q144" s="989"/>
      <c r="R144" s="58"/>
      <c r="S144" s="58"/>
      <c r="T144" s="58"/>
      <c r="U144" s="58"/>
      <c r="V144" s="58"/>
      <c r="W144" s="58"/>
      <c r="X144" s="58"/>
      <c r="Y144" s="58"/>
      <c r="Z144" s="58"/>
      <c r="AA144" s="507"/>
      <c r="AT144" s="448" t="s">
        <v>182</v>
      </c>
      <c r="AU144" s="448" t="s">
        <v>76</v>
      </c>
    </row>
    <row r="145" spans="1:65" s="162" customFormat="1" ht="31.5" customHeight="1">
      <c r="A145" s="58"/>
      <c r="B145" s="58"/>
      <c r="C145" s="58"/>
      <c r="D145" s="58"/>
      <c r="E145" s="58"/>
      <c r="F145" s="986"/>
      <c r="G145" s="973"/>
      <c r="H145" s="973"/>
      <c r="I145" s="973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483" t="s">
        <v>5</v>
      </c>
      <c r="U145" s="221" t="s">
        <v>36</v>
      </c>
      <c r="V145" s="408">
        <v>0</v>
      </c>
      <c r="W145" s="408">
        <f>V145*K175</f>
        <v>0</v>
      </c>
      <c r="X145" s="408">
        <v>0</v>
      </c>
      <c r="Y145" s="408">
        <f>X145*K175</f>
        <v>0</v>
      </c>
      <c r="Z145" s="408">
        <v>0</v>
      </c>
      <c r="AA145" s="409">
        <f>Z145*K175</f>
        <v>0</v>
      </c>
      <c r="AR145" s="448" t="s">
        <v>128</v>
      </c>
      <c r="AT145" s="448" t="s">
        <v>126</v>
      </c>
      <c r="AU145" s="448" t="s">
        <v>76</v>
      </c>
      <c r="AY145" s="448" t="s">
        <v>125</v>
      </c>
      <c r="BE145" s="484">
        <f>IF(U145="základní",N175,0)</f>
        <v>0</v>
      </c>
      <c r="BF145" s="484">
        <f>IF(U145="snížená",N175,0)</f>
        <v>0</v>
      </c>
      <c r="BG145" s="484">
        <f>IF(U145="zákl. přenesená",N175,0)</f>
        <v>0</v>
      </c>
      <c r="BH145" s="484">
        <f>IF(U145="sníž. přenesená",N175,0)</f>
        <v>0</v>
      </c>
      <c r="BI145" s="484">
        <f>IF(U145="nulová",N175,0)</f>
        <v>0</v>
      </c>
      <c r="BJ145" s="448" t="s">
        <v>80</v>
      </c>
      <c r="BK145" s="484">
        <f>ROUND(L175*K175,2)</f>
        <v>0</v>
      </c>
      <c r="BL145" s="448" t="s">
        <v>128</v>
      </c>
      <c r="BM145" s="448" t="s">
        <v>154</v>
      </c>
    </row>
    <row r="146" spans="1:47" s="162" customFormat="1" ht="30" customHeight="1">
      <c r="A146" s="58"/>
      <c r="B146" s="58"/>
      <c r="C146" s="522"/>
      <c r="D146" s="522"/>
      <c r="E146" s="524"/>
      <c r="F146" s="1101"/>
      <c r="G146" s="991"/>
      <c r="H146" s="991"/>
      <c r="I146" s="991"/>
      <c r="J146" s="525"/>
      <c r="K146" s="531"/>
      <c r="L146" s="989"/>
      <c r="M146" s="989"/>
      <c r="N146" s="989"/>
      <c r="O146" s="989"/>
      <c r="P146" s="989"/>
      <c r="Q146" s="989"/>
      <c r="R146" s="58"/>
      <c r="S146" s="58"/>
      <c r="T146" s="58"/>
      <c r="U146" s="58"/>
      <c r="V146" s="58"/>
      <c r="W146" s="58"/>
      <c r="X146" s="58"/>
      <c r="Y146" s="58"/>
      <c r="Z146" s="58"/>
      <c r="AA146" s="507"/>
      <c r="AT146" s="448" t="s">
        <v>182</v>
      </c>
      <c r="AU146" s="448" t="s">
        <v>76</v>
      </c>
    </row>
    <row r="147" spans="1:65" s="162" customFormat="1" ht="31.5" customHeight="1">
      <c r="A147" s="58"/>
      <c r="B147" s="58"/>
      <c r="C147" s="522"/>
      <c r="D147" s="522"/>
      <c r="E147" s="524"/>
      <c r="F147" s="1101"/>
      <c r="G147" s="991"/>
      <c r="H147" s="991"/>
      <c r="I147" s="991"/>
      <c r="J147" s="525"/>
      <c r="K147" s="531"/>
      <c r="L147" s="989"/>
      <c r="M147" s="989"/>
      <c r="N147" s="989"/>
      <c r="O147" s="989"/>
      <c r="P147" s="989"/>
      <c r="Q147" s="989"/>
      <c r="R147" s="58"/>
      <c r="S147" s="58"/>
      <c r="T147" s="483" t="s">
        <v>5</v>
      </c>
      <c r="U147" s="221" t="s">
        <v>36</v>
      </c>
      <c r="V147" s="408">
        <v>0</v>
      </c>
      <c r="W147" s="408">
        <f>V147*K177</f>
        <v>0</v>
      </c>
      <c r="X147" s="408">
        <v>0</v>
      </c>
      <c r="Y147" s="408">
        <f>X147*K177</f>
        <v>0</v>
      </c>
      <c r="Z147" s="408">
        <v>0</v>
      </c>
      <c r="AA147" s="409">
        <f>Z147*K177</f>
        <v>0</v>
      </c>
      <c r="AR147" s="448" t="s">
        <v>128</v>
      </c>
      <c r="AT147" s="448" t="s">
        <v>126</v>
      </c>
      <c r="AU147" s="448" t="s">
        <v>76</v>
      </c>
      <c r="AY147" s="448" t="s">
        <v>125</v>
      </c>
      <c r="BE147" s="484">
        <f>IF(U147="základní",N177,0)</f>
        <v>0</v>
      </c>
      <c r="BF147" s="484">
        <f>IF(U147="snížená",N177,0)</f>
        <v>0</v>
      </c>
      <c r="BG147" s="484">
        <f>IF(U147="zákl. přenesená",N177,0)</f>
        <v>0</v>
      </c>
      <c r="BH147" s="484">
        <f>IF(U147="sníž. přenesená",N177,0)</f>
        <v>0</v>
      </c>
      <c r="BI147" s="484">
        <f>IF(U147="nulová",N177,0)</f>
        <v>0</v>
      </c>
      <c r="BJ147" s="448" t="s">
        <v>80</v>
      </c>
      <c r="BK147" s="484">
        <f>ROUND(L177*K177,2)</f>
        <v>0</v>
      </c>
      <c r="BL147" s="448" t="s">
        <v>128</v>
      </c>
      <c r="BM147" s="448" t="s">
        <v>155</v>
      </c>
    </row>
    <row r="148" spans="1:47" s="162" customFormat="1" ht="27" customHeight="1">
      <c r="A148" s="58"/>
      <c r="B148" s="58"/>
      <c r="C148" s="522"/>
      <c r="D148" s="522"/>
      <c r="E148" s="524"/>
      <c r="F148" s="1101"/>
      <c r="G148" s="991"/>
      <c r="H148" s="991"/>
      <c r="I148" s="991"/>
      <c r="J148" s="525"/>
      <c r="K148" s="531"/>
      <c r="L148" s="989"/>
      <c r="M148" s="989"/>
      <c r="N148" s="989"/>
      <c r="O148" s="989"/>
      <c r="P148" s="989"/>
      <c r="Q148" s="989"/>
      <c r="R148" s="58"/>
      <c r="S148" s="58"/>
      <c r="T148" s="58"/>
      <c r="U148" s="58"/>
      <c r="V148" s="58"/>
      <c r="W148" s="58"/>
      <c r="X148" s="58"/>
      <c r="Y148" s="58"/>
      <c r="Z148" s="58"/>
      <c r="AA148" s="507"/>
      <c r="AT148" s="448" t="s">
        <v>182</v>
      </c>
      <c r="AU148" s="448" t="s">
        <v>76</v>
      </c>
    </row>
    <row r="149" spans="1:65" s="162" customFormat="1" ht="31.5" customHeight="1">
      <c r="A149" s="58"/>
      <c r="B149" s="58"/>
      <c r="C149" s="522"/>
      <c r="D149" s="522"/>
      <c r="E149" s="524"/>
      <c r="F149" s="1101"/>
      <c r="G149" s="991"/>
      <c r="H149" s="991"/>
      <c r="I149" s="991"/>
      <c r="J149" s="525"/>
      <c r="K149" s="531"/>
      <c r="L149" s="989"/>
      <c r="M149" s="989"/>
      <c r="N149" s="989"/>
      <c r="O149" s="989"/>
      <c r="P149" s="989"/>
      <c r="Q149" s="989"/>
      <c r="R149" s="58"/>
      <c r="S149" s="58"/>
      <c r="T149" s="483" t="s">
        <v>5</v>
      </c>
      <c r="U149" s="221" t="s">
        <v>36</v>
      </c>
      <c r="V149" s="408">
        <v>0</v>
      </c>
      <c r="W149" s="408">
        <f>V149*K179</f>
        <v>0</v>
      </c>
      <c r="X149" s="408">
        <v>0</v>
      </c>
      <c r="Y149" s="408">
        <f>X149*K179</f>
        <v>0</v>
      </c>
      <c r="Z149" s="408">
        <v>0</v>
      </c>
      <c r="AA149" s="409">
        <f>Z149*K179</f>
        <v>0</v>
      </c>
      <c r="AR149" s="448" t="s">
        <v>128</v>
      </c>
      <c r="AT149" s="448" t="s">
        <v>126</v>
      </c>
      <c r="AU149" s="448" t="s">
        <v>76</v>
      </c>
      <c r="AY149" s="448" t="s">
        <v>125</v>
      </c>
      <c r="BE149" s="484">
        <f>IF(U149="základní",N179,0)</f>
        <v>0</v>
      </c>
      <c r="BF149" s="484">
        <f>IF(U149="snížená",N179,0)</f>
        <v>0</v>
      </c>
      <c r="BG149" s="484">
        <f>IF(U149="zákl. přenesená",N179,0)</f>
        <v>0</v>
      </c>
      <c r="BH149" s="484">
        <f>IF(U149="sníž. přenesená",N179,0)</f>
        <v>0</v>
      </c>
      <c r="BI149" s="484">
        <f>IF(U149="nulová",N179,0)</f>
        <v>0</v>
      </c>
      <c r="BJ149" s="448" t="s">
        <v>80</v>
      </c>
      <c r="BK149" s="484">
        <f>ROUND(L179*K179,2)</f>
        <v>0</v>
      </c>
      <c r="BL149" s="448" t="s">
        <v>128</v>
      </c>
      <c r="BM149" s="448" t="s">
        <v>156</v>
      </c>
    </row>
    <row r="150" spans="1:47" s="162" customFormat="1" ht="30" customHeight="1">
      <c r="A150" s="58"/>
      <c r="B150" s="58"/>
      <c r="C150" s="522"/>
      <c r="D150" s="522"/>
      <c r="E150" s="524"/>
      <c r="F150" s="1101"/>
      <c r="G150" s="991"/>
      <c r="H150" s="991"/>
      <c r="I150" s="991"/>
      <c r="J150" s="525"/>
      <c r="K150" s="531"/>
      <c r="L150" s="989"/>
      <c r="M150" s="989"/>
      <c r="N150" s="989"/>
      <c r="O150" s="989"/>
      <c r="P150" s="989"/>
      <c r="Q150" s="989"/>
      <c r="R150" s="58"/>
      <c r="S150" s="58"/>
      <c r="T150" s="58"/>
      <c r="U150" s="58"/>
      <c r="V150" s="58"/>
      <c r="W150" s="58"/>
      <c r="X150" s="58"/>
      <c r="Y150" s="58"/>
      <c r="Z150" s="58"/>
      <c r="AA150" s="507"/>
      <c r="AT150" s="448" t="s">
        <v>182</v>
      </c>
      <c r="AU150" s="448" t="s">
        <v>76</v>
      </c>
    </row>
    <row r="151" spans="1:65" s="162" customFormat="1" ht="40.5" customHeight="1">
      <c r="A151" s="58"/>
      <c r="B151" s="58"/>
      <c r="C151" s="522"/>
      <c r="D151" s="522"/>
      <c r="E151" s="524"/>
      <c r="F151" s="1101"/>
      <c r="G151" s="991"/>
      <c r="H151" s="991"/>
      <c r="I151" s="991"/>
      <c r="J151" s="525"/>
      <c r="K151" s="531"/>
      <c r="L151" s="989"/>
      <c r="M151" s="989"/>
      <c r="N151" s="989"/>
      <c r="O151" s="989"/>
      <c r="P151" s="989"/>
      <c r="Q151" s="989"/>
      <c r="R151" s="58"/>
      <c r="S151" s="58"/>
      <c r="T151" s="483" t="s">
        <v>5</v>
      </c>
      <c r="U151" s="221" t="s">
        <v>36</v>
      </c>
      <c r="V151" s="408">
        <v>0</v>
      </c>
      <c r="W151" s="408">
        <f>V151*K181</f>
        <v>0</v>
      </c>
      <c r="X151" s="408">
        <v>0</v>
      </c>
      <c r="Y151" s="408">
        <f>X151*K181</f>
        <v>0</v>
      </c>
      <c r="Z151" s="408">
        <v>0</v>
      </c>
      <c r="AA151" s="409">
        <f>Z151*K181</f>
        <v>0</v>
      </c>
      <c r="AR151" s="448" t="s">
        <v>128</v>
      </c>
      <c r="AT151" s="448" t="s">
        <v>126</v>
      </c>
      <c r="AU151" s="448" t="s">
        <v>76</v>
      </c>
      <c r="AY151" s="448" t="s">
        <v>125</v>
      </c>
      <c r="BE151" s="484">
        <f>IF(U151="základní",N181,0)</f>
        <v>0</v>
      </c>
      <c r="BF151" s="484">
        <f>IF(U151="snížená",N181,0)</f>
        <v>0</v>
      </c>
      <c r="BG151" s="484">
        <f>IF(U151="zákl. přenesená",N181,0)</f>
        <v>0</v>
      </c>
      <c r="BH151" s="484">
        <f>IF(U151="sníž. přenesená",N181,0)</f>
        <v>0</v>
      </c>
      <c r="BI151" s="484">
        <f>IF(U151="nulová",N181,0)</f>
        <v>0</v>
      </c>
      <c r="BJ151" s="448" t="s">
        <v>80</v>
      </c>
      <c r="BK151" s="484">
        <f>ROUND(L181*K181,2)</f>
        <v>0</v>
      </c>
      <c r="BL151" s="448" t="s">
        <v>128</v>
      </c>
      <c r="BM151" s="448" t="s">
        <v>157</v>
      </c>
    </row>
    <row r="152" spans="1:47" s="162" customFormat="1" ht="42" customHeight="1">
      <c r="A152" s="58"/>
      <c r="B152" s="58"/>
      <c r="C152" s="522"/>
      <c r="D152" s="522"/>
      <c r="E152" s="524"/>
      <c r="F152" s="1101"/>
      <c r="G152" s="991"/>
      <c r="H152" s="991"/>
      <c r="I152" s="991"/>
      <c r="J152" s="525"/>
      <c r="K152" s="531"/>
      <c r="L152" s="989"/>
      <c r="M152" s="989"/>
      <c r="N152" s="989"/>
      <c r="O152" s="989"/>
      <c r="P152" s="989"/>
      <c r="Q152" s="989"/>
      <c r="R152" s="58"/>
      <c r="S152" s="58"/>
      <c r="T152" s="58"/>
      <c r="U152" s="58"/>
      <c r="V152" s="58"/>
      <c r="W152" s="58"/>
      <c r="X152" s="58"/>
      <c r="Y152" s="58"/>
      <c r="Z152" s="58"/>
      <c r="AA152" s="507"/>
      <c r="AT152" s="448" t="s">
        <v>182</v>
      </c>
      <c r="AU152" s="448" t="s">
        <v>76</v>
      </c>
    </row>
    <row r="153" spans="1:65" s="162" customFormat="1" ht="31.5" customHeight="1">
      <c r="A153" s="58"/>
      <c r="B153" s="58"/>
      <c r="C153" s="522"/>
      <c r="D153" s="522"/>
      <c r="E153" s="524"/>
      <c r="F153" s="1101"/>
      <c r="G153" s="991"/>
      <c r="H153" s="991"/>
      <c r="I153" s="991"/>
      <c r="J153" s="525"/>
      <c r="K153" s="531"/>
      <c r="L153" s="989"/>
      <c r="M153" s="989"/>
      <c r="N153" s="989"/>
      <c r="O153" s="989"/>
      <c r="P153" s="989"/>
      <c r="Q153" s="989"/>
      <c r="R153" s="58"/>
      <c r="S153" s="58"/>
      <c r="T153" s="483" t="s">
        <v>5</v>
      </c>
      <c r="U153" s="221" t="s">
        <v>36</v>
      </c>
      <c r="V153" s="408">
        <v>0</v>
      </c>
      <c r="W153" s="408">
        <f>V153*K183</f>
        <v>0</v>
      </c>
      <c r="X153" s="408">
        <v>0</v>
      </c>
      <c r="Y153" s="408">
        <f>X153*K183</f>
        <v>0</v>
      </c>
      <c r="Z153" s="408">
        <v>0</v>
      </c>
      <c r="AA153" s="409">
        <f>Z153*K183</f>
        <v>0</v>
      </c>
      <c r="AR153" s="448" t="s">
        <v>128</v>
      </c>
      <c r="AT153" s="448" t="s">
        <v>126</v>
      </c>
      <c r="AU153" s="448" t="s">
        <v>76</v>
      </c>
      <c r="AY153" s="448" t="s">
        <v>125</v>
      </c>
      <c r="BE153" s="484">
        <f>IF(U153="základní",N183,0)</f>
        <v>0</v>
      </c>
      <c r="BF153" s="484">
        <f>IF(U153="snížená",N183,0)</f>
        <v>0</v>
      </c>
      <c r="BG153" s="484">
        <f>IF(U153="zákl. přenesená",N183,0)</f>
        <v>0</v>
      </c>
      <c r="BH153" s="484">
        <f>IF(U153="sníž. přenesená",N183,0)</f>
        <v>0</v>
      </c>
      <c r="BI153" s="484">
        <f>IF(U153="nulová",N183,0)</f>
        <v>0</v>
      </c>
      <c r="BJ153" s="448" t="s">
        <v>80</v>
      </c>
      <c r="BK153" s="484">
        <f>ROUND(L183*K183,2)</f>
        <v>0</v>
      </c>
      <c r="BL153" s="448" t="s">
        <v>128</v>
      </c>
      <c r="BM153" s="448" t="s">
        <v>158</v>
      </c>
    </row>
    <row r="154" spans="1:47" s="162" customFormat="1" ht="30.75" customHeight="1">
      <c r="A154" s="58"/>
      <c r="B154" s="58"/>
      <c r="C154" s="522"/>
      <c r="D154" s="522"/>
      <c r="E154" s="524"/>
      <c r="F154" s="1101"/>
      <c r="G154" s="991"/>
      <c r="H154" s="991"/>
      <c r="I154" s="991"/>
      <c r="J154" s="525"/>
      <c r="K154" s="531"/>
      <c r="L154" s="989"/>
      <c r="M154" s="989"/>
      <c r="N154" s="989"/>
      <c r="O154" s="989"/>
      <c r="P154" s="989"/>
      <c r="Q154" s="989"/>
      <c r="R154" s="58"/>
      <c r="S154" s="58"/>
      <c r="T154" s="58"/>
      <c r="U154" s="58"/>
      <c r="V154" s="58"/>
      <c r="W154" s="58"/>
      <c r="X154" s="58"/>
      <c r="Y154" s="58"/>
      <c r="Z154" s="58"/>
      <c r="AA154" s="507"/>
      <c r="AT154" s="448" t="s">
        <v>182</v>
      </c>
      <c r="AU154" s="448" t="s">
        <v>76</v>
      </c>
    </row>
    <row r="155" spans="1:65" s="162" customFormat="1" ht="31.5" customHeight="1">
      <c r="A155" s="58"/>
      <c r="B155" s="58"/>
      <c r="C155" s="522"/>
      <c r="D155" s="522"/>
      <c r="E155" s="524"/>
      <c r="F155" s="1101"/>
      <c r="G155" s="991"/>
      <c r="H155" s="991"/>
      <c r="I155" s="991"/>
      <c r="J155" s="525"/>
      <c r="K155" s="531"/>
      <c r="L155" s="989"/>
      <c r="M155" s="989"/>
      <c r="N155" s="989"/>
      <c r="O155" s="989"/>
      <c r="P155" s="989"/>
      <c r="Q155" s="989"/>
      <c r="R155" s="58"/>
      <c r="S155" s="58"/>
      <c r="T155" s="483" t="s">
        <v>5</v>
      </c>
      <c r="U155" s="221" t="s">
        <v>36</v>
      </c>
      <c r="V155" s="408">
        <v>0</v>
      </c>
      <c r="W155" s="408">
        <f>V155*K185</f>
        <v>0</v>
      </c>
      <c r="X155" s="408">
        <v>0</v>
      </c>
      <c r="Y155" s="408">
        <f>X155*K185</f>
        <v>0</v>
      </c>
      <c r="Z155" s="408">
        <v>0</v>
      </c>
      <c r="AA155" s="409">
        <f>Z155*K185</f>
        <v>0</v>
      </c>
      <c r="AR155" s="448" t="s">
        <v>128</v>
      </c>
      <c r="AT155" s="448" t="s">
        <v>126</v>
      </c>
      <c r="AU155" s="448" t="s">
        <v>76</v>
      </c>
      <c r="AY155" s="448" t="s">
        <v>125</v>
      </c>
      <c r="BE155" s="484">
        <f>IF(U155="základní",N185,0)</f>
        <v>0</v>
      </c>
      <c r="BF155" s="484">
        <f>IF(U155="snížená",N185,0)</f>
        <v>0</v>
      </c>
      <c r="BG155" s="484">
        <f>IF(U155="zákl. přenesená",N185,0)</f>
        <v>0</v>
      </c>
      <c r="BH155" s="484">
        <f>IF(U155="sníž. přenesená",N185,0)</f>
        <v>0</v>
      </c>
      <c r="BI155" s="484">
        <f>IF(U155="nulová",N185,0)</f>
        <v>0</v>
      </c>
      <c r="BJ155" s="448" t="s">
        <v>80</v>
      </c>
      <c r="BK155" s="484">
        <f>ROUND(L185*K185,2)</f>
        <v>0</v>
      </c>
      <c r="BL155" s="448" t="s">
        <v>128</v>
      </c>
      <c r="BM155" s="448" t="s">
        <v>159</v>
      </c>
    </row>
    <row r="156" spans="1:47" s="162" customFormat="1" ht="30" customHeight="1">
      <c r="A156" s="58"/>
      <c r="B156" s="58"/>
      <c r="C156" s="522"/>
      <c r="D156" s="522"/>
      <c r="E156" s="524"/>
      <c r="F156" s="991"/>
      <c r="G156" s="991"/>
      <c r="H156" s="991"/>
      <c r="I156" s="991"/>
      <c r="J156" s="525"/>
      <c r="K156" s="531"/>
      <c r="L156" s="989"/>
      <c r="M156" s="989"/>
      <c r="N156" s="989"/>
      <c r="O156" s="989"/>
      <c r="P156" s="989"/>
      <c r="Q156" s="989"/>
      <c r="R156" s="58"/>
      <c r="S156" s="58"/>
      <c r="T156" s="58"/>
      <c r="U156" s="58"/>
      <c r="V156" s="58"/>
      <c r="W156" s="58"/>
      <c r="X156" s="58"/>
      <c r="Y156" s="58"/>
      <c r="Z156" s="58"/>
      <c r="AA156" s="507"/>
      <c r="AT156" s="448" t="s">
        <v>182</v>
      </c>
      <c r="AU156" s="448" t="s">
        <v>76</v>
      </c>
    </row>
    <row r="157" spans="1:63" s="398" customFormat="1" ht="37.35" customHeight="1">
      <c r="A157" s="181"/>
      <c r="B157" s="181"/>
      <c r="C157" s="58"/>
      <c r="D157" s="58"/>
      <c r="E157" s="58"/>
      <c r="F157" s="986"/>
      <c r="G157" s="973"/>
      <c r="H157" s="973"/>
      <c r="I157" s="973"/>
      <c r="J157" s="58"/>
      <c r="K157" s="58"/>
      <c r="L157" s="58"/>
      <c r="M157" s="58"/>
      <c r="N157" s="58"/>
      <c r="O157" s="58"/>
      <c r="P157" s="58"/>
      <c r="Q157" s="58"/>
      <c r="R157" s="181"/>
      <c r="S157" s="181"/>
      <c r="T157" s="181"/>
      <c r="U157" s="181"/>
      <c r="V157" s="181"/>
      <c r="W157" s="402">
        <f>SUM(W158:W165)</f>
        <v>0</v>
      </c>
      <c r="X157" s="181"/>
      <c r="Y157" s="402">
        <f>SUM(Y158:Y165)</f>
        <v>0</v>
      </c>
      <c r="Z157" s="181"/>
      <c r="AA157" s="403">
        <f>SUM(AA158:AA165)</f>
        <v>0</v>
      </c>
      <c r="AR157" s="404" t="s">
        <v>76</v>
      </c>
      <c r="AT157" s="405" t="s">
        <v>68</v>
      </c>
      <c r="AU157" s="405" t="s">
        <v>69</v>
      </c>
      <c r="AY157" s="404" t="s">
        <v>125</v>
      </c>
      <c r="BK157" s="406">
        <f>SUM(BK158:BK165)</f>
        <v>0</v>
      </c>
    </row>
    <row r="158" spans="1:65" s="162" customFormat="1" ht="31.5" customHeight="1">
      <c r="A158" s="58"/>
      <c r="B158" s="58"/>
      <c r="C158" s="522"/>
      <c r="D158" s="522"/>
      <c r="E158" s="524"/>
      <c r="F158" s="991"/>
      <c r="G158" s="991"/>
      <c r="H158" s="991"/>
      <c r="I158" s="991"/>
      <c r="J158" s="525"/>
      <c r="K158" s="531"/>
      <c r="L158" s="989"/>
      <c r="M158" s="989"/>
      <c r="N158" s="989"/>
      <c r="O158" s="989"/>
      <c r="P158" s="989"/>
      <c r="Q158" s="989"/>
      <c r="R158" s="58"/>
      <c r="S158" s="58"/>
      <c r="T158" s="483" t="s">
        <v>5</v>
      </c>
      <c r="U158" s="221" t="s">
        <v>36</v>
      </c>
      <c r="V158" s="408">
        <v>0</v>
      </c>
      <c r="W158" s="408">
        <f>V158*K188</f>
        <v>0</v>
      </c>
      <c r="X158" s="408">
        <v>0</v>
      </c>
      <c r="Y158" s="408">
        <f>X158*K188</f>
        <v>0</v>
      </c>
      <c r="Z158" s="408">
        <v>0</v>
      </c>
      <c r="AA158" s="409">
        <f>Z158*K188</f>
        <v>0</v>
      </c>
      <c r="AR158" s="448" t="s">
        <v>128</v>
      </c>
      <c r="AT158" s="448" t="s">
        <v>126</v>
      </c>
      <c r="AU158" s="448" t="s">
        <v>76</v>
      </c>
      <c r="AY158" s="448" t="s">
        <v>125</v>
      </c>
      <c r="BE158" s="484">
        <f>IF(U158="základní",N188,0)</f>
        <v>0</v>
      </c>
      <c r="BF158" s="484">
        <f>IF(U158="snížená",N188,0)</f>
        <v>0</v>
      </c>
      <c r="BG158" s="484">
        <f>IF(U158="zákl. přenesená",N188,0)</f>
        <v>0</v>
      </c>
      <c r="BH158" s="484">
        <f>IF(U158="sníž. přenesená",N188,0)</f>
        <v>0</v>
      </c>
      <c r="BI158" s="484">
        <f>IF(U158="nulová",N188,0)</f>
        <v>0</v>
      </c>
      <c r="BJ158" s="448" t="s">
        <v>80</v>
      </c>
      <c r="BK158" s="484">
        <f>ROUND(L188*K188,2)</f>
        <v>0</v>
      </c>
      <c r="BL158" s="448" t="s">
        <v>128</v>
      </c>
      <c r="BM158" s="448" t="s">
        <v>160</v>
      </c>
    </row>
    <row r="159" spans="1:47" s="162" customFormat="1" ht="30" customHeight="1">
      <c r="A159" s="58"/>
      <c r="B159" s="58"/>
      <c r="C159" s="58"/>
      <c r="D159" s="58"/>
      <c r="E159" s="58"/>
      <c r="F159" s="986"/>
      <c r="G159" s="973"/>
      <c r="H159" s="973"/>
      <c r="I159" s="973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07"/>
      <c r="AT159" s="448" t="s">
        <v>182</v>
      </c>
      <c r="AU159" s="448" t="s">
        <v>76</v>
      </c>
    </row>
    <row r="160" spans="1:65" s="162" customFormat="1" ht="31.5" customHeight="1">
      <c r="A160" s="58"/>
      <c r="B160" s="58"/>
      <c r="C160" s="522"/>
      <c r="D160" s="522"/>
      <c r="E160" s="524"/>
      <c r="F160" s="991"/>
      <c r="G160" s="991"/>
      <c r="H160" s="991"/>
      <c r="I160" s="991"/>
      <c r="J160" s="525"/>
      <c r="K160" s="531"/>
      <c r="L160" s="989"/>
      <c r="M160" s="989"/>
      <c r="N160" s="989"/>
      <c r="O160" s="989"/>
      <c r="P160" s="989"/>
      <c r="Q160" s="989"/>
      <c r="R160" s="58"/>
      <c r="S160" s="58"/>
      <c r="T160" s="483" t="s">
        <v>5</v>
      </c>
      <c r="U160" s="221" t="s">
        <v>36</v>
      </c>
      <c r="V160" s="408">
        <v>0</v>
      </c>
      <c r="W160" s="408">
        <f>V160*K190</f>
        <v>0</v>
      </c>
      <c r="X160" s="408">
        <v>0</v>
      </c>
      <c r="Y160" s="408">
        <f>X160*K190</f>
        <v>0</v>
      </c>
      <c r="Z160" s="408">
        <v>0</v>
      </c>
      <c r="AA160" s="409">
        <f>Z160*K190</f>
        <v>0</v>
      </c>
      <c r="AR160" s="448" t="s">
        <v>128</v>
      </c>
      <c r="AT160" s="448" t="s">
        <v>126</v>
      </c>
      <c r="AU160" s="448" t="s">
        <v>76</v>
      </c>
      <c r="AY160" s="448" t="s">
        <v>125</v>
      </c>
      <c r="BE160" s="484">
        <f>IF(U160="základní",N190,0)</f>
        <v>0</v>
      </c>
      <c r="BF160" s="484">
        <f>IF(U160="snížená",N190,0)</f>
        <v>0</v>
      </c>
      <c r="BG160" s="484">
        <f>IF(U160="zákl. přenesená",N190,0)</f>
        <v>0</v>
      </c>
      <c r="BH160" s="484">
        <f>IF(U160="sníž. přenesená",N190,0)</f>
        <v>0</v>
      </c>
      <c r="BI160" s="484">
        <f>IF(U160="nulová",N190,0)</f>
        <v>0</v>
      </c>
      <c r="BJ160" s="448" t="s">
        <v>80</v>
      </c>
      <c r="BK160" s="484">
        <f>ROUND(L190*K190,2)</f>
        <v>0</v>
      </c>
      <c r="BL160" s="448" t="s">
        <v>128</v>
      </c>
      <c r="BM160" s="448" t="s">
        <v>161</v>
      </c>
    </row>
    <row r="161" spans="1:47" s="162" customFormat="1" ht="30" customHeight="1">
      <c r="A161" s="58"/>
      <c r="B161" s="58"/>
      <c r="C161" s="58"/>
      <c r="D161" s="58"/>
      <c r="E161" s="58"/>
      <c r="F161" s="986"/>
      <c r="G161" s="973"/>
      <c r="H161" s="973"/>
      <c r="I161" s="973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07"/>
      <c r="AT161" s="448" t="s">
        <v>182</v>
      </c>
      <c r="AU161" s="448" t="s">
        <v>76</v>
      </c>
    </row>
    <row r="162" spans="1:65" s="162" customFormat="1" ht="31.5" customHeight="1">
      <c r="A162" s="58"/>
      <c r="B162" s="58"/>
      <c r="C162" s="522"/>
      <c r="D162" s="522"/>
      <c r="E162" s="524"/>
      <c r="F162" s="991"/>
      <c r="G162" s="991"/>
      <c r="H162" s="991"/>
      <c r="I162" s="991"/>
      <c r="J162" s="525"/>
      <c r="K162" s="531"/>
      <c r="L162" s="989"/>
      <c r="M162" s="989"/>
      <c r="N162" s="989"/>
      <c r="O162" s="989"/>
      <c r="P162" s="989"/>
      <c r="Q162" s="989"/>
      <c r="R162" s="58"/>
      <c r="S162" s="58"/>
      <c r="T162" s="483" t="s">
        <v>5</v>
      </c>
      <c r="U162" s="221" t="s">
        <v>36</v>
      </c>
      <c r="V162" s="408">
        <v>0</v>
      </c>
      <c r="W162" s="408">
        <f>V162*K192</f>
        <v>0</v>
      </c>
      <c r="X162" s="408">
        <v>0</v>
      </c>
      <c r="Y162" s="408">
        <f>X162*K192</f>
        <v>0</v>
      </c>
      <c r="Z162" s="408">
        <v>0</v>
      </c>
      <c r="AA162" s="409">
        <f>Z162*K192</f>
        <v>0</v>
      </c>
      <c r="AR162" s="448" t="s">
        <v>128</v>
      </c>
      <c r="AT162" s="448" t="s">
        <v>126</v>
      </c>
      <c r="AU162" s="448" t="s">
        <v>76</v>
      </c>
      <c r="AY162" s="448" t="s">
        <v>125</v>
      </c>
      <c r="BE162" s="484">
        <f>IF(U162="základní",N192,0)</f>
        <v>0</v>
      </c>
      <c r="BF162" s="484">
        <f>IF(U162="snížená",N192,0)</f>
        <v>0</v>
      </c>
      <c r="BG162" s="484">
        <f>IF(U162="zákl. přenesená",N192,0)</f>
        <v>0</v>
      </c>
      <c r="BH162" s="484">
        <f>IF(U162="sníž. přenesená",N192,0)</f>
        <v>0</v>
      </c>
      <c r="BI162" s="484">
        <f>IF(U162="nulová",N192,0)</f>
        <v>0</v>
      </c>
      <c r="BJ162" s="448" t="s">
        <v>80</v>
      </c>
      <c r="BK162" s="484">
        <f>ROUND(L192*K192,2)</f>
        <v>0</v>
      </c>
      <c r="BL162" s="448" t="s">
        <v>128</v>
      </c>
      <c r="BM162" s="448" t="s">
        <v>162</v>
      </c>
    </row>
    <row r="163" spans="1:47" s="162" customFormat="1" ht="30" customHeight="1">
      <c r="A163" s="58"/>
      <c r="B163" s="58"/>
      <c r="C163" s="58"/>
      <c r="D163" s="58"/>
      <c r="E163" s="58"/>
      <c r="F163" s="986"/>
      <c r="G163" s="973"/>
      <c r="H163" s="973"/>
      <c r="I163" s="973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07"/>
      <c r="AT163" s="448" t="s">
        <v>182</v>
      </c>
      <c r="AU163" s="448" t="s">
        <v>76</v>
      </c>
    </row>
    <row r="164" spans="1:65" s="162" customFormat="1" ht="31.5" customHeight="1">
      <c r="A164" s="58"/>
      <c r="B164" s="58"/>
      <c r="C164" s="522"/>
      <c r="D164" s="522"/>
      <c r="E164" s="524"/>
      <c r="F164" s="991"/>
      <c r="G164" s="991"/>
      <c r="H164" s="991"/>
      <c r="I164" s="991"/>
      <c r="J164" s="525"/>
      <c r="K164" s="531"/>
      <c r="L164" s="989"/>
      <c r="M164" s="989"/>
      <c r="N164" s="989"/>
      <c r="O164" s="989"/>
      <c r="P164" s="989"/>
      <c r="Q164" s="989"/>
      <c r="R164" s="58"/>
      <c r="S164" s="58"/>
      <c r="T164" s="483" t="s">
        <v>5</v>
      </c>
      <c r="U164" s="221" t="s">
        <v>36</v>
      </c>
      <c r="V164" s="408">
        <v>0</v>
      </c>
      <c r="W164" s="408">
        <f>V164*K194</f>
        <v>0</v>
      </c>
      <c r="X164" s="408">
        <v>0</v>
      </c>
      <c r="Y164" s="408">
        <f>X164*K194</f>
        <v>0</v>
      </c>
      <c r="Z164" s="408">
        <v>0</v>
      </c>
      <c r="AA164" s="409">
        <f>Z164*K194</f>
        <v>0</v>
      </c>
      <c r="AR164" s="448" t="s">
        <v>128</v>
      </c>
      <c r="AT164" s="448" t="s">
        <v>126</v>
      </c>
      <c r="AU164" s="448" t="s">
        <v>76</v>
      </c>
      <c r="AY164" s="448" t="s">
        <v>125</v>
      </c>
      <c r="BE164" s="484">
        <f>IF(U164="základní",N194,0)</f>
        <v>0</v>
      </c>
      <c r="BF164" s="484">
        <f>IF(U164="snížená",N194,0)</f>
        <v>0</v>
      </c>
      <c r="BG164" s="484">
        <f>IF(U164="zákl. přenesená",N194,0)</f>
        <v>0</v>
      </c>
      <c r="BH164" s="484">
        <f>IF(U164="sníž. přenesená",N194,0)</f>
        <v>0</v>
      </c>
      <c r="BI164" s="484">
        <f>IF(U164="nulová",N194,0)</f>
        <v>0</v>
      </c>
      <c r="BJ164" s="448" t="s">
        <v>80</v>
      </c>
      <c r="BK164" s="484">
        <f>ROUND(L194*K194,2)</f>
        <v>0</v>
      </c>
      <c r="BL164" s="448" t="s">
        <v>128</v>
      </c>
      <c r="BM164" s="448" t="s">
        <v>163</v>
      </c>
    </row>
    <row r="165" spans="1:47" s="162" customFormat="1" ht="30" customHeight="1">
      <c r="A165" s="58"/>
      <c r="B165" s="58"/>
      <c r="C165" s="58"/>
      <c r="D165" s="58"/>
      <c r="E165" s="58"/>
      <c r="F165" s="986"/>
      <c r="G165" s="973"/>
      <c r="H165" s="973"/>
      <c r="I165" s="973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07"/>
      <c r="AT165" s="448" t="s">
        <v>182</v>
      </c>
      <c r="AU165" s="448" t="s">
        <v>76</v>
      </c>
    </row>
    <row r="166" spans="1:63" s="398" customFormat="1" ht="37.35" customHeight="1">
      <c r="A166" s="181"/>
      <c r="B166" s="181"/>
      <c r="C166" s="522"/>
      <c r="D166" s="522"/>
      <c r="E166" s="524"/>
      <c r="F166" s="991"/>
      <c r="G166" s="991"/>
      <c r="H166" s="991"/>
      <c r="I166" s="991"/>
      <c r="J166" s="525"/>
      <c r="K166" s="531"/>
      <c r="L166" s="989"/>
      <c r="M166" s="989"/>
      <c r="N166" s="989"/>
      <c r="O166" s="989"/>
      <c r="P166" s="989"/>
      <c r="Q166" s="989"/>
      <c r="R166" s="181"/>
      <c r="S166" s="181"/>
      <c r="T166" s="181"/>
      <c r="U166" s="181"/>
      <c r="V166" s="181"/>
      <c r="W166" s="402">
        <f>SUM(W167:W190)</f>
        <v>0</v>
      </c>
      <c r="X166" s="181"/>
      <c r="Y166" s="402">
        <f>SUM(Y167:Y190)</f>
        <v>0</v>
      </c>
      <c r="Z166" s="181"/>
      <c r="AA166" s="403">
        <f>SUM(AA167:AA190)</f>
        <v>0</v>
      </c>
      <c r="AR166" s="404" t="s">
        <v>76</v>
      </c>
      <c r="AT166" s="405" t="s">
        <v>68</v>
      </c>
      <c r="AU166" s="405" t="s">
        <v>69</v>
      </c>
      <c r="AY166" s="404" t="s">
        <v>125</v>
      </c>
      <c r="BK166" s="406">
        <f>SUM(BK167:BK190)</f>
        <v>0</v>
      </c>
    </row>
    <row r="167" spans="1:65" s="162" customFormat="1" ht="31.5" customHeight="1">
      <c r="A167" s="58"/>
      <c r="B167" s="58"/>
      <c r="C167" s="58"/>
      <c r="D167" s="58"/>
      <c r="E167" s="58"/>
      <c r="F167" s="986"/>
      <c r="G167" s="973"/>
      <c r="H167" s="973"/>
      <c r="I167" s="973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483" t="s">
        <v>5</v>
      </c>
      <c r="U167" s="221" t="s">
        <v>36</v>
      </c>
      <c r="V167" s="408">
        <v>0</v>
      </c>
      <c r="W167" s="408">
        <f>V167*K197</f>
        <v>0</v>
      </c>
      <c r="X167" s="408">
        <v>0</v>
      </c>
      <c r="Y167" s="408">
        <f>X167*K197</f>
        <v>0</v>
      </c>
      <c r="Z167" s="408">
        <v>0</v>
      </c>
      <c r="AA167" s="409">
        <f>Z167*K197</f>
        <v>0</v>
      </c>
      <c r="AR167" s="448" t="s">
        <v>128</v>
      </c>
      <c r="AT167" s="448" t="s">
        <v>126</v>
      </c>
      <c r="AU167" s="448" t="s">
        <v>76</v>
      </c>
      <c r="AY167" s="448" t="s">
        <v>125</v>
      </c>
      <c r="BE167" s="484">
        <f>IF(U167="základní",N197,0)</f>
        <v>0</v>
      </c>
      <c r="BF167" s="484">
        <f>IF(U167="snížená",N197,0)</f>
        <v>0</v>
      </c>
      <c r="BG167" s="484">
        <f>IF(U167="zákl. přenesená",N197,0)</f>
        <v>0</v>
      </c>
      <c r="BH167" s="484">
        <f>IF(U167="sníž. přenesená",N197,0)</f>
        <v>0</v>
      </c>
      <c r="BI167" s="484">
        <f>IF(U167="nulová",N197,0)</f>
        <v>0</v>
      </c>
      <c r="BJ167" s="448" t="s">
        <v>80</v>
      </c>
      <c r="BK167" s="484">
        <f>ROUND(L197*K197,2)</f>
        <v>0</v>
      </c>
      <c r="BL167" s="448" t="s">
        <v>128</v>
      </c>
      <c r="BM167" s="448" t="s">
        <v>164</v>
      </c>
    </row>
    <row r="168" spans="1:47" s="162" customFormat="1" ht="42" customHeight="1">
      <c r="A168" s="58"/>
      <c r="B168" s="58"/>
      <c r="C168" s="522"/>
      <c r="D168" s="522"/>
      <c r="E168" s="524"/>
      <c r="F168" s="1101"/>
      <c r="G168" s="991"/>
      <c r="H168" s="991"/>
      <c r="I168" s="991"/>
      <c r="J168" s="525"/>
      <c r="K168" s="531"/>
      <c r="L168" s="989"/>
      <c r="M168" s="989"/>
      <c r="N168" s="989"/>
      <c r="O168" s="989"/>
      <c r="P168" s="989"/>
      <c r="Q168" s="989"/>
      <c r="R168" s="58"/>
      <c r="S168" s="58"/>
      <c r="T168" s="58"/>
      <c r="U168" s="58"/>
      <c r="V168" s="58"/>
      <c r="W168" s="58"/>
      <c r="X168" s="58"/>
      <c r="Y168" s="58"/>
      <c r="Z168" s="58"/>
      <c r="AA168" s="507"/>
      <c r="AT168" s="448" t="s">
        <v>182</v>
      </c>
      <c r="AU168" s="448" t="s">
        <v>76</v>
      </c>
    </row>
    <row r="169" spans="1:65" s="162" customFormat="1" ht="31.5" customHeight="1">
      <c r="A169" s="58"/>
      <c r="B169" s="58"/>
      <c r="C169" s="522"/>
      <c r="D169" s="522"/>
      <c r="E169" s="524"/>
      <c r="F169" s="991"/>
      <c r="G169" s="991"/>
      <c r="H169" s="991"/>
      <c r="I169" s="991"/>
      <c r="J169" s="525"/>
      <c r="K169" s="531"/>
      <c r="L169" s="989"/>
      <c r="M169" s="989"/>
      <c r="N169" s="989"/>
      <c r="O169" s="989"/>
      <c r="P169" s="989"/>
      <c r="Q169" s="989"/>
      <c r="R169" s="58"/>
      <c r="S169" s="58"/>
      <c r="T169" s="483" t="s">
        <v>5</v>
      </c>
      <c r="U169" s="221" t="s">
        <v>36</v>
      </c>
      <c r="V169" s="408">
        <v>0</v>
      </c>
      <c r="W169" s="408">
        <f>V169*K199</f>
        <v>0</v>
      </c>
      <c r="X169" s="408">
        <v>0</v>
      </c>
      <c r="Y169" s="408">
        <f>X169*K199</f>
        <v>0</v>
      </c>
      <c r="Z169" s="408">
        <v>0</v>
      </c>
      <c r="AA169" s="409">
        <f>Z169*K199</f>
        <v>0</v>
      </c>
      <c r="AR169" s="448" t="s">
        <v>128</v>
      </c>
      <c r="AT169" s="448" t="s">
        <v>126</v>
      </c>
      <c r="AU169" s="448" t="s">
        <v>76</v>
      </c>
      <c r="AY169" s="448" t="s">
        <v>125</v>
      </c>
      <c r="BE169" s="484">
        <f>IF(U169="základní",N199,0)</f>
        <v>0</v>
      </c>
      <c r="BF169" s="484">
        <f>IF(U169="snížená",N199,0)</f>
        <v>0</v>
      </c>
      <c r="BG169" s="484">
        <f>IF(U169="zákl. přenesená",N199,0)</f>
        <v>0</v>
      </c>
      <c r="BH169" s="484">
        <f>IF(U169="sníž. přenesená",N199,0)</f>
        <v>0</v>
      </c>
      <c r="BI169" s="484">
        <f>IF(U169="nulová",N199,0)</f>
        <v>0</v>
      </c>
      <c r="BJ169" s="448" t="s">
        <v>80</v>
      </c>
      <c r="BK169" s="484">
        <f>ROUND(L199*K199,2)</f>
        <v>0</v>
      </c>
      <c r="BL169" s="448" t="s">
        <v>128</v>
      </c>
      <c r="BM169" s="448" t="s">
        <v>165</v>
      </c>
    </row>
    <row r="170" spans="1:47" s="162" customFormat="1" ht="30" customHeight="1">
      <c r="A170" s="58"/>
      <c r="B170" s="58"/>
      <c r="C170" s="58"/>
      <c r="D170" s="58"/>
      <c r="E170" s="58"/>
      <c r="F170" s="986"/>
      <c r="G170" s="973"/>
      <c r="H170" s="973"/>
      <c r="I170" s="973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07"/>
      <c r="AT170" s="448" t="s">
        <v>182</v>
      </c>
      <c r="AU170" s="448" t="s">
        <v>76</v>
      </c>
    </row>
    <row r="171" spans="1:65" s="162" customFormat="1" ht="31.5" customHeight="1">
      <c r="A171" s="58"/>
      <c r="B171" s="58"/>
      <c r="C171" s="522"/>
      <c r="D171" s="522"/>
      <c r="E171" s="524"/>
      <c r="F171" s="991"/>
      <c r="G171" s="991"/>
      <c r="H171" s="991"/>
      <c r="I171" s="991"/>
      <c r="J171" s="525"/>
      <c r="K171" s="531"/>
      <c r="L171" s="989"/>
      <c r="M171" s="989"/>
      <c r="N171" s="989"/>
      <c r="O171" s="989"/>
      <c r="P171" s="989"/>
      <c r="Q171" s="989"/>
      <c r="R171" s="58"/>
      <c r="S171" s="58"/>
      <c r="T171" s="483" t="s">
        <v>5</v>
      </c>
      <c r="U171" s="221" t="s">
        <v>36</v>
      </c>
      <c r="V171" s="408">
        <v>0</v>
      </c>
      <c r="W171" s="408">
        <f>V171*K201</f>
        <v>0</v>
      </c>
      <c r="X171" s="408">
        <v>0</v>
      </c>
      <c r="Y171" s="408">
        <f>X171*K201</f>
        <v>0</v>
      </c>
      <c r="Z171" s="408">
        <v>0</v>
      </c>
      <c r="AA171" s="409">
        <f>Z171*K201</f>
        <v>0</v>
      </c>
      <c r="AR171" s="448" t="s">
        <v>128</v>
      </c>
      <c r="AT171" s="448" t="s">
        <v>126</v>
      </c>
      <c r="AU171" s="448" t="s">
        <v>76</v>
      </c>
      <c r="AY171" s="448" t="s">
        <v>125</v>
      </c>
      <c r="BE171" s="484">
        <f>IF(U171="základní",N201,0)</f>
        <v>0</v>
      </c>
      <c r="BF171" s="484">
        <f>IF(U171="snížená",N201,0)</f>
        <v>0</v>
      </c>
      <c r="BG171" s="484">
        <f>IF(U171="zákl. přenesená",N201,0)</f>
        <v>0</v>
      </c>
      <c r="BH171" s="484">
        <f>IF(U171="sníž. přenesená",N201,0)</f>
        <v>0</v>
      </c>
      <c r="BI171" s="484">
        <f>IF(U171="nulová",N201,0)</f>
        <v>0</v>
      </c>
      <c r="BJ171" s="448" t="s">
        <v>80</v>
      </c>
      <c r="BK171" s="484">
        <f>ROUND(L201*K201,2)</f>
        <v>0</v>
      </c>
      <c r="BL171" s="448" t="s">
        <v>128</v>
      </c>
      <c r="BM171" s="448" t="s">
        <v>166</v>
      </c>
    </row>
    <row r="172" spans="1:47" s="162" customFormat="1" ht="32.25" customHeight="1">
      <c r="A172" s="58"/>
      <c r="B172" s="58"/>
      <c r="C172" s="58"/>
      <c r="D172" s="58"/>
      <c r="E172" s="58"/>
      <c r="F172" s="986"/>
      <c r="G172" s="986"/>
      <c r="H172" s="986"/>
      <c r="I172" s="986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07"/>
      <c r="AT172" s="448" t="s">
        <v>182</v>
      </c>
      <c r="AU172" s="448" t="s">
        <v>76</v>
      </c>
    </row>
    <row r="173" spans="1:65" s="162" customFormat="1" ht="31.5" customHeight="1">
      <c r="A173" s="58"/>
      <c r="B173" s="58"/>
      <c r="C173" s="522"/>
      <c r="D173" s="522"/>
      <c r="E173" s="524"/>
      <c r="F173" s="1101"/>
      <c r="G173" s="991"/>
      <c r="H173" s="991"/>
      <c r="I173" s="991"/>
      <c r="J173" s="525"/>
      <c r="K173" s="531"/>
      <c r="L173" s="989"/>
      <c r="M173" s="989"/>
      <c r="N173" s="989"/>
      <c r="O173" s="989"/>
      <c r="P173" s="989"/>
      <c r="Q173" s="989"/>
      <c r="R173" s="58"/>
      <c r="S173" s="58"/>
      <c r="T173" s="483" t="s">
        <v>5</v>
      </c>
      <c r="U173" s="221" t="s">
        <v>36</v>
      </c>
      <c r="V173" s="408">
        <v>0</v>
      </c>
      <c r="W173" s="408">
        <f>V173*K203</f>
        <v>0</v>
      </c>
      <c r="X173" s="408">
        <v>0</v>
      </c>
      <c r="Y173" s="408">
        <f>X173*K203</f>
        <v>0</v>
      </c>
      <c r="Z173" s="408">
        <v>0</v>
      </c>
      <c r="AA173" s="409">
        <f>Z173*K203</f>
        <v>0</v>
      </c>
      <c r="AR173" s="448" t="s">
        <v>128</v>
      </c>
      <c r="AT173" s="448" t="s">
        <v>126</v>
      </c>
      <c r="AU173" s="448" t="s">
        <v>76</v>
      </c>
      <c r="AY173" s="448" t="s">
        <v>125</v>
      </c>
      <c r="BE173" s="484">
        <f>IF(U173="základní",N203,0)</f>
        <v>0</v>
      </c>
      <c r="BF173" s="484">
        <f>IF(U173="snížená",N203,0)</f>
        <v>0</v>
      </c>
      <c r="BG173" s="484">
        <f>IF(U173="zákl. přenesená",N203,0)</f>
        <v>0</v>
      </c>
      <c r="BH173" s="484">
        <f>IF(U173="sníž. přenesená",N203,0)</f>
        <v>0</v>
      </c>
      <c r="BI173" s="484">
        <f>IF(U173="nulová",N203,0)</f>
        <v>0</v>
      </c>
      <c r="BJ173" s="448" t="s">
        <v>80</v>
      </c>
      <c r="BK173" s="484">
        <f>ROUND(L203*K203,2)</f>
        <v>0</v>
      </c>
      <c r="BL173" s="448" t="s">
        <v>128</v>
      </c>
      <c r="BM173" s="448" t="s">
        <v>167</v>
      </c>
    </row>
    <row r="174" spans="1:47" s="162" customFormat="1" ht="42" customHeight="1">
      <c r="A174" s="58"/>
      <c r="B174" s="58"/>
      <c r="C174" s="522"/>
      <c r="D174" s="522"/>
      <c r="E174" s="524"/>
      <c r="F174" s="1101"/>
      <c r="G174" s="991"/>
      <c r="H174" s="991"/>
      <c r="I174" s="991"/>
      <c r="J174" s="525"/>
      <c r="K174" s="531"/>
      <c r="L174" s="989"/>
      <c r="M174" s="989"/>
      <c r="N174" s="989"/>
      <c r="O174" s="989"/>
      <c r="P174" s="989"/>
      <c r="Q174" s="989"/>
      <c r="R174" s="58"/>
      <c r="S174" s="58"/>
      <c r="T174" s="58"/>
      <c r="U174" s="58"/>
      <c r="V174" s="58"/>
      <c r="W174" s="58"/>
      <c r="X174" s="58"/>
      <c r="Y174" s="58"/>
      <c r="Z174" s="58"/>
      <c r="AA174" s="507"/>
      <c r="AT174" s="448" t="s">
        <v>182</v>
      </c>
      <c r="AU174" s="448" t="s">
        <v>76</v>
      </c>
    </row>
    <row r="175" spans="1:65" s="162" customFormat="1" ht="31.5" customHeight="1">
      <c r="A175" s="58"/>
      <c r="B175" s="58"/>
      <c r="C175" s="522"/>
      <c r="D175" s="522"/>
      <c r="E175" s="524"/>
      <c r="F175" s="991"/>
      <c r="G175" s="991"/>
      <c r="H175" s="991"/>
      <c r="I175" s="991"/>
      <c r="J175" s="525"/>
      <c r="K175" s="531"/>
      <c r="L175" s="989"/>
      <c r="M175" s="989"/>
      <c r="N175" s="989"/>
      <c r="O175" s="989"/>
      <c r="P175" s="989"/>
      <c r="Q175" s="989"/>
      <c r="R175" s="58"/>
      <c r="S175" s="58"/>
      <c r="T175" s="483" t="s">
        <v>5</v>
      </c>
      <c r="U175" s="221" t="s">
        <v>36</v>
      </c>
      <c r="V175" s="408">
        <v>0</v>
      </c>
      <c r="W175" s="408">
        <f>V175*K205</f>
        <v>0</v>
      </c>
      <c r="X175" s="408">
        <v>0</v>
      </c>
      <c r="Y175" s="408">
        <f>X175*K205</f>
        <v>0</v>
      </c>
      <c r="Z175" s="408">
        <v>0</v>
      </c>
      <c r="AA175" s="409">
        <f>Z175*K205</f>
        <v>0</v>
      </c>
      <c r="AR175" s="448" t="s">
        <v>128</v>
      </c>
      <c r="AT175" s="448" t="s">
        <v>126</v>
      </c>
      <c r="AU175" s="448" t="s">
        <v>76</v>
      </c>
      <c r="AY175" s="448" t="s">
        <v>125</v>
      </c>
      <c r="BE175" s="484">
        <f>IF(U175="základní",N205,0)</f>
        <v>0</v>
      </c>
      <c r="BF175" s="484">
        <f>IF(U175="snížená",N205,0)</f>
        <v>0</v>
      </c>
      <c r="BG175" s="484">
        <f>IF(U175="zákl. přenesená",N205,0)</f>
        <v>0</v>
      </c>
      <c r="BH175" s="484">
        <f>IF(U175="sníž. přenesená",N205,0)</f>
        <v>0</v>
      </c>
      <c r="BI175" s="484">
        <f>IF(U175="nulová",N205,0)</f>
        <v>0</v>
      </c>
      <c r="BJ175" s="448" t="s">
        <v>80</v>
      </c>
      <c r="BK175" s="484">
        <f>ROUND(L205*K205,2)</f>
        <v>0</v>
      </c>
      <c r="BL175" s="448" t="s">
        <v>128</v>
      </c>
      <c r="BM175" s="448" t="s">
        <v>168</v>
      </c>
    </row>
    <row r="176" spans="1:47" s="162" customFormat="1" ht="42" customHeight="1">
      <c r="A176" s="58"/>
      <c r="B176" s="58"/>
      <c r="C176" s="58"/>
      <c r="D176" s="58"/>
      <c r="E176" s="58"/>
      <c r="F176" s="986"/>
      <c r="G176" s="973"/>
      <c r="H176" s="973"/>
      <c r="I176" s="973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07"/>
      <c r="AT176" s="448" t="s">
        <v>182</v>
      </c>
      <c r="AU176" s="448" t="s">
        <v>76</v>
      </c>
    </row>
    <row r="177" spans="1:65" s="162" customFormat="1" ht="31.5" customHeight="1">
      <c r="A177" s="58"/>
      <c r="B177" s="58"/>
      <c r="C177" s="522"/>
      <c r="D177" s="522"/>
      <c r="E177" s="524"/>
      <c r="F177" s="991"/>
      <c r="G177" s="991"/>
      <c r="H177" s="991"/>
      <c r="I177" s="991"/>
      <c r="J177" s="525"/>
      <c r="K177" s="531"/>
      <c r="L177" s="989"/>
      <c r="M177" s="989"/>
      <c r="N177" s="989"/>
      <c r="O177" s="989"/>
      <c r="P177" s="989"/>
      <c r="Q177" s="989"/>
      <c r="R177" s="58"/>
      <c r="S177" s="58"/>
      <c r="T177" s="483" t="s">
        <v>5</v>
      </c>
      <c r="U177" s="221" t="s">
        <v>36</v>
      </c>
      <c r="V177" s="408">
        <v>0</v>
      </c>
      <c r="W177" s="408">
        <f>V177*K207</f>
        <v>0</v>
      </c>
      <c r="X177" s="408">
        <v>0</v>
      </c>
      <c r="Y177" s="408">
        <f>X177*K207</f>
        <v>0</v>
      </c>
      <c r="Z177" s="408">
        <v>0</v>
      </c>
      <c r="AA177" s="409">
        <f>Z177*K207</f>
        <v>0</v>
      </c>
      <c r="AR177" s="448" t="s">
        <v>128</v>
      </c>
      <c r="AT177" s="448" t="s">
        <v>126</v>
      </c>
      <c r="AU177" s="448" t="s">
        <v>76</v>
      </c>
      <c r="AY177" s="448" t="s">
        <v>125</v>
      </c>
      <c r="BE177" s="484">
        <f>IF(U177="základní",N207,0)</f>
        <v>0</v>
      </c>
      <c r="BF177" s="484">
        <f>IF(U177="snížená",N207,0)</f>
        <v>0</v>
      </c>
      <c r="BG177" s="484">
        <f>IF(U177="zákl. přenesená",N207,0)</f>
        <v>0</v>
      </c>
      <c r="BH177" s="484">
        <f>IF(U177="sníž. přenesená",N207,0)</f>
        <v>0</v>
      </c>
      <c r="BI177" s="484">
        <f>IF(U177="nulová",N207,0)</f>
        <v>0</v>
      </c>
      <c r="BJ177" s="448" t="s">
        <v>80</v>
      </c>
      <c r="BK177" s="484">
        <f>ROUND(L207*K207,2)</f>
        <v>0</v>
      </c>
      <c r="BL177" s="448" t="s">
        <v>128</v>
      </c>
      <c r="BM177" s="448" t="s">
        <v>169</v>
      </c>
    </row>
    <row r="178" spans="1:47" s="162" customFormat="1" ht="42" customHeight="1">
      <c r="A178" s="58"/>
      <c r="B178" s="58"/>
      <c r="C178" s="58"/>
      <c r="D178" s="58"/>
      <c r="E178" s="58"/>
      <c r="F178" s="986"/>
      <c r="G178" s="973"/>
      <c r="H178" s="973"/>
      <c r="I178" s="973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07"/>
      <c r="AT178" s="448" t="s">
        <v>182</v>
      </c>
      <c r="AU178" s="448" t="s">
        <v>76</v>
      </c>
    </row>
    <row r="179" spans="1:65" s="162" customFormat="1" ht="31.5" customHeight="1">
      <c r="A179" s="58"/>
      <c r="B179" s="58"/>
      <c r="C179" s="522"/>
      <c r="D179" s="522"/>
      <c r="E179" s="524"/>
      <c r="F179" s="991"/>
      <c r="G179" s="991"/>
      <c r="H179" s="991"/>
      <c r="I179" s="991"/>
      <c r="J179" s="525"/>
      <c r="K179" s="531"/>
      <c r="L179" s="989"/>
      <c r="M179" s="989"/>
      <c r="N179" s="989"/>
      <c r="O179" s="989"/>
      <c r="P179" s="989"/>
      <c r="Q179" s="989"/>
      <c r="R179" s="58"/>
      <c r="S179" s="58"/>
      <c r="T179" s="483" t="s">
        <v>5</v>
      </c>
      <c r="U179" s="221" t="s">
        <v>36</v>
      </c>
      <c r="V179" s="408">
        <v>0</v>
      </c>
      <c r="W179" s="408">
        <f>V179*K209</f>
        <v>0</v>
      </c>
      <c r="X179" s="408">
        <v>0</v>
      </c>
      <c r="Y179" s="408">
        <f>X179*K209</f>
        <v>0</v>
      </c>
      <c r="Z179" s="408">
        <v>0</v>
      </c>
      <c r="AA179" s="409">
        <f>Z179*K209</f>
        <v>0</v>
      </c>
      <c r="AR179" s="448" t="s">
        <v>128</v>
      </c>
      <c r="AT179" s="448" t="s">
        <v>126</v>
      </c>
      <c r="AU179" s="448" t="s">
        <v>76</v>
      </c>
      <c r="AY179" s="448" t="s">
        <v>125</v>
      </c>
      <c r="BE179" s="484">
        <f>IF(U179="základní",N209,0)</f>
        <v>0</v>
      </c>
      <c r="BF179" s="484">
        <f>IF(U179="snížená",N209,0)</f>
        <v>0</v>
      </c>
      <c r="BG179" s="484">
        <f>IF(U179="zákl. přenesená",N209,0)</f>
        <v>0</v>
      </c>
      <c r="BH179" s="484">
        <f>IF(U179="sníž. přenesená",N209,0)</f>
        <v>0</v>
      </c>
      <c r="BI179" s="484">
        <f>IF(U179="nulová",N209,0)</f>
        <v>0</v>
      </c>
      <c r="BJ179" s="448" t="s">
        <v>80</v>
      </c>
      <c r="BK179" s="484">
        <f>ROUND(L209*K209,2)</f>
        <v>0</v>
      </c>
      <c r="BL179" s="448" t="s">
        <v>128</v>
      </c>
      <c r="BM179" s="448" t="s">
        <v>170</v>
      </c>
    </row>
    <row r="180" spans="1:47" s="162" customFormat="1" ht="42" customHeight="1">
      <c r="A180" s="58"/>
      <c r="B180" s="58"/>
      <c r="C180" s="58"/>
      <c r="D180" s="58"/>
      <c r="E180" s="58"/>
      <c r="F180" s="986"/>
      <c r="G180" s="973"/>
      <c r="H180" s="973"/>
      <c r="I180" s="973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07"/>
      <c r="AT180" s="448" t="s">
        <v>182</v>
      </c>
      <c r="AU180" s="448" t="s">
        <v>76</v>
      </c>
    </row>
    <row r="181" spans="1:65" s="162" customFormat="1" ht="31.5" customHeight="1">
      <c r="A181" s="58"/>
      <c r="B181" s="58"/>
      <c r="C181" s="522"/>
      <c r="D181" s="522"/>
      <c r="E181" s="524"/>
      <c r="F181" s="991"/>
      <c r="G181" s="991"/>
      <c r="H181" s="991"/>
      <c r="I181" s="991"/>
      <c r="J181" s="525"/>
      <c r="K181" s="531"/>
      <c r="L181" s="989"/>
      <c r="M181" s="989"/>
      <c r="N181" s="989"/>
      <c r="O181" s="989"/>
      <c r="P181" s="989"/>
      <c r="Q181" s="989"/>
      <c r="R181" s="58"/>
      <c r="S181" s="58"/>
      <c r="T181" s="483" t="s">
        <v>5</v>
      </c>
      <c r="U181" s="221" t="s">
        <v>36</v>
      </c>
      <c r="V181" s="408">
        <v>0</v>
      </c>
      <c r="W181" s="408">
        <f>V181*K211</f>
        <v>0</v>
      </c>
      <c r="X181" s="408">
        <v>0</v>
      </c>
      <c r="Y181" s="408">
        <f>X181*K211</f>
        <v>0</v>
      </c>
      <c r="Z181" s="408">
        <v>0</v>
      </c>
      <c r="AA181" s="409">
        <f>Z181*K211</f>
        <v>0</v>
      </c>
      <c r="AR181" s="448" t="s">
        <v>128</v>
      </c>
      <c r="AT181" s="448" t="s">
        <v>126</v>
      </c>
      <c r="AU181" s="448" t="s">
        <v>76</v>
      </c>
      <c r="AY181" s="448" t="s">
        <v>125</v>
      </c>
      <c r="BE181" s="484">
        <f>IF(U181="základní",N211,0)</f>
        <v>0</v>
      </c>
      <c r="BF181" s="484">
        <f>IF(U181="snížená",N211,0)</f>
        <v>0</v>
      </c>
      <c r="BG181" s="484">
        <f>IF(U181="zákl. přenesená",N211,0)</f>
        <v>0</v>
      </c>
      <c r="BH181" s="484">
        <f>IF(U181="sníž. přenesená",N211,0)</f>
        <v>0</v>
      </c>
      <c r="BI181" s="484">
        <f>IF(U181="nulová",N211,0)</f>
        <v>0</v>
      </c>
      <c r="BJ181" s="448" t="s">
        <v>80</v>
      </c>
      <c r="BK181" s="484">
        <f>ROUND(L211*K211,2)</f>
        <v>0</v>
      </c>
      <c r="BL181" s="448" t="s">
        <v>128</v>
      </c>
      <c r="BM181" s="448" t="s">
        <v>171</v>
      </c>
    </row>
    <row r="182" spans="1:47" s="162" customFormat="1" ht="42" customHeight="1">
      <c r="A182" s="58"/>
      <c r="B182" s="58"/>
      <c r="C182" s="58"/>
      <c r="D182" s="58"/>
      <c r="E182" s="58"/>
      <c r="F182" s="986"/>
      <c r="G182" s="973"/>
      <c r="H182" s="973"/>
      <c r="I182" s="973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07"/>
      <c r="AT182" s="448" t="s">
        <v>182</v>
      </c>
      <c r="AU182" s="448" t="s">
        <v>76</v>
      </c>
    </row>
    <row r="183" spans="1:65" s="162" customFormat="1" ht="22.5" customHeight="1">
      <c r="A183" s="58"/>
      <c r="B183" s="58"/>
      <c r="C183" s="522"/>
      <c r="D183" s="522"/>
      <c r="E183" s="524"/>
      <c r="F183" s="991"/>
      <c r="G183" s="991"/>
      <c r="H183" s="991"/>
      <c r="I183" s="991"/>
      <c r="J183" s="525"/>
      <c r="K183" s="531"/>
      <c r="L183" s="989"/>
      <c r="M183" s="989"/>
      <c r="N183" s="989"/>
      <c r="O183" s="989"/>
      <c r="P183" s="989"/>
      <c r="Q183" s="989"/>
      <c r="R183" s="58"/>
      <c r="S183" s="58"/>
      <c r="T183" s="483" t="s">
        <v>5</v>
      </c>
      <c r="U183" s="221" t="s">
        <v>36</v>
      </c>
      <c r="V183" s="408">
        <v>0</v>
      </c>
      <c r="W183" s="408">
        <f>V183*K213</f>
        <v>0</v>
      </c>
      <c r="X183" s="408">
        <v>0</v>
      </c>
      <c r="Y183" s="408">
        <f>X183*K213</f>
        <v>0</v>
      </c>
      <c r="Z183" s="408">
        <v>0</v>
      </c>
      <c r="AA183" s="409">
        <f>Z183*K213</f>
        <v>0</v>
      </c>
      <c r="AR183" s="448" t="s">
        <v>128</v>
      </c>
      <c r="AT183" s="448" t="s">
        <v>126</v>
      </c>
      <c r="AU183" s="448" t="s">
        <v>76</v>
      </c>
      <c r="AY183" s="448" t="s">
        <v>125</v>
      </c>
      <c r="BE183" s="484">
        <f>IF(U183="základní",N213,0)</f>
        <v>0</v>
      </c>
      <c r="BF183" s="484">
        <f>IF(U183="snížená",N213,0)</f>
        <v>0</v>
      </c>
      <c r="BG183" s="484">
        <f>IF(U183="zákl. přenesená",N213,0)</f>
        <v>0</v>
      </c>
      <c r="BH183" s="484">
        <f>IF(U183="sníž. přenesená",N213,0)</f>
        <v>0</v>
      </c>
      <c r="BI183" s="484">
        <f>IF(U183="nulová",N213,0)</f>
        <v>0</v>
      </c>
      <c r="BJ183" s="448" t="s">
        <v>80</v>
      </c>
      <c r="BK183" s="484">
        <f>ROUND(L213*K213,2)</f>
        <v>0</v>
      </c>
      <c r="BL183" s="448" t="s">
        <v>128</v>
      </c>
      <c r="BM183" s="448" t="s">
        <v>172</v>
      </c>
    </row>
    <row r="184" spans="1:47" s="162" customFormat="1" ht="42" customHeight="1">
      <c r="A184" s="58"/>
      <c r="B184" s="58"/>
      <c r="C184" s="58"/>
      <c r="D184" s="58"/>
      <c r="E184" s="58"/>
      <c r="F184" s="986"/>
      <c r="G184" s="973"/>
      <c r="H184" s="973"/>
      <c r="I184" s="973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07"/>
      <c r="AT184" s="448" t="s">
        <v>182</v>
      </c>
      <c r="AU184" s="448" t="s">
        <v>76</v>
      </c>
    </row>
    <row r="185" spans="1:65" s="162" customFormat="1" ht="22.5" customHeight="1">
      <c r="A185" s="58"/>
      <c r="B185" s="58"/>
      <c r="C185" s="522"/>
      <c r="D185" s="522"/>
      <c r="E185" s="524"/>
      <c r="F185" s="991"/>
      <c r="G185" s="991"/>
      <c r="H185" s="991"/>
      <c r="I185" s="991"/>
      <c r="J185" s="525"/>
      <c r="K185" s="531"/>
      <c r="L185" s="989"/>
      <c r="M185" s="989"/>
      <c r="N185" s="989"/>
      <c r="O185" s="989"/>
      <c r="P185" s="989"/>
      <c r="Q185" s="989"/>
      <c r="R185" s="58"/>
      <c r="S185" s="58"/>
      <c r="T185" s="483" t="s">
        <v>5</v>
      </c>
      <c r="U185" s="221" t="s">
        <v>36</v>
      </c>
      <c r="V185" s="408">
        <v>0</v>
      </c>
      <c r="W185" s="408">
        <f>V185*K215</f>
        <v>0</v>
      </c>
      <c r="X185" s="408">
        <v>0</v>
      </c>
      <c r="Y185" s="408">
        <f>X185*K215</f>
        <v>0</v>
      </c>
      <c r="Z185" s="408">
        <v>0</v>
      </c>
      <c r="AA185" s="409">
        <f>Z185*K215</f>
        <v>0</v>
      </c>
      <c r="AR185" s="448" t="s">
        <v>128</v>
      </c>
      <c r="AT185" s="448" t="s">
        <v>126</v>
      </c>
      <c r="AU185" s="448" t="s">
        <v>76</v>
      </c>
      <c r="AY185" s="448" t="s">
        <v>125</v>
      </c>
      <c r="BE185" s="484">
        <f>IF(U185="základní",N215,0)</f>
        <v>0</v>
      </c>
      <c r="BF185" s="484">
        <f>IF(U185="snížená",N215,0)</f>
        <v>0</v>
      </c>
      <c r="BG185" s="484">
        <f>IF(U185="zákl. přenesená",N215,0)</f>
        <v>0</v>
      </c>
      <c r="BH185" s="484">
        <f>IF(U185="sníž. přenesená",N215,0)</f>
        <v>0</v>
      </c>
      <c r="BI185" s="484">
        <f>IF(U185="nulová",N215,0)</f>
        <v>0</v>
      </c>
      <c r="BJ185" s="448" t="s">
        <v>80</v>
      </c>
      <c r="BK185" s="484">
        <f>ROUND(L215*K215,2)</f>
        <v>0</v>
      </c>
      <c r="BL185" s="448" t="s">
        <v>128</v>
      </c>
      <c r="BM185" s="448" t="s">
        <v>173</v>
      </c>
    </row>
    <row r="186" spans="1:47" s="162" customFormat="1" ht="42" customHeight="1">
      <c r="A186" s="58"/>
      <c r="B186" s="58"/>
      <c r="C186" s="58"/>
      <c r="D186" s="58"/>
      <c r="E186" s="58"/>
      <c r="F186" s="986"/>
      <c r="G186" s="973"/>
      <c r="H186" s="973"/>
      <c r="I186" s="973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07"/>
      <c r="AT186" s="448" t="s">
        <v>182</v>
      </c>
      <c r="AU186" s="448" t="s">
        <v>76</v>
      </c>
    </row>
    <row r="187" spans="1:65" s="162" customFormat="1" ht="31.5" customHeight="1">
      <c r="A187" s="58"/>
      <c r="B187" s="58"/>
      <c r="C187" s="181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971"/>
      <c r="O187" s="926"/>
      <c r="P187" s="926"/>
      <c r="Q187" s="926"/>
      <c r="R187" s="58"/>
      <c r="S187" s="58"/>
      <c r="T187" s="483" t="s">
        <v>5</v>
      </c>
      <c r="U187" s="221" t="s">
        <v>36</v>
      </c>
      <c r="V187" s="408">
        <v>0</v>
      </c>
      <c r="W187" s="408">
        <f>V187*K217</f>
        <v>0</v>
      </c>
      <c r="X187" s="408">
        <v>0</v>
      </c>
      <c r="Y187" s="408">
        <f>X187*K217</f>
        <v>0</v>
      </c>
      <c r="Z187" s="408">
        <v>0</v>
      </c>
      <c r="AA187" s="409">
        <f>Z187*K217</f>
        <v>0</v>
      </c>
      <c r="AR187" s="448" t="s">
        <v>128</v>
      </c>
      <c r="AT187" s="448" t="s">
        <v>126</v>
      </c>
      <c r="AU187" s="448" t="s">
        <v>76</v>
      </c>
      <c r="AY187" s="448" t="s">
        <v>125</v>
      </c>
      <c r="BE187" s="484">
        <f>IF(U187="základní",N217,0)</f>
        <v>0</v>
      </c>
      <c r="BF187" s="484">
        <f>IF(U187="snížená",N217,0)</f>
        <v>0</v>
      </c>
      <c r="BG187" s="484">
        <f>IF(U187="zákl. přenesená",N217,0)</f>
        <v>0</v>
      </c>
      <c r="BH187" s="484">
        <f>IF(U187="sníž. přenesená",N217,0)</f>
        <v>0</v>
      </c>
      <c r="BI187" s="484">
        <f>IF(U187="nulová",N217,0)</f>
        <v>0</v>
      </c>
      <c r="BJ187" s="448" t="s">
        <v>80</v>
      </c>
      <c r="BK187" s="484">
        <f>ROUND(L217*K217,2)</f>
        <v>0</v>
      </c>
      <c r="BL187" s="448" t="s">
        <v>128</v>
      </c>
      <c r="BM187" s="448" t="s">
        <v>174</v>
      </c>
    </row>
    <row r="188" spans="1:47" s="162" customFormat="1" ht="42" customHeight="1">
      <c r="A188" s="58"/>
      <c r="B188" s="58"/>
      <c r="C188" s="522"/>
      <c r="D188" s="522"/>
      <c r="E188" s="524"/>
      <c r="F188" s="991"/>
      <c r="G188" s="991"/>
      <c r="H188" s="991"/>
      <c r="I188" s="991"/>
      <c r="J188" s="525"/>
      <c r="K188" s="531"/>
      <c r="L188" s="989"/>
      <c r="M188" s="989"/>
      <c r="N188" s="989"/>
      <c r="O188" s="989"/>
      <c r="P188" s="989"/>
      <c r="Q188" s="989"/>
      <c r="R188" s="58"/>
      <c r="S188" s="58"/>
      <c r="T188" s="58"/>
      <c r="U188" s="58"/>
      <c r="V188" s="58"/>
      <c r="W188" s="58"/>
      <c r="X188" s="58"/>
      <c r="Y188" s="58"/>
      <c r="Z188" s="58"/>
      <c r="AA188" s="507"/>
      <c r="AT188" s="448" t="s">
        <v>182</v>
      </c>
      <c r="AU188" s="448" t="s">
        <v>76</v>
      </c>
    </row>
    <row r="189" spans="1:65" s="162" customFormat="1" ht="31.5" customHeight="1">
      <c r="A189" s="58"/>
      <c r="B189" s="58"/>
      <c r="C189" s="58"/>
      <c r="D189" s="58"/>
      <c r="E189" s="58"/>
      <c r="F189" s="986"/>
      <c r="G189" s="973"/>
      <c r="H189" s="973"/>
      <c r="I189" s="973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483" t="s">
        <v>5</v>
      </c>
      <c r="U189" s="221" t="s">
        <v>36</v>
      </c>
      <c r="V189" s="408">
        <v>0</v>
      </c>
      <c r="W189" s="408">
        <f>V189*K219</f>
        <v>0</v>
      </c>
      <c r="X189" s="408">
        <v>0</v>
      </c>
      <c r="Y189" s="408">
        <f>X189*K219</f>
        <v>0</v>
      </c>
      <c r="Z189" s="408">
        <v>0</v>
      </c>
      <c r="AA189" s="409">
        <f>Z189*K219</f>
        <v>0</v>
      </c>
      <c r="AR189" s="448" t="s">
        <v>128</v>
      </c>
      <c r="AT189" s="448" t="s">
        <v>126</v>
      </c>
      <c r="AU189" s="448" t="s">
        <v>76</v>
      </c>
      <c r="AY189" s="448" t="s">
        <v>125</v>
      </c>
      <c r="BE189" s="484">
        <f>IF(U189="základní",N219,0)</f>
        <v>0</v>
      </c>
      <c r="BF189" s="484">
        <f>IF(U189="snížená",N219,0)</f>
        <v>0</v>
      </c>
      <c r="BG189" s="484">
        <f>IF(U189="zákl. přenesená",N219,0)</f>
        <v>0</v>
      </c>
      <c r="BH189" s="484">
        <f>IF(U189="sníž. přenesená",N219,0)</f>
        <v>0</v>
      </c>
      <c r="BI189" s="484">
        <f>IF(U189="nulová",N219,0)</f>
        <v>0</v>
      </c>
      <c r="BJ189" s="448" t="s">
        <v>80</v>
      </c>
      <c r="BK189" s="484">
        <f>ROUND(L219*K219,2)</f>
        <v>0</v>
      </c>
      <c r="BL189" s="448" t="s">
        <v>128</v>
      </c>
      <c r="BM189" s="448" t="s">
        <v>175</v>
      </c>
    </row>
    <row r="190" spans="1:47" s="162" customFormat="1" ht="42" customHeight="1">
      <c r="A190" s="58"/>
      <c r="B190" s="58"/>
      <c r="C190" s="522"/>
      <c r="D190" s="522"/>
      <c r="E190" s="524"/>
      <c r="F190" s="991"/>
      <c r="G190" s="991"/>
      <c r="H190" s="991"/>
      <c r="I190" s="991"/>
      <c r="J190" s="525"/>
      <c r="K190" s="531"/>
      <c r="L190" s="989"/>
      <c r="M190" s="989"/>
      <c r="N190" s="989"/>
      <c r="O190" s="989"/>
      <c r="P190" s="989"/>
      <c r="Q190" s="989"/>
      <c r="R190" s="58"/>
      <c r="S190" s="58"/>
      <c r="T190" s="58"/>
      <c r="U190" s="58"/>
      <c r="V190" s="58"/>
      <c r="W190" s="58"/>
      <c r="X190" s="58"/>
      <c r="Y190" s="58"/>
      <c r="Z190" s="58"/>
      <c r="AA190" s="507"/>
      <c r="AT190" s="448" t="s">
        <v>182</v>
      </c>
      <c r="AU190" s="448" t="s">
        <v>76</v>
      </c>
    </row>
    <row r="191" spans="1:63" s="398" customFormat="1" ht="37.35" customHeight="1">
      <c r="A191" s="181"/>
      <c r="B191" s="181"/>
      <c r="C191" s="58"/>
      <c r="D191" s="58"/>
      <c r="E191" s="58"/>
      <c r="F191" s="986"/>
      <c r="G191" s="973"/>
      <c r="H191" s="973"/>
      <c r="I191" s="973"/>
      <c r="J191" s="58"/>
      <c r="K191" s="58"/>
      <c r="L191" s="58"/>
      <c r="M191" s="58"/>
      <c r="N191" s="58"/>
      <c r="O191" s="58"/>
      <c r="P191" s="58"/>
      <c r="Q191" s="58"/>
      <c r="R191" s="181"/>
      <c r="S191" s="181"/>
      <c r="T191" s="181"/>
      <c r="U191" s="181"/>
      <c r="V191" s="181"/>
      <c r="W191" s="402">
        <f>SUM(W192:W195)</f>
        <v>0</v>
      </c>
      <c r="X191" s="181"/>
      <c r="Y191" s="402">
        <f>SUM(Y192:Y195)</f>
        <v>0</v>
      </c>
      <c r="Z191" s="181"/>
      <c r="AA191" s="403">
        <f>SUM(AA192:AA195)</f>
        <v>0</v>
      </c>
      <c r="AR191" s="404" t="s">
        <v>76</v>
      </c>
      <c r="AT191" s="405" t="s">
        <v>68</v>
      </c>
      <c r="AU191" s="405" t="s">
        <v>69</v>
      </c>
      <c r="AY191" s="404" t="s">
        <v>125</v>
      </c>
      <c r="BK191" s="406">
        <f>SUM(BK192:BK195)</f>
        <v>0</v>
      </c>
    </row>
    <row r="192" spans="1:65" s="162" customFormat="1" ht="22.5" customHeight="1">
      <c r="A192" s="58"/>
      <c r="B192" s="58"/>
      <c r="C192" s="522"/>
      <c r="D192" s="522"/>
      <c r="E192" s="524"/>
      <c r="F192" s="991"/>
      <c r="G192" s="991"/>
      <c r="H192" s="991"/>
      <c r="I192" s="991"/>
      <c r="J192" s="525"/>
      <c r="K192" s="531"/>
      <c r="L192" s="989"/>
      <c r="M192" s="989"/>
      <c r="N192" s="989"/>
      <c r="O192" s="989"/>
      <c r="P192" s="989"/>
      <c r="Q192" s="989"/>
      <c r="R192" s="58"/>
      <c r="S192" s="58"/>
      <c r="T192" s="483" t="s">
        <v>5</v>
      </c>
      <c r="U192" s="221" t="s">
        <v>36</v>
      </c>
      <c r="V192" s="408">
        <v>0</v>
      </c>
      <c r="W192" s="408">
        <f>V192*K222</f>
        <v>0</v>
      </c>
      <c r="X192" s="408">
        <v>0</v>
      </c>
      <c r="Y192" s="408">
        <f>X192*K222</f>
        <v>0</v>
      </c>
      <c r="Z192" s="408">
        <v>0</v>
      </c>
      <c r="AA192" s="409">
        <f>Z192*K222</f>
        <v>0</v>
      </c>
      <c r="AR192" s="448" t="s">
        <v>128</v>
      </c>
      <c r="AT192" s="448" t="s">
        <v>126</v>
      </c>
      <c r="AU192" s="448" t="s">
        <v>76</v>
      </c>
      <c r="AY192" s="448" t="s">
        <v>125</v>
      </c>
      <c r="BE192" s="484">
        <f>IF(U192="základní",N222,0)</f>
        <v>0</v>
      </c>
      <c r="BF192" s="484">
        <f>IF(U192="snížená",N222,0)</f>
        <v>0</v>
      </c>
      <c r="BG192" s="484">
        <f>IF(U192="zákl. přenesená",N222,0)</f>
        <v>0</v>
      </c>
      <c r="BH192" s="484">
        <f>IF(U192="sníž. přenesená",N222,0)</f>
        <v>0</v>
      </c>
      <c r="BI192" s="484">
        <f>IF(U192="nulová",N222,0)</f>
        <v>0</v>
      </c>
      <c r="BJ192" s="448" t="s">
        <v>80</v>
      </c>
      <c r="BK192" s="484">
        <f>ROUND(L222*K222,2)</f>
        <v>0</v>
      </c>
      <c r="BL192" s="448" t="s">
        <v>128</v>
      </c>
      <c r="BM192" s="448" t="s">
        <v>176</v>
      </c>
    </row>
    <row r="193" spans="1:47" s="162" customFormat="1" ht="42" customHeight="1">
      <c r="A193" s="58"/>
      <c r="B193" s="58"/>
      <c r="C193" s="58"/>
      <c r="D193" s="58"/>
      <c r="E193" s="58"/>
      <c r="F193" s="986"/>
      <c r="G193" s="973"/>
      <c r="H193" s="973"/>
      <c r="I193" s="973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07"/>
      <c r="AT193" s="448" t="s">
        <v>182</v>
      </c>
      <c r="AU193" s="448" t="s">
        <v>76</v>
      </c>
    </row>
    <row r="194" spans="1:65" s="162" customFormat="1" ht="31.5" customHeight="1">
      <c r="A194" s="58"/>
      <c r="B194" s="58"/>
      <c r="C194" s="522"/>
      <c r="D194" s="522"/>
      <c r="E194" s="524"/>
      <c r="F194" s="991"/>
      <c r="G194" s="991"/>
      <c r="H194" s="991"/>
      <c r="I194" s="991"/>
      <c r="J194" s="525"/>
      <c r="K194" s="531"/>
      <c r="L194" s="989"/>
      <c r="M194" s="989"/>
      <c r="N194" s="989"/>
      <c r="O194" s="989"/>
      <c r="P194" s="989"/>
      <c r="Q194" s="989"/>
      <c r="R194" s="58"/>
      <c r="S194" s="58"/>
      <c r="T194" s="483" t="s">
        <v>5</v>
      </c>
      <c r="U194" s="221" t="s">
        <v>36</v>
      </c>
      <c r="V194" s="408">
        <v>0</v>
      </c>
      <c r="W194" s="408">
        <f>V194*K224</f>
        <v>0</v>
      </c>
      <c r="X194" s="408">
        <v>0</v>
      </c>
      <c r="Y194" s="408">
        <f>X194*K224</f>
        <v>0</v>
      </c>
      <c r="Z194" s="408">
        <v>0</v>
      </c>
      <c r="AA194" s="409">
        <f>Z194*K224</f>
        <v>0</v>
      </c>
      <c r="AR194" s="448" t="s">
        <v>128</v>
      </c>
      <c r="AT194" s="448" t="s">
        <v>126</v>
      </c>
      <c r="AU194" s="448" t="s">
        <v>76</v>
      </c>
      <c r="AY194" s="448" t="s">
        <v>125</v>
      </c>
      <c r="BE194" s="484">
        <f>IF(U194="základní",N224,0)</f>
        <v>0</v>
      </c>
      <c r="BF194" s="484">
        <f>IF(U194="snížená",N224,0)</f>
        <v>0</v>
      </c>
      <c r="BG194" s="484">
        <f>IF(U194="zákl. přenesená",N224,0)</f>
        <v>0</v>
      </c>
      <c r="BH194" s="484">
        <f>IF(U194="sníž. přenesená",N224,0)</f>
        <v>0</v>
      </c>
      <c r="BI194" s="484">
        <f>IF(U194="nulová",N224,0)</f>
        <v>0</v>
      </c>
      <c r="BJ194" s="448" t="s">
        <v>80</v>
      </c>
      <c r="BK194" s="484">
        <f>ROUND(L224*K224,2)</f>
        <v>0</v>
      </c>
      <c r="BL194" s="448" t="s">
        <v>128</v>
      </c>
      <c r="BM194" s="448" t="s">
        <v>177</v>
      </c>
    </row>
    <row r="195" spans="1:47" s="162" customFormat="1" ht="30" customHeight="1">
      <c r="A195" s="58"/>
      <c r="B195" s="58"/>
      <c r="C195" s="58"/>
      <c r="D195" s="58"/>
      <c r="E195" s="58"/>
      <c r="F195" s="986"/>
      <c r="G195" s="973"/>
      <c r="H195" s="973"/>
      <c r="I195" s="97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07"/>
      <c r="AT195" s="448" t="s">
        <v>182</v>
      </c>
      <c r="AU195" s="448" t="s">
        <v>76</v>
      </c>
    </row>
    <row r="196" spans="1:63" s="398" customFormat="1" ht="37.35" customHeight="1">
      <c r="A196" s="181"/>
      <c r="B196" s="181"/>
      <c r="C196" s="181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971"/>
      <c r="O196" s="926"/>
      <c r="P196" s="926"/>
      <c r="Q196" s="926"/>
      <c r="R196" s="181"/>
      <c r="S196" s="181"/>
      <c r="T196" s="181"/>
      <c r="U196" s="181"/>
      <c r="V196" s="181"/>
      <c r="W196" s="402">
        <f>SUM(W197:W204)</f>
        <v>0</v>
      </c>
      <c r="X196" s="181"/>
      <c r="Y196" s="402">
        <f>SUM(Y197:Y204)</f>
        <v>0</v>
      </c>
      <c r="Z196" s="181"/>
      <c r="AA196" s="403">
        <f>SUM(AA197:AA204)</f>
        <v>0</v>
      </c>
      <c r="AR196" s="404" t="s">
        <v>76</v>
      </c>
      <c r="AT196" s="405" t="s">
        <v>68</v>
      </c>
      <c r="AU196" s="405" t="s">
        <v>69</v>
      </c>
      <c r="AY196" s="404" t="s">
        <v>125</v>
      </c>
      <c r="BK196" s="406">
        <f>SUM(BK197:BK204)</f>
        <v>0</v>
      </c>
    </row>
    <row r="197" spans="1:65" s="162" customFormat="1" ht="31.5" customHeight="1">
      <c r="A197" s="58"/>
      <c r="B197" s="58"/>
      <c r="C197" s="522"/>
      <c r="D197" s="522"/>
      <c r="E197" s="524"/>
      <c r="F197" s="991"/>
      <c r="G197" s="991"/>
      <c r="H197" s="991"/>
      <c r="I197" s="991"/>
      <c r="J197" s="525"/>
      <c r="K197" s="531"/>
      <c r="L197" s="989"/>
      <c r="M197" s="989"/>
      <c r="N197" s="989"/>
      <c r="O197" s="989"/>
      <c r="P197" s="989"/>
      <c r="Q197" s="989"/>
      <c r="R197" s="58"/>
      <c r="S197" s="58"/>
      <c r="T197" s="483" t="s">
        <v>5</v>
      </c>
      <c r="U197" s="221" t="s">
        <v>36</v>
      </c>
      <c r="V197" s="408">
        <v>0</v>
      </c>
      <c r="W197" s="408">
        <f>V197*K227</f>
        <v>0</v>
      </c>
      <c r="X197" s="408">
        <v>0</v>
      </c>
      <c r="Y197" s="408">
        <f>X197*K227</f>
        <v>0</v>
      </c>
      <c r="Z197" s="408">
        <v>0</v>
      </c>
      <c r="AA197" s="409">
        <f>Z197*K227</f>
        <v>0</v>
      </c>
      <c r="AR197" s="448" t="s">
        <v>128</v>
      </c>
      <c r="AT197" s="448" t="s">
        <v>126</v>
      </c>
      <c r="AU197" s="448" t="s">
        <v>76</v>
      </c>
      <c r="AY197" s="448" t="s">
        <v>125</v>
      </c>
      <c r="BE197" s="484">
        <f>IF(U197="základní",N227,0)</f>
        <v>0</v>
      </c>
      <c r="BF197" s="484">
        <f>IF(U197="snížená",N227,0)</f>
        <v>0</v>
      </c>
      <c r="BG197" s="484">
        <f>IF(U197="zákl. přenesená",N227,0)</f>
        <v>0</v>
      </c>
      <c r="BH197" s="484">
        <f>IF(U197="sníž. přenesená",N227,0)</f>
        <v>0</v>
      </c>
      <c r="BI197" s="484">
        <f>IF(U197="nulová",N227,0)</f>
        <v>0</v>
      </c>
      <c r="BJ197" s="448" t="s">
        <v>80</v>
      </c>
      <c r="BK197" s="484">
        <f>ROUND(L227*K227,2)</f>
        <v>0</v>
      </c>
      <c r="BL197" s="448" t="s">
        <v>128</v>
      </c>
      <c r="BM197" s="448" t="s">
        <v>178</v>
      </c>
    </row>
    <row r="198" spans="1:47" s="162" customFormat="1" ht="66" customHeight="1">
      <c r="A198" s="58"/>
      <c r="B198" s="58"/>
      <c r="C198" s="58"/>
      <c r="D198" s="58"/>
      <c r="E198" s="58"/>
      <c r="F198" s="986"/>
      <c r="G198" s="973"/>
      <c r="H198" s="973"/>
      <c r="I198" s="973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07"/>
      <c r="AT198" s="448" t="s">
        <v>182</v>
      </c>
      <c r="AU198" s="448" t="s">
        <v>76</v>
      </c>
    </row>
    <row r="199" spans="1:65" s="162" customFormat="1" ht="31.5" customHeight="1">
      <c r="A199" s="58"/>
      <c r="B199" s="58"/>
      <c r="C199" s="522"/>
      <c r="D199" s="522"/>
      <c r="E199" s="524"/>
      <c r="F199" s="991"/>
      <c r="G199" s="991"/>
      <c r="H199" s="991"/>
      <c r="I199" s="991"/>
      <c r="J199" s="525"/>
      <c r="K199" s="531"/>
      <c r="L199" s="989"/>
      <c r="M199" s="989"/>
      <c r="N199" s="989"/>
      <c r="O199" s="989"/>
      <c r="P199" s="989"/>
      <c r="Q199" s="989"/>
      <c r="R199" s="58"/>
      <c r="S199" s="58"/>
      <c r="T199" s="483" t="s">
        <v>5</v>
      </c>
      <c r="U199" s="221" t="s">
        <v>36</v>
      </c>
      <c r="V199" s="408">
        <v>0</v>
      </c>
      <c r="W199" s="408">
        <f>V199*K229</f>
        <v>0</v>
      </c>
      <c r="X199" s="408">
        <v>0</v>
      </c>
      <c r="Y199" s="408">
        <f>X199*K229</f>
        <v>0</v>
      </c>
      <c r="Z199" s="408">
        <v>0</v>
      </c>
      <c r="AA199" s="409">
        <f>Z199*K229</f>
        <v>0</v>
      </c>
      <c r="AR199" s="448" t="s">
        <v>128</v>
      </c>
      <c r="AT199" s="448" t="s">
        <v>126</v>
      </c>
      <c r="AU199" s="448" t="s">
        <v>76</v>
      </c>
      <c r="AY199" s="448" t="s">
        <v>125</v>
      </c>
      <c r="BE199" s="484">
        <f>IF(U199="základní",N229,0)</f>
        <v>0</v>
      </c>
      <c r="BF199" s="484">
        <f>IF(U199="snížená",N229,0)</f>
        <v>0</v>
      </c>
      <c r="BG199" s="484">
        <f>IF(U199="zákl. přenesená",N229,0)</f>
        <v>0</v>
      </c>
      <c r="BH199" s="484">
        <f>IF(U199="sníž. přenesená",N229,0)</f>
        <v>0</v>
      </c>
      <c r="BI199" s="484">
        <f>IF(U199="nulová",N229,0)</f>
        <v>0</v>
      </c>
      <c r="BJ199" s="448" t="s">
        <v>80</v>
      </c>
      <c r="BK199" s="484">
        <f>ROUND(L229*K229,2)</f>
        <v>0</v>
      </c>
      <c r="BL199" s="448" t="s">
        <v>128</v>
      </c>
      <c r="BM199" s="448" t="s">
        <v>179</v>
      </c>
    </row>
    <row r="200" spans="1:47" s="162" customFormat="1" ht="42" customHeight="1">
      <c r="A200" s="58"/>
      <c r="B200" s="58"/>
      <c r="C200" s="58"/>
      <c r="D200" s="58"/>
      <c r="E200" s="58"/>
      <c r="F200" s="986"/>
      <c r="G200" s="973"/>
      <c r="H200" s="973"/>
      <c r="I200" s="973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07"/>
      <c r="AT200" s="448" t="s">
        <v>182</v>
      </c>
      <c r="AU200" s="448" t="s">
        <v>76</v>
      </c>
    </row>
    <row r="201" spans="1:65" s="162" customFormat="1" ht="31.5" customHeight="1">
      <c r="A201" s="58"/>
      <c r="B201" s="58"/>
      <c r="C201" s="522"/>
      <c r="D201" s="522"/>
      <c r="E201" s="524"/>
      <c r="F201" s="991"/>
      <c r="G201" s="991"/>
      <c r="H201" s="991"/>
      <c r="I201" s="991"/>
      <c r="J201" s="525"/>
      <c r="K201" s="531"/>
      <c r="L201" s="989"/>
      <c r="M201" s="989"/>
      <c r="N201" s="989"/>
      <c r="O201" s="989"/>
      <c r="P201" s="989"/>
      <c r="Q201" s="989"/>
      <c r="R201" s="58"/>
      <c r="S201" s="58"/>
      <c r="T201" s="483" t="s">
        <v>5</v>
      </c>
      <c r="U201" s="221" t="s">
        <v>36</v>
      </c>
      <c r="V201" s="408">
        <v>0</v>
      </c>
      <c r="W201" s="408">
        <f>V201*K231</f>
        <v>0</v>
      </c>
      <c r="X201" s="408">
        <v>0</v>
      </c>
      <c r="Y201" s="408">
        <f>X201*K231</f>
        <v>0</v>
      </c>
      <c r="Z201" s="408">
        <v>0</v>
      </c>
      <c r="AA201" s="409">
        <f>Z201*K231</f>
        <v>0</v>
      </c>
      <c r="AR201" s="448" t="s">
        <v>128</v>
      </c>
      <c r="AT201" s="448" t="s">
        <v>126</v>
      </c>
      <c r="AU201" s="448" t="s">
        <v>76</v>
      </c>
      <c r="AY201" s="448" t="s">
        <v>125</v>
      </c>
      <c r="BE201" s="484">
        <f>IF(U201="základní",N231,0)</f>
        <v>0</v>
      </c>
      <c r="BF201" s="484">
        <f>IF(U201="snížená",N231,0)</f>
        <v>0</v>
      </c>
      <c r="BG201" s="484">
        <f>IF(U201="zákl. přenesená",N231,0)</f>
        <v>0</v>
      </c>
      <c r="BH201" s="484">
        <f>IF(U201="sníž. přenesená",N231,0)</f>
        <v>0</v>
      </c>
      <c r="BI201" s="484">
        <f>IF(U201="nulová",N231,0)</f>
        <v>0</v>
      </c>
      <c r="BJ201" s="448" t="s">
        <v>80</v>
      </c>
      <c r="BK201" s="484">
        <f>ROUND(L231*K231,2)</f>
        <v>0</v>
      </c>
      <c r="BL201" s="448" t="s">
        <v>128</v>
      </c>
      <c r="BM201" s="448" t="s">
        <v>180</v>
      </c>
    </row>
    <row r="202" spans="1:47" s="162" customFormat="1" ht="42" customHeight="1">
      <c r="A202" s="58"/>
      <c r="B202" s="58"/>
      <c r="C202" s="58"/>
      <c r="D202" s="58"/>
      <c r="E202" s="58"/>
      <c r="F202" s="986"/>
      <c r="G202" s="973"/>
      <c r="H202" s="973"/>
      <c r="I202" s="973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07"/>
      <c r="AT202" s="448" t="s">
        <v>182</v>
      </c>
      <c r="AU202" s="448" t="s">
        <v>76</v>
      </c>
    </row>
    <row r="203" spans="1:65" s="162" customFormat="1" ht="31.5" customHeight="1">
      <c r="A203" s="58"/>
      <c r="B203" s="58"/>
      <c r="C203" s="522"/>
      <c r="D203" s="522"/>
      <c r="E203" s="524"/>
      <c r="F203" s="991"/>
      <c r="G203" s="991"/>
      <c r="H203" s="991"/>
      <c r="I203" s="991"/>
      <c r="J203" s="525"/>
      <c r="K203" s="531"/>
      <c r="L203" s="989"/>
      <c r="M203" s="989"/>
      <c r="N203" s="989"/>
      <c r="O203" s="989"/>
      <c r="P203" s="989"/>
      <c r="Q203" s="989"/>
      <c r="R203" s="58"/>
      <c r="S203" s="58"/>
      <c r="T203" s="483" t="s">
        <v>5</v>
      </c>
      <c r="U203" s="221" t="s">
        <v>36</v>
      </c>
      <c r="V203" s="408">
        <v>0</v>
      </c>
      <c r="W203" s="408">
        <f>V203*K233</f>
        <v>0</v>
      </c>
      <c r="X203" s="408">
        <v>0</v>
      </c>
      <c r="Y203" s="408">
        <f>X203*K233</f>
        <v>0</v>
      </c>
      <c r="Z203" s="408">
        <v>0</v>
      </c>
      <c r="AA203" s="409">
        <f>Z203*K233</f>
        <v>0</v>
      </c>
      <c r="AR203" s="448" t="s">
        <v>128</v>
      </c>
      <c r="AT203" s="448" t="s">
        <v>126</v>
      </c>
      <c r="AU203" s="448" t="s">
        <v>76</v>
      </c>
      <c r="AY203" s="448" t="s">
        <v>125</v>
      </c>
      <c r="BE203" s="484">
        <f>IF(U203="základní",N233,0)</f>
        <v>0</v>
      </c>
      <c r="BF203" s="484">
        <f>IF(U203="snížená",N233,0)</f>
        <v>0</v>
      </c>
      <c r="BG203" s="484">
        <f>IF(U203="zákl. přenesená",N233,0)</f>
        <v>0</v>
      </c>
      <c r="BH203" s="484">
        <f>IF(U203="sníž. přenesená",N233,0)</f>
        <v>0</v>
      </c>
      <c r="BI203" s="484">
        <f>IF(U203="nulová",N233,0)</f>
        <v>0</v>
      </c>
      <c r="BJ203" s="448" t="s">
        <v>80</v>
      </c>
      <c r="BK203" s="484">
        <f>ROUND(L233*K233,2)</f>
        <v>0</v>
      </c>
      <c r="BL203" s="448" t="s">
        <v>128</v>
      </c>
      <c r="BM203" s="448" t="s">
        <v>181</v>
      </c>
    </row>
    <row r="204" spans="1:47" s="162" customFormat="1" ht="42" customHeight="1">
      <c r="A204" s="58"/>
      <c r="B204" s="58"/>
      <c r="C204" s="58"/>
      <c r="D204" s="58"/>
      <c r="E204" s="58"/>
      <c r="F204" s="986"/>
      <c r="G204" s="973"/>
      <c r="H204" s="973"/>
      <c r="I204" s="973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07"/>
      <c r="AT204" s="448" t="s">
        <v>182</v>
      </c>
      <c r="AU204" s="448" t="s">
        <v>76</v>
      </c>
    </row>
    <row r="205" spans="1:63" s="398" customFormat="1" ht="37.35" customHeight="1">
      <c r="A205" s="181"/>
      <c r="B205" s="181"/>
      <c r="C205" s="522"/>
      <c r="D205" s="522"/>
      <c r="E205" s="524"/>
      <c r="F205" s="991"/>
      <c r="G205" s="991"/>
      <c r="H205" s="991"/>
      <c r="I205" s="991"/>
      <c r="J205" s="525"/>
      <c r="K205" s="531"/>
      <c r="L205" s="989"/>
      <c r="M205" s="989"/>
      <c r="N205" s="989"/>
      <c r="O205" s="989"/>
      <c r="P205" s="989"/>
      <c r="Q205" s="989"/>
      <c r="R205" s="181"/>
      <c r="S205" s="181"/>
      <c r="T205" s="181"/>
      <c r="U205" s="181"/>
      <c r="V205" s="181"/>
      <c r="W205" s="402">
        <f>SUM(W206:W212)</f>
        <v>0</v>
      </c>
      <c r="X205" s="181"/>
      <c r="Y205" s="402">
        <f>SUM(Y206:Y212)</f>
        <v>0</v>
      </c>
      <c r="Z205" s="181"/>
      <c r="AA205" s="403">
        <f>SUM(AA206:AA212)</f>
        <v>0</v>
      </c>
      <c r="AR205" s="404" t="s">
        <v>76</v>
      </c>
      <c r="AT205" s="405" t="s">
        <v>68</v>
      </c>
      <c r="AU205" s="405" t="s">
        <v>69</v>
      </c>
      <c r="AY205" s="404" t="s">
        <v>125</v>
      </c>
      <c r="BK205" s="406">
        <f>SUM(BK206:BK212)</f>
        <v>0</v>
      </c>
    </row>
    <row r="206" spans="1:65" s="162" customFormat="1" ht="31.5" customHeight="1">
      <c r="A206" s="58"/>
      <c r="B206" s="58"/>
      <c r="C206" s="58"/>
      <c r="D206" s="58"/>
      <c r="E206" s="58"/>
      <c r="F206" s="986"/>
      <c r="G206" s="973"/>
      <c r="H206" s="973"/>
      <c r="I206" s="973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483" t="s">
        <v>5</v>
      </c>
      <c r="U206" s="221" t="s">
        <v>36</v>
      </c>
      <c r="V206" s="408">
        <v>0</v>
      </c>
      <c r="W206" s="408">
        <f aca="true" t="shared" si="1" ref="W206:W212">V206*K236</f>
        <v>0</v>
      </c>
      <c r="X206" s="408">
        <v>0</v>
      </c>
      <c r="Y206" s="408">
        <f aca="true" t="shared" si="2" ref="Y206:Y212">X206*K236</f>
        <v>0</v>
      </c>
      <c r="Z206" s="408">
        <v>0</v>
      </c>
      <c r="AA206" s="409">
        <f aca="true" t="shared" si="3" ref="AA206:AA212">Z206*K236</f>
        <v>0</v>
      </c>
      <c r="AR206" s="448" t="s">
        <v>128</v>
      </c>
      <c r="AT206" s="448" t="s">
        <v>126</v>
      </c>
      <c r="AU206" s="448" t="s">
        <v>76</v>
      </c>
      <c r="AY206" s="448" t="s">
        <v>125</v>
      </c>
      <c r="BE206" s="484">
        <f aca="true" t="shared" si="4" ref="BE206:BE212">IF(U206="základní",N236,0)</f>
        <v>0</v>
      </c>
      <c r="BF206" s="484">
        <f aca="true" t="shared" si="5" ref="BF206:BF212">IF(U206="snížená",N236,0)</f>
        <v>0</v>
      </c>
      <c r="BG206" s="484">
        <f aca="true" t="shared" si="6" ref="BG206:BG212">IF(U206="zákl. přenesená",N236,0)</f>
        <v>0</v>
      </c>
      <c r="BH206" s="484">
        <f aca="true" t="shared" si="7" ref="BH206:BH212">IF(U206="sníž. přenesená",N236,0)</f>
        <v>0</v>
      </c>
      <c r="BI206" s="484">
        <f aca="true" t="shared" si="8" ref="BI206:BI212">IF(U206="nulová",N236,0)</f>
        <v>0</v>
      </c>
      <c r="BJ206" s="448" t="s">
        <v>80</v>
      </c>
      <c r="BK206" s="484">
        <f aca="true" t="shared" si="9" ref="BK206:BK212">ROUND(L236*K236,2)</f>
        <v>0</v>
      </c>
      <c r="BL206" s="448" t="s">
        <v>128</v>
      </c>
      <c r="BM206" s="448" t="s">
        <v>183</v>
      </c>
    </row>
    <row r="207" spans="1:65" s="162" customFormat="1" ht="31.5" customHeight="1">
      <c r="A207" s="58"/>
      <c r="B207" s="58"/>
      <c r="C207" s="522"/>
      <c r="D207" s="522"/>
      <c r="E207" s="524"/>
      <c r="F207" s="991"/>
      <c r="G207" s="991"/>
      <c r="H207" s="991"/>
      <c r="I207" s="991"/>
      <c r="J207" s="525"/>
      <c r="K207" s="531"/>
      <c r="L207" s="989"/>
      <c r="M207" s="989"/>
      <c r="N207" s="989"/>
      <c r="O207" s="989"/>
      <c r="P207" s="989"/>
      <c r="Q207" s="989"/>
      <c r="R207" s="58"/>
      <c r="S207" s="58"/>
      <c r="T207" s="483" t="s">
        <v>5</v>
      </c>
      <c r="U207" s="221" t="s">
        <v>36</v>
      </c>
      <c r="V207" s="408">
        <v>0</v>
      </c>
      <c r="W207" s="408">
        <f t="shared" si="1"/>
        <v>0</v>
      </c>
      <c r="X207" s="408">
        <v>0</v>
      </c>
      <c r="Y207" s="408">
        <f t="shared" si="2"/>
        <v>0</v>
      </c>
      <c r="Z207" s="408">
        <v>0</v>
      </c>
      <c r="AA207" s="409">
        <f t="shared" si="3"/>
        <v>0</v>
      </c>
      <c r="AR207" s="448" t="s">
        <v>128</v>
      </c>
      <c r="AT207" s="448" t="s">
        <v>126</v>
      </c>
      <c r="AU207" s="448" t="s">
        <v>76</v>
      </c>
      <c r="AY207" s="448" t="s">
        <v>125</v>
      </c>
      <c r="BE207" s="484">
        <f t="shared" si="4"/>
        <v>0</v>
      </c>
      <c r="BF207" s="484">
        <f t="shared" si="5"/>
        <v>0</v>
      </c>
      <c r="BG207" s="484">
        <f t="shared" si="6"/>
        <v>0</v>
      </c>
      <c r="BH207" s="484">
        <f t="shared" si="7"/>
        <v>0</v>
      </c>
      <c r="BI207" s="484">
        <f t="shared" si="8"/>
        <v>0</v>
      </c>
      <c r="BJ207" s="448" t="s">
        <v>80</v>
      </c>
      <c r="BK207" s="484">
        <f t="shared" si="9"/>
        <v>0</v>
      </c>
      <c r="BL207" s="448" t="s">
        <v>128</v>
      </c>
      <c r="BM207" s="448" t="s">
        <v>184</v>
      </c>
    </row>
    <row r="208" spans="1:65" s="162" customFormat="1" ht="31.5" customHeight="1">
      <c r="A208" s="58"/>
      <c r="B208" s="58"/>
      <c r="C208" s="58"/>
      <c r="D208" s="58"/>
      <c r="E208" s="58"/>
      <c r="F208" s="986"/>
      <c r="G208" s="973"/>
      <c r="H208" s="973"/>
      <c r="I208" s="973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483" t="s">
        <v>5</v>
      </c>
      <c r="U208" s="221" t="s">
        <v>36</v>
      </c>
      <c r="V208" s="408">
        <v>0</v>
      </c>
      <c r="W208" s="408">
        <f t="shared" si="1"/>
        <v>0</v>
      </c>
      <c r="X208" s="408">
        <v>0</v>
      </c>
      <c r="Y208" s="408">
        <f t="shared" si="2"/>
        <v>0</v>
      </c>
      <c r="Z208" s="408">
        <v>0</v>
      </c>
      <c r="AA208" s="409">
        <f t="shared" si="3"/>
        <v>0</v>
      </c>
      <c r="AR208" s="448" t="s">
        <v>128</v>
      </c>
      <c r="AT208" s="448" t="s">
        <v>126</v>
      </c>
      <c r="AU208" s="448" t="s">
        <v>76</v>
      </c>
      <c r="AY208" s="448" t="s">
        <v>125</v>
      </c>
      <c r="BE208" s="484">
        <f t="shared" si="4"/>
        <v>0</v>
      </c>
      <c r="BF208" s="484">
        <f t="shared" si="5"/>
        <v>0</v>
      </c>
      <c r="BG208" s="484">
        <f t="shared" si="6"/>
        <v>0</v>
      </c>
      <c r="BH208" s="484">
        <f t="shared" si="7"/>
        <v>0</v>
      </c>
      <c r="BI208" s="484">
        <f t="shared" si="8"/>
        <v>0</v>
      </c>
      <c r="BJ208" s="448" t="s">
        <v>80</v>
      </c>
      <c r="BK208" s="484">
        <f t="shared" si="9"/>
        <v>0</v>
      </c>
      <c r="BL208" s="448" t="s">
        <v>128</v>
      </c>
      <c r="BM208" s="448" t="s">
        <v>185</v>
      </c>
    </row>
    <row r="209" spans="1:65" s="162" customFormat="1" ht="31.5" customHeight="1">
      <c r="A209" s="58"/>
      <c r="B209" s="58"/>
      <c r="C209" s="522"/>
      <c r="D209" s="522"/>
      <c r="E209" s="524"/>
      <c r="F209" s="991"/>
      <c r="G209" s="991"/>
      <c r="H209" s="991"/>
      <c r="I209" s="991"/>
      <c r="J209" s="525"/>
      <c r="K209" s="531"/>
      <c r="L209" s="989"/>
      <c r="M209" s="989"/>
      <c r="N209" s="989"/>
      <c r="O209" s="989"/>
      <c r="P209" s="989"/>
      <c r="Q209" s="989"/>
      <c r="R209" s="58"/>
      <c r="S209" s="58"/>
      <c r="T209" s="483" t="s">
        <v>5</v>
      </c>
      <c r="U209" s="221" t="s">
        <v>36</v>
      </c>
      <c r="V209" s="408">
        <v>0</v>
      </c>
      <c r="W209" s="408">
        <f t="shared" si="1"/>
        <v>0</v>
      </c>
      <c r="X209" s="408">
        <v>0</v>
      </c>
      <c r="Y209" s="408">
        <f t="shared" si="2"/>
        <v>0</v>
      </c>
      <c r="Z209" s="408">
        <v>0</v>
      </c>
      <c r="AA209" s="409">
        <f t="shared" si="3"/>
        <v>0</v>
      </c>
      <c r="AR209" s="448" t="s">
        <v>128</v>
      </c>
      <c r="AT209" s="448" t="s">
        <v>126</v>
      </c>
      <c r="AU209" s="448" t="s">
        <v>76</v>
      </c>
      <c r="AY209" s="448" t="s">
        <v>125</v>
      </c>
      <c r="BE209" s="484">
        <f t="shared" si="4"/>
        <v>0</v>
      </c>
      <c r="BF209" s="484">
        <f t="shared" si="5"/>
        <v>0</v>
      </c>
      <c r="BG209" s="484">
        <f t="shared" si="6"/>
        <v>0</v>
      </c>
      <c r="BH209" s="484">
        <f t="shared" si="7"/>
        <v>0</v>
      </c>
      <c r="BI209" s="484">
        <f t="shared" si="8"/>
        <v>0</v>
      </c>
      <c r="BJ209" s="448" t="s">
        <v>80</v>
      </c>
      <c r="BK209" s="484">
        <f t="shared" si="9"/>
        <v>0</v>
      </c>
      <c r="BL209" s="448" t="s">
        <v>128</v>
      </c>
      <c r="BM209" s="448" t="s">
        <v>186</v>
      </c>
    </row>
    <row r="210" spans="1:65" s="162" customFormat="1" ht="31.5" customHeight="1">
      <c r="A210" s="58"/>
      <c r="B210" s="58"/>
      <c r="C210" s="58"/>
      <c r="D210" s="58"/>
      <c r="E210" s="58"/>
      <c r="F210" s="986"/>
      <c r="G210" s="973"/>
      <c r="H210" s="973"/>
      <c r="I210" s="973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483" t="s">
        <v>5</v>
      </c>
      <c r="U210" s="221" t="s">
        <v>36</v>
      </c>
      <c r="V210" s="408">
        <v>0</v>
      </c>
      <c r="W210" s="408">
        <f t="shared" si="1"/>
        <v>0</v>
      </c>
      <c r="X210" s="408">
        <v>0</v>
      </c>
      <c r="Y210" s="408">
        <f t="shared" si="2"/>
        <v>0</v>
      </c>
      <c r="Z210" s="408">
        <v>0</v>
      </c>
      <c r="AA210" s="409">
        <f t="shared" si="3"/>
        <v>0</v>
      </c>
      <c r="AR210" s="448" t="s">
        <v>128</v>
      </c>
      <c r="AT210" s="448" t="s">
        <v>126</v>
      </c>
      <c r="AU210" s="448" t="s">
        <v>76</v>
      </c>
      <c r="AY210" s="448" t="s">
        <v>125</v>
      </c>
      <c r="BE210" s="484">
        <f t="shared" si="4"/>
        <v>0</v>
      </c>
      <c r="BF210" s="484">
        <f t="shared" si="5"/>
        <v>0</v>
      </c>
      <c r="BG210" s="484">
        <f t="shared" si="6"/>
        <v>0</v>
      </c>
      <c r="BH210" s="484">
        <f t="shared" si="7"/>
        <v>0</v>
      </c>
      <c r="BI210" s="484">
        <f t="shared" si="8"/>
        <v>0</v>
      </c>
      <c r="BJ210" s="448" t="s">
        <v>80</v>
      </c>
      <c r="BK210" s="484">
        <f t="shared" si="9"/>
        <v>0</v>
      </c>
      <c r="BL210" s="448" t="s">
        <v>128</v>
      </c>
      <c r="BM210" s="448" t="s">
        <v>187</v>
      </c>
    </row>
    <row r="211" spans="1:65" s="162" customFormat="1" ht="31.5" customHeight="1">
      <c r="A211" s="58"/>
      <c r="B211" s="58"/>
      <c r="C211" s="522"/>
      <c r="D211" s="522"/>
      <c r="E211" s="524"/>
      <c r="F211" s="991"/>
      <c r="G211" s="991"/>
      <c r="H211" s="991"/>
      <c r="I211" s="991"/>
      <c r="J211" s="525"/>
      <c r="K211" s="531"/>
      <c r="L211" s="989"/>
      <c r="M211" s="989"/>
      <c r="N211" s="989"/>
      <c r="O211" s="989"/>
      <c r="P211" s="989"/>
      <c r="Q211" s="989"/>
      <c r="R211" s="58"/>
      <c r="S211" s="58"/>
      <c r="T211" s="483" t="s">
        <v>5</v>
      </c>
      <c r="U211" s="221" t="s">
        <v>36</v>
      </c>
      <c r="V211" s="408">
        <v>0</v>
      </c>
      <c r="W211" s="408">
        <f t="shared" si="1"/>
        <v>0</v>
      </c>
      <c r="X211" s="408">
        <v>0</v>
      </c>
      <c r="Y211" s="408">
        <f t="shared" si="2"/>
        <v>0</v>
      </c>
      <c r="Z211" s="408">
        <v>0</v>
      </c>
      <c r="AA211" s="409">
        <f t="shared" si="3"/>
        <v>0</v>
      </c>
      <c r="AR211" s="448" t="s">
        <v>128</v>
      </c>
      <c r="AT211" s="448" t="s">
        <v>126</v>
      </c>
      <c r="AU211" s="448" t="s">
        <v>76</v>
      </c>
      <c r="AY211" s="448" t="s">
        <v>125</v>
      </c>
      <c r="BE211" s="484">
        <f t="shared" si="4"/>
        <v>0</v>
      </c>
      <c r="BF211" s="484">
        <f t="shared" si="5"/>
        <v>0</v>
      </c>
      <c r="BG211" s="484">
        <f t="shared" si="6"/>
        <v>0</v>
      </c>
      <c r="BH211" s="484">
        <f t="shared" si="7"/>
        <v>0</v>
      </c>
      <c r="BI211" s="484">
        <f t="shared" si="8"/>
        <v>0</v>
      </c>
      <c r="BJ211" s="448" t="s">
        <v>80</v>
      </c>
      <c r="BK211" s="484">
        <f t="shared" si="9"/>
        <v>0</v>
      </c>
      <c r="BL211" s="448" t="s">
        <v>128</v>
      </c>
      <c r="BM211" s="448" t="s">
        <v>188</v>
      </c>
    </row>
    <row r="212" spans="1:65" s="162" customFormat="1" ht="44.25" customHeight="1">
      <c r="A212" s="58"/>
      <c r="B212" s="58"/>
      <c r="C212" s="58"/>
      <c r="D212" s="58"/>
      <c r="E212" s="58"/>
      <c r="F212" s="986"/>
      <c r="G212" s="973"/>
      <c r="H212" s="973"/>
      <c r="I212" s="973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483" t="s">
        <v>5</v>
      </c>
      <c r="U212" s="526" t="s">
        <v>36</v>
      </c>
      <c r="V212" s="527">
        <v>0</v>
      </c>
      <c r="W212" s="527">
        <f t="shared" si="1"/>
        <v>0</v>
      </c>
      <c r="X212" s="527">
        <v>0</v>
      </c>
      <c r="Y212" s="527">
        <f t="shared" si="2"/>
        <v>0</v>
      </c>
      <c r="Z212" s="527">
        <v>0</v>
      </c>
      <c r="AA212" s="528">
        <f t="shared" si="3"/>
        <v>0</v>
      </c>
      <c r="AR212" s="448" t="s">
        <v>128</v>
      </c>
      <c r="AT212" s="448" t="s">
        <v>126</v>
      </c>
      <c r="AU212" s="448" t="s">
        <v>76</v>
      </c>
      <c r="AY212" s="448" t="s">
        <v>125</v>
      </c>
      <c r="BE212" s="484">
        <f t="shared" si="4"/>
        <v>0</v>
      </c>
      <c r="BF212" s="484">
        <f t="shared" si="5"/>
        <v>0</v>
      </c>
      <c r="BG212" s="484">
        <f t="shared" si="6"/>
        <v>0</v>
      </c>
      <c r="BH212" s="484">
        <f t="shared" si="7"/>
        <v>0</v>
      </c>
      <c r="BI212" s="484">
        <f t="shared" si="8"/>
        <v>0</v>
      </c>
      <c r="BJ212" s="448" t="s">
        <v>80</v>
      </c>
      <c r="BK212" s="484">
        <f t="shared" si="9"/>
        <v>0</v>
      </c>
      <c r="BL212" s="448" t="s">
        <v>128</v>
      </c>
      <c r="BM212" s="448" t="s">
        <v>189</v>
      </c>
    </row>
    <row r="213" spans="1:19" s="162" customFormat="1" ht="6.95" customHeight="1">
      <c r="A213" s="58"/>
      <c r="B213" s="58"/>
      <c r="C213" s="522"/>
      <c r="D213" s="522"/>
      <c r="E213" s="524"/>
      <c r="F213" s="991"/>
      <c r="G213" s="991"/>
      <c r="H213" s="991"/>
      <c r="I213" s="991"/>
      <c r="J213" s="525"/>
      <c r="K213" s="531"/>
      <c r="L213" s="989"/>
      <c r="M213" s="989"/>
      <c r="N213" s="989"/>
      <c r="O213" s="989"/>
      <c r="P213" s="989"/>
      <c r="Q213" s="989"/>
      <c r="R213" s="58"/>
      <c r="S213" s="58"/>
    </row>
    <row r="214" spans="1:19" ht="13.5">
      <c r="A214" s="157"/>
      <c r="B214" s="157"/>
      <c r="C214" s="58"/>
      <c r="D214" s="58"/>
      <c r="E214" s="58"/>
      <c r="F214" s="986"/>
      <c r="G214" s="973"/>
      <c r="H214" s="973"/>
      <c r="I214" s="973"/>
      <c r="J214" s="58"/>
      <c r="K214" s="58"/>
      <c r="L214" s="58"/>
      <c r="M214" s="58"/>
      <c r="N214" s="58"/>
      <c r="O214" s="58"/>
      <c r="P214" s="58"/>
      <c r="Q214" s="58"/>
      <c r="R214" s="157"/>
      <c r="S214" s="157"/>
    </row>
    <row r="215" spans="1:19" ht="13.5">
      <c r="A215" s="157"/>
      <c r="B215" s="157"/>
      <c r="C215" s="522"/>
      <c r="D215" s="522"/>
      <c r="E215" s="524"/>
      <c r="F215" s="991"/>
      <c r="G215" s="991"/>
      <c r="H215" s="991"/>
      <c r="I215" s="991"/>
      <c r="J215" s="525"/>
      <c r="K215" s="531"/>
      <c r="L215" s="989"/>
      <c r="M215" s="989"/>
      <c r="N215" s="989"/>
      <c r="O215" s="989"/>
      <c r="P215" s="989"/>
      <c r="Q215" s="989"/>
      <c r="R215" s="157"/>
      <c r="S215" s="157"/>
    </row>
    <row r="216" spans="1:19" ht="13.5">
      <c r="A216" s="157"/>
      <c r="B216" s="157"/>
      <c r="C216" s="58"/>
      <c r="D216" s="58"/>
      <c r="E216" s="58"/>
      <c r="F216" s="986"/>
      <c r="G216" s="973"/>
      <c r="H216" s="973"/>
      <c r="I216" s="973"/>
      <c r="J216" s="58"/>
      <c r="K216" s="58"/>
      <c r="L216" s="58"/>
      <c r="M216" s="58"/>
      <c r="N216" s="58"/>
      <c r="O216" s="58"/>
      <c r="P216" s="58"/>
      <c r="Q216" s="58"/>
      <c r="R216" s="157"/>
      <c r="S216" s="157"/>
    </row>
    <row r="217" spans="1:19" ht="13.5">
      <c r="A217" s="157"/>
      <c r="B217" s="157"/>
      <c r="C217" s="522"/>
      <c r="D217" s="522"/>
      <c r="E217" s="524"/>
      <c r="F217" s="991"/>
      <c r="G217" s="991"/>
      <c r="H217" s="991"/>
      <c r="I217" s="991"/>
      <c r="J217" s="525"/>
      <c r="K217" s="531"/>
      <c r="L217" s="989"/>
      <c r="M217" s="989"/>
      <c r="N217" s="989"/>
      <c r="O217" s="989"/>
      <c r="P217" s="989"/>
      <c r="Q217" s="989"/>
      <c r="R217" s="157"/>
      <c r="S217" s="157"/>
    </row>
    <row r="218" spans="1:19" ht="13.5">
      <c r="A218" s="157"/>
      <c r="B218" s="157"/>
      <c r="C218" s="58"/>
      <c r="D218" s="58"/>
      <c r="E218" s="58"/>
      <c r="F218" s="986"/>
      <c r="G218" s="973"/>
      <c r="H218" s="973"/>
      <c r="I218" s="973"/>
      <c r="J218" s="58"/>
      <c r="K218" s="58"/>
      <c r="L218" s="58"/>
      <c r="M218" s="58"/>
      <c r="N218" s="58"/>
      <c r="O218" s="58"/>
      <c r="P218" s="58"/>
      <c r="Q218" s="58"/>
      <c r="R218" s="157"/>
      <c r="S218" s="157"/>
    </row>
    <row r="219" spans="1:19" ht="13.5">
      <c r="A219" s="157"/>
      <c r="B219" s="157"/>
      <c r="C219" s="522"/>
      <c r="D219" s="522"/>
      <c r="E219" s="524"/>
      <c r="F219" s="991"/>
      <c r="G219" s="991"/>
      <c r="H219" s="991"/>
      <c r="I219" s="991"/>
      <c r="J219" s="525"/>
      <c r="K219" s="531"/>
      <c r="L219" s="989"/>
      <c r="M219" s="989"/>
      <c r="N219" s="989"/>
      <c r="O219" s="989"/>
      <c r="P219" s="989"/>
      <c r="Q219" s="989"/>
      <c r="R219" s="157"/>
      <c r="S219" s="157"/>
    </row>
    <row r="220" spans="1:19" ht="13.5">
      <c r="A220" s="157"/>
      <c r="B220" s="157"/>
      <c r="C220" s="58"/>
      <c r="D220" s="58"/>
      <c r="E220" s="58"/>
      <c r="F220" s="986"/>
      <c r="G220" s="973"/>
      <c r="H220" s="973"/>
      <c r="I220" s="973"/>
      <c r="J220" s="58"/>
      <c r="K220" s="58"/>
      <c r="L220" s="58"/>
      <c r="M220" s="58"/>
      <c r="N220" s="58"/>
      <c r="O220" s="58"/>
      <c r="P220" s="58"/>
      <c r="Q220" s="58"/>
      <c r="R220" s="157"/>
      <c r="S220" s="157"/>
    </row>
    <row r="221" spans="1:19" ht="18">
      <c r="A221" s="157"/>
      <c r="B221" s="157"/>
      <c r="C221" s="181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971"/>
      <c r="O221" s="926"/>
      <c r="P221" s="926"/>
      <c r="Q221" s="926"/>
      <c r="R221" s="157"/>
      <c r="S221" s="157"/>
    </row>
    <row r="222" spans="1:19" ht="13.5">
      <c r="A222" s="157"/>
      <c r="B222" s="157"/>
      <c r="C222" s="522"/>
      <c r="D222" s="522"/>
      <c r="E222" s="524"/>
      <c r="F222" s="991"/>
      <c r="G222" s="991"/>
      <c r="H222" s="991"/>
      <c r="I222" s="991"/>
      <c r="J222" s="525"/>
      <c r="K222" s="531"/>
      <c r="L222" s="989"/>
      <c r="M222" s="989"/>
      <c r="N222" s="989"/>
      <c r="O222" s="989"/>
      <c r="P222" s="989"/>
      <c r="Q222" s="989"/>
      <c r="R222" s="157"/>
      <c r="S222" s="157"/>
    </row>
    <row r="223" spans="1:19" ht="13.5">
      <c r="A223" s="157"/>
      <c r="B223" s="157"/>
      <c r="C223" s="58"/>
      <c r="D223" s="58"/>
      <c r="E223" s="58"/>
      <c r="F223" s="986"/>
      <c r="G223" s="973"/>
      <c r="H223" s="973"/>
      <c r="I223" s="973"/>
      <c r="J223" s="58"/>
      <c r="K223" s="58"/>
      <c r="L223" s="58"/>
      <c r="M223" s="58"/>
      <c r="N223" s="58"/>
      <c r="O223" s="58"/>
      <c r="P223" s="58"/>
      <c r="Q223" s="58"/>
      <c r="R223" s="157"/>
      <c r="S223" s="157"/>
    </row>
    <row r="224" spans="1:19" ht="13.5">
      <c r="A224" s="157"/>
      <c r="B224" s="157"/>
      <c r="C224" s="522"/>
      <c r="D224" s="522"/>
      <c r="E224" s="524"/>
      <c r="F224" s="991"/>
      <c r="G224" s="991"/>
      <c r="H224" s="991"/>
      <c r="I224" s="991"/>
      <c r="J224" s="525"/>
      <c r="K224" s="531"/>
      <c r="L224" s="989"/>
      <c r="M224" s="989"/>
      <c r="N224" s="989"/>
      <c r="O224" s="989"/>
      <c r="P224" s="989"/>
      <c r="Q224" s="989"/>
      <c r="R224" s="157"/>
      <c r="S224" s="157"/>
    </row>
    <row r="225" spans="1:19" ht="13.5">
      <c r="A225" s="157"/>
      <c r="B225" s="157"/>
      <c r="C225" s="58"/>
      <c r="D225" s="58"/>
      <c r="E225" s="58"/>
      <c r="F225" s="986"/>
      <c r="G225" s="973"/>
      <c r="H225" s="973"/>
      <c r="I225" s="973"/>
      <c r="J225" s="58"/>
      <c r="K225" s="58"/>
      <c r="L225" s="58"/>
      <c r="M225" s="58"/>
      <c r="N225" s="58"/>
      <c r="O225" s="58"/>
      <c r="P225" s="58"/>
      <c r="Q225" s="58"/>
      <c r="R225" s="157"/>
      <c r="S225" s="157"/>
    </row>
    <row r="226" spans="1:19" ht="18">
      <c r="A226" s="157"/>
      <c r="B226" s="157"/>
      <c r="C226" s="181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971"/>
      <c r="O226" s="926"/>
      <c r="P226" s="926"/>
      <c r="Q226" s="926"/>
      <c r="R226" s="157"/>
      <c r="S226" s="157"/>
    </row>
    <row r="227" spans="1:19" ht="13.5">
      <c r="A227" s="157"/>
      <c r="B227" s="157"/>
      <c r="C227" s="522"/>
      <c r="D227" s="522"/>
      <c r="E227" s="524"/>
      <c r="F227" s="991"/>
      <c r="G227" s="991"/>
      <c r="H227" s="991"/>
      <c r="I227" s="991"/>
      <c r="J227" s="525"/>
      <c r="K227" s="531"/>
      <c r="L227" s="989"/>
      <c r="M227" s="989"/>
      <c r="N227" s="989"/>
      <c r="O227" s="989"/>
      <c r="P227" s="989"/>
      <c r="Q227" s="989"/>
      <c r="R227" s="157"/>
      <c r="S227" s="157"/>
    </row>
    <row r="228" spans="1:19" ht="13.5">
      <c r="A228" s="157"/>
      <c r="B228" s="157"/>
      <c r="C228" s="58"/>
      <c r="D228" s="58"/>
      <c r="E228" s="58"/>
      <c r="F228" s="986"/>
      <c r="G228" s="973"/>
      <c r="H228" s="973"/>
      <c r="I228" s="973"/>
      <c r="J228" s="58"/>
      <c r="K228" s="58"/>
      <c r="L228" s="58"/>
      <c r="M228" s="58"/>
      <c r="N228" s="58"/>
      <c r="O228" s="58"/>
      <c r="P228" s="58"/>
      <c r="Q228" s="58"/>
      <c r="R228" s="157"/>
      <c r="S228" s="157"/>
    </row>
    <row r="229" spans="1:19" ht="13.5">
      <c r="A229" s="157"/>
      <c r="B229" s="157"/>
      <c r="C229" s="522"/>
      <c r="D229" s="522"/>
      <c r="E229" s="524"/>
      <c r="F229" s="991"/>
      <c r="G229" s="991"/>
      <c r="H229" s="991"/>
      <c r="I229" s="991"/>
      <c r="J229" s="525"/>
      <c r="K229" s="531"/>
      <c r="L229" s="989"/>
      <c r="M229" s="989"/>
      <c r="N229" s="989"/>
      <c r="O229" s="989"/>
      <c r="P229" s="989"/>
      <c r="Q229" s="989"/>
      <c r="R229" s="157"/>
      <c r="S229" s="157"/>
    </row>
    <row r="230" spans="1:19" ht="13.5">
      <c r="A230" s="157"/>
      <c r="B230" s="157"/>
      <c r="C230" s="58"/>
      <c r="D230" s="58"/>
      <c r="E230" s="58"/>
      <c r="F230" s="986"/>
      <c r="G230" s="973"/>
      <c r="H230" s="973"/>
      <c r="I230" s="973"/>
      <c r="J230" s="58"/>
      <c r="K230" s="58"/>
      <c r="L230" s="58"/>
      <c r="M230" s="58"/>
      <c r="N230" s="58"/>
      <c r="O230" s="58"/>
      <c r="P230" s="58"/>
      <c r="Q230" s="58"/>
      <c r="R230" s="157"/>
      <c r="S230" s="157"/>
    </row>
    <row r="231" spans="1:19" ht="13.5">
      <c r="A231" s="157"/>
      <c r="B231" s="157"/>
      <c r="C231" s="522"/>
      <c r="D231" s="522"/>
      <c r="E231" s="524"/>
      <c r="F231" s="991"/>
      <c r="G231" s="991"/>
      <c r="H231" s="991"/>
      <c r="I231" s="991"/>
      <c r="J231" s="525"/>
      <c r="K231" s="531"/>
      <c r="L231" s="989"/>
      <c r="M231" s="989"/>
      <c r="N231" s="989"/>
      <c r="O231" s="989"/>
      <c r="P231" s="989"/>
      <c r="Q231" s="989"/>
      <c r="R231" s="157"/>
      <c r="S231" s="157"/>
    </row>
    <row r="232" spans="1:19" ht="13.5">
      <c r="A232" s="157"/>
      <c r="B232" s="157"/>
      <c r="C232" s="58"/>
      <c r="D232" s="58"/>
      <c r="E232" s="58"/>
      <c r="F232" s="986"/>
      <c r="G232" s="973"/>
      <c r="H232" s="973"/>
      <c r="I232" s="973"/>
      <c r="J232" s="58"/>
      <c r="K232" s="58"/>
      <c r="L232" s="58"/>
      <c r="M232" s="58"/>
      <c r="N232" s="58"/>
      <c r="O232" s="58"/>
      <c r="P232" s="58"/>
      <c r="Q232" s="58"/>
      <c r="R232" s="157"/>
      <c r="S232" s="157"/>
    </row>
    <row r="233" spans="1:19" ht="13.5">
      <c r="A233" s="157"/>
      <c r="B233" s="157"/>
      <c r="C233" s="522"/>
      <c r="D233" s="522"/>
      <c r="E233" s="524"/>
      <c r="F233" s="991"/>
      <c r="G233" s="991"/>
      <c r="H233" s="991"/>
      <c r="I233" s="991"/>
      <c r="J233" s="525"/>
      <c r="K233" s="531"/>
      <c r="L233" s="989"/>
      <c r="M233" s="989"/>
      <c r="N233" s="989"/>
      <c r="O233" s="989"/>
      <c r="P233" s="989"/>
      <c r="Q233" s="989"/>
      <c r="R233" s="157"/>
      <c r="S233" s="157"/>
    </row>
    <row r="234" spans="1:19" ht="13.5">
      <c r="A234" s="157"/>
      <c r="B234" s="157"/>
      <c r="C234" s="58"/>
      <c r="D234" s="58"/>
      <c r="E234" s="58"/>
      <c r="F234" s="986"/>
      <c r="G234" s="973"/>
      <c r="H234" s="973"/>
      <c r="I234" s="973"/>
      <c r="J234" s="58"/>
      <c r="K234" s="58"/>
      <c r="L234" s="58"/>
      <c r="M234" s="58"/>
      <c r="N234" s="58"/>
      <c r="O234" s="58"/>
      <c r="P234" s="58"/>
      <c r="Q234" s="58"/>
      <c r="R234" s="157"/>
      <c r="S234" s="157"/>
    </row>
    <row r="235" spans="1:19" ht="18">
      <c r="A235" s="157"/>
      <c r="B235" s="157"/>
      <c r="C235" s="181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971"/>
      <c r="O235" s="926"/>
      <c r="P235" s="926"/>
      <c r="Q235" s="926"/>
      <c r="R235" s="157"/>
      <c r="S235" s="157"/>
    </row>
    <row r="236" spans="1:19" ht="13.5">
      <c r="A236" s="157"/>
      <c r="B236" s="157"/>
      <c r="C236" s="522"/>
      <c r="D236" s="522"/>
      <c r="E236" s="524"/>
      <c r="F236" s="991"/>
      <c r="G236" s="991"/>
      <c r="H236" s="991"/>
      <c r="I236" s="991"/>
      <c r="J236" s="525"/>
      <c r="K236" s="531"/>
      <c r="L236" s="989"/>
      <c r="M236" s="989"/>
      <c r="N236" s="989"/>
      <c r="O236" s="989"/>
      <c r="P236" s="989"/>
      <c r="Q236" s="989"/>
      <c r="R236" s="157"/>
      <c r="S236" s="157"/>
    </row>
    <row r="237" spans="1:19" ht="13.5">
      <c r="A237" s="157"/>
      <c r="B237" s="157"/>
      <c r="C237" s="522"/>
      <c r="D237" s="522"/>
      <c r="E237" s="524"/>
      <c r="F237" s="991"/>
      <c r="G237" s="991"/>
      <c r="H237" s="991"/>
      <c r="I237" s="991"/>
      <c r="J237" s="525"/>
      <c r="K237" s="531"/>
      <c r="L237" s="989"/>
      <c r="M237" s="989"/>
      <c r="N237" s="989"/>
      <c r="O237" s="989"/>
      <c r="P237" s="989"/>
      <c r="Q237" s="989"/>
      <c r="R237" s="157"/>
      <c r="S237" s="157"/>
    </row>
    <row r="238" spans="1:19" ht="13.5">
      <c r="A238" s="157"/>
      <c r="B238" s="157"/>
      <c r="C238" s="522"/>
      <c r="D238" s="522"/>
      <c r="E238" s="524"/>
      <c r="F238" s="991"/>
      <c r="G238" s="991"/>
      <c r="H238" s="991"/>
      <c r="I238" s="991"/>
      <c r="J238" s="525"/>
      <c r="K238" s="531"/>
      <c r="L238" s="989"/>
      <c r="M238" s="989"/>
      <c r="N238" s="989"/>
      <c r="O238" s="989"/>
      <c r="P238" s="989"/>
      <c r="Q238" s="989"/>
      <c r="R238" s="157"/>
      <c r="S238" s="157"/>
    </row>
    <row r="239" spans="1:19" ht="13.5">
      <c r="A239" s="157"/>
      <c r="B239" s="157"/>
      <c r="C239" s="522"/>
      <c r="D239" s="522"/>
      <c r="E239" s="524"/>
      <c r="F239" s="991"/>
      <c r="G239" s="991"/>
      <c r="H239" s="991"/>
      <c r="I239" s="991"/>
      <c r="J239" s="525"/>
      <c r="K239" s="531"/>
      <c r="L239" s="989"/>
      <c r="M239" s="989"/>
      <c r="N239" s="989"/>
      <c r="O239" s="989"/>
      <c r="P239" s="989"/>
      <c r="Q239" s="989"/>
      <c r="R239" s="157"/>
      <c r="S239" s="157"/>
    </row>
    <row r="240" spans="1:19" ht="13.5">
      <c r="A240" s="157"/>
      <c r="B240" s="157"/>
      <c r="C240" s="522"/>
      <c r="D240" s="522"/>
      <c r="E240" s="524"/>
      <c r="F240" s="991"/>
      <c r="G240" s="991"/>
      <c r="H240" s="991"/>
      <c r="I240" s="991"/>
      <c r="J240" s="525"/>
      <c r="K240" s="531"/>
      <c r="L240" s="989"/>
      <c r="M240" s="989"/>
      <c r="N240" s="989"/>
      <c r="O240" s="989"/>
      <c r="P240" s="989"/>
      <c r="Q240" s="989"/>
      <c r="R240" s="157"/>
      <c r="S240" s="157"/>
    </row>
    <row r="241" spans="1:19" ht="13.5">
      <c r="A241" s="157"/>
      <c r="B241" s="157"/>
      <c r="C241" s="522"/>
      <c r="D241" s="522"/>
      <c r="E241" s="524"/>
      <c r="F241" s="991"/>
      <c r="G241" s="991"/>
      <c r="H241" s="991"/>
      <c r="I241" s="991"/>
      <c r="J241" s="525"/>
      <c r="K241" s="531"/>
      <c r="L241" s="989"/>
      <c r="M241" s="989"/>
      <c r="N241" s="989"/>
      <c r="O241" s="989"/>
      <c r="P241" s="989"/>
      <c r="Q241" s="989"/>
      <c r="R241" s="157"/>
      <c r="S241" s="157"/>
    </row>
    <row r="242" spans="1:19" ht="13.5">
      <c r="A242" s="157"/>
      <c r="B242" s="157"/>
      <c r="C242" s="522"/>
      <c r="D242" s="522"/>
      <c r="E242" s="524"/>
      <c r="F242" s="991"/>
      <c r="G242" s="991"/>
      <c r="H242" s="991"/>
      <c r="I242" s="991"/>
      <c r="J242" s="525"/>
      <c r="K242" s="531"/>
      <c r="L242" s="989"/>
      <c r="M242" s="989"/>
      <c r="N242" s="989"/>
      <c r="O242" s="989"/>
      <c r="P242" s="989"/>
      <c r="Q242" s="989"/>
      <c r="R242" s="157"/>
      <c r="S242" s="157"/>
    </row>
    <row r="243" spans="1:19" ht="13.5">
      <c r="A243" s="157"/>
      <c r="B243" s="157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157"/>
      <c r="S243" s="157"/>
    </row>
    <row r="244" spans="1:19" ht="13.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</row>
  </sheetData>
  <sheetProtection sheet="1" objects="1" scenarios="1"/>
  <mergeCells count="307">
    <mergeCell ref="N121:Q121"/>
    <mergeCell ref="N114:Q114"/>
    <mergeCell ref="F132:I132"/>
    <mergeCell ref="F148:I148"/>
    <mergeCell ref="F146:I146"/>
    <mergeCell ref="F147:I147"/>
    <mergeCell ref="N144:Q144"/>
    <mergeCell ref="N146:Q146"/>
    <mergeCell ref="F125:I125"/>
    <mergeCell ref="N125:Q125"/>
    <mergeCell ref="F123:I123"/>
    <mergeCell ref="N123:Q123"/>
    <mergeCell ref="N147:Q147"/>
    <mergeCell ref="F127:I127"/>
    <mergeCell ref="F133:I133"/>
    <mergeCell ref="F134:I134"/>
    <mergeCell ref="F135:I135"/>
    <mergeCell ref="F128:I128"/>
    <mergeCell ref="F129:I129"/>
    <mergeCell ref="F130:I130"/>
    <mergeCell ref="F131:I131"/>
    <mergeCell ref="F104:P104"/>
    <mergeCell ref="M106:P106"/>
    <mergeCell ref="F126:I126"/>
    <mergeCell ref="F144:I144"/>
    <mergeCell ref="F145:I145"/>
    <mergeCell ref="N112:Q112"/>
    <mergeCell ref="N113:Q113"/>
    <mergeCell ref="M109:Q109"/>
    <mergeCell ref="L111:M111"/>
    <mergeCell ref="N111:Q111"/>
    <mergeCell ref="F114:I114"/>
    <mergeCell ref="F115:I115"/>
    <mergeCell ref="F116:I116"/>
    <mergeCell ref="F117:I117"/>
    <mergeCell ref="F118:I118"/>
    <mergeCell ref="F119:I119"/>
    <mergeCell ref="F120:I120"/>
    <mergeCell ref="F121:I121"/>
    <mergeCell ref="N115:Q115"/>
    <mergeCell ref="N116:Q116"/>
    <mergeCell ref="N117:Q117"/>
    <mergeCell ref="N118:Q118"/>
    <mergeCell ref="N119:Q119"/>
    <mergeCell ref="N120:Q120"/>
    <mergeCell ref="F155:I155"/>
    <mergeCell ref="L155:M155"/>
    <mergeCell ref="F151:I151"/>
    <mergeCell ref="N152:Q152"/>
    <mergeCell ref="F154:I154"/>
    <mergeCell ref="L154:M154"/>
    <mergeCell ref="N153:Q153"/>
    <mergeCell ref="F122:I122"/>
    <mergeCell ref="N122:Q122"/>
    <mergeCell ref="F124:I124"/>
    <mergeCell ref="N126:Q126"/>
    <mergeCell ref="F150:I150"/>
    <mergeCell ref="L151:M151"/>
    <mergeCell ref="N151:Q151"/>
    <mergeCell ref="F149:I149"/>
    <mergeCell ref="L144:M144"/>
    <mergeCell ref="L146:M146"/>
    <mergeCell ref="L149:M149"/>
    <mergeCell ref="L148:M148"/>
    <mergeCell ref="L150:M150"/>
    <mergeCell ref="L153:M153"/>
    <mergeCell ref="F153:I153"/>
    <mergeCell ref="F152:I152"/>
    <mergeCell ref="L152:M152"/>
    <mergeCell ref="N150:Q150"/>
    <mergeCell ref="L147:M147"/>
    <mergeCell ref="N154:Q154"/>
    <mergeCell ref="N149:Q149"/>
    <mergeCell ref="N148:Q148"/>
    <mergeCell ref="N155:Q155"/>
    <mergeCell ref="N164:Q164"/>
    <mergeCell ref="N160:Q160"/>
    <mergeCell ref="L162:M162"/>
    <mergeCell ref="N156:Q156"/>
    <mergeCell ref="N162:Q162"/>
    <mergeCell ref="L158:M158"/>
    <mergeCell ref="N158:Q158"/>
    <mergeCell ref="F169:I169"/>
    <mergeCell ref="F173:I173"/>
    <mergeCell ref="L164:M164"/>
    <mergeCell ref="F159:I159"/>
    <mergeCell ref="F160:I160"/>
    <mergeCell ref="F161:I161"/>
    <mergeCell ref="F156:I156"/>
    <mergeCell ref="F157:I157"/>
    <mergeCell ref="F158:I158"/>
    <mergeCell ref="F163:I163"/>
    <mergeCell ref="F164:I164"/>
    <mergeCell ref="F162:I162"/>
    <mergeCell ref="L156:M156"/>
    <mergeCell ref="L192:M192"/>
    <mergeCell ref="F182:I182"/>
    <mergeCell ref="L190:M190"/>
    <mergeCell ref="F185:I185"/>
    <mergeCell ref="F189:I189"/>
    <mergeCell ref="F186:I186"/>
    <mergeCell ref="F184:I184"/>
    <mergeCell ref="F168:I168"/>
    <mergeCell ref="F188:I188"/>
    <mergeCell ref="L188:M188"/>
    <mergeCell ref="F191:I191"/>
    <mergeCell ref="L185:M185"/>
    <mergeCell ref="F192:I192"/>
    <mergeCell ref="L175:M175"/>
    <mergeCell ref="L169:M169"/>
    <mergeCell ref="F181:I181"/>
    <mergeCell ref="L181:M181"/>
    <mergeCell ref="L177:M177"/>
    <mergeCell ref="F183:I183"/>
    <mergeCell ref="L183:M183"/>
    <mergeCell ref="L173:M173"/>
    <mergeCell ref="L174:M174"/>
    <mergeCell ref="F180:I180"/>
    <mergeCell ref="F174:I174"/>
    <mergeCell ref="N203:Q203"/>
    <mergeCell ref="L211:M211"/>
    <mergeCell ref="L207:M207"/>
    <mergeCell ref="N205:Q205"/>
    <mergeCell ref="N235:Q235"/>
    <mergeCell ref="L224:M224"/>
    <mergeCell ref="N224:Q224"/>
    <mergeCell ref="F225:I225"/>
    <mergeCell ref="F234:I234"/>
    <mergeCell ref="F231:I231"/>
    <mergeCell ref="F230:I230"/>
    <mergeCell ref="L231:M231"/>
    <mergeCell ref="N231:Q231"/>
    <mergeCell ref="F232:I232"/>
    <mergeCell ref="L229:M229"/>
    <mergeCell ref="N229:Q229"/>
    <mergeCell ref="F193:I193"/>
    <mergeCell ref="F229:I229"/>
    <mergeCell ref="F214:I214"/>
    <mergeCell ref="L194:M194"/>
    <mergeCell ref="F206:I206"/>
    <mergeCell ref="F202:I202"/>
    <mergeCell ref="F195:I195"/>
    <mergeCell ref="N219:Q219"/>
    <mergeCell ref="N217:Q217"/>
    <mergeCell ref="N207:Q207"/>
    <mergeCell ref="F197:I197"/>
    <mergeCell ref="L197:M197"/>
    <mergeCell ref="F201:I201"/>
    <mergeCell ref="N199:Q199"/>
    <mergeCell ref="L222:M222"/>
    <mergeCell ref="N222:Q222"/>
    <mergeCell ref="L217:M217"/>
    <mergeCell ref="N221:Q221"/>
    <mergeCell ref="N197:Q197"/>
    <mergeCell ref="F198:I198"/>
    <mergeCell ref="F203:I203"/>
    <mergeCell ref="L203:M203"/>
    <mergeCell ref="F199:I199"/>
    <mergeCell ref="L199:M199"/>
    <mergeCell ref="F190:I190"/>
    <mergeCell ref="N226:Q226"/>
    <mergeCell ref="F227:I227"/>
    <mergeCell ref="L227:M227"/>
    <mergeCell ref="N227:Q227"/>
    <mergeCell ref="N194:Q194"/>
    <mergeCell ref="F223:I223"/>
    <mergeCell ref="F219:I219"/>
    <mergeCell ref="F220:I220"/>
    <mergeCell ref="F200:I200"/>
    <mergeCell ref="F204:I204"/>
    <mergeCell ref="F205:I205"/>
    <mergeCell ref="L205:M205"/>
    <mergeCell ref="F208:I208"/>
    <mergeCell ref="F209:I209"/>
    <mergeCell ref="F210:I210"/>
    <mergeCell ref="L213:M213"/>
    <mergeCell ref="F215:I215"/>
    <mergeCell ref="F222:I222"/>
    <mergeCell ref="N196:Q196"/>
    <mergeCell ref="N192:Q192"/>
    <mergeCell ref="N190:Q190"/>
    <mergeCell ref="F194:I194"/>
    <mergeCell ref="L215:M215"/>
    <mergeCell ref="F238:I238"/>
    <mergeCell ref="N238:Q238"/>
    <mergeCell ref="F241:I241"/>
    <mergeCell ref="F228:I228"/>
    <mergeCell ref="L201:M201"/>
    <mergeCell ref="N201:Q201"/>
    <mergeCell ref="N215:Q215"/>
    <mergeCell ref="L209:M209"/>
    <mergeCell ref="N209:Q209"/>
    <mergeCell ref="N211:Q211"/>
    <mergeCell ref="L241:M241"/>
    <mergeCell ref="N241:Q241"/>
    <mergeCell ref="F240:I240"/>
    <mergeCell ref="L240:M240"/>
    <mergeCell ref="N240:Q240"/>
    <mergeCell ref="F236:I236"/>
    <mergeCell ref="L236:M236"/>
    <mergeCell ref="F233:I233"/>
    <mergeCell ref="L233:M233"/>
    <mergeCell ref="N233:Q233"/>
    <mergeCell ref="F224:I224"/>
    <mergeCell ref="N236:Q236"/>
    <mergeCell ref="N213:Q213"/>
    <mergeCell ref="F216:I216"/>
    <mergeCell ref="F242:I242"/>
    <mergeCell ref="L242:M242"/>
    <mergeCell ref="N242:Q242"/>
    <mergeCell ref="F239:I239"/>
    <mergeCell ref="N143:Q143"/>
    <mergeCell ref="L168:M168"/>
    <mergeCell ref="L166:M166"/>
    <mergeCell ref="N166:Q166"/>
    <mergeCell ref="N237:Q237"/>
    <mergeCell ref="L238:M238"/>
    <mergeCell ref="N168:Q168"/>
    <mergeCell ref="N177:Q177"/>
    <mergeCell ref="N179:Q179"/>
    <mergeCell ref="F237:I237"/>
    <mergeCell ref="L237:M237"/>
    <mergeCell ref="F212:I212"/>
    <mergeCell ref="L219:M219"/>
    <mergeCell ref="F213:I213"/>
    <mergeCell ref="L239:M239"/>
    <mergeCell ref="N239:Q239"/>
    <mergeCell ref="F207:I207"/>
    <mergeCell ref="F211:I211"/>
    <mergeCell ref="F217:I217"/>
    <mergeCell ref="F218:I218"/>
    <mergeCell ref="N89:Q89"/>
    <mergeCell ref="N90:Q90"/>
    <mergeCell ref="N92:Q92"/>
    <mergeCell ref="L94:Q94"/>
    <mergeCell ref="L179:M179"/>
    <mergeCell ref="L171:M171"/>
    <mergeCell ref="L160:M160"/>
    <mergeCell ref="N124:Q124"/>
    <mergeCell ref="M108:Q108"/>
    <mergeCell ref="C100:Q100"/>
    <mergeCell ref="F102:P102"/>
    <mergeCell ref="F103:P103"/>
    <mergeCell ref="F111:I111"/>
    <mergeCell ref="F165:I165"/>
    <mergeCell ref="F171:I171"/>
    <mergeCell ref="F176:I176"/>
    <mergeCell ref="F177:I177"/>
    <mergeCell ref="F178:I178"/>
    <mergeCell ref="F179:I179"/>
    <mergeCell ref="F166:I166"/>
    <mergeCell ref="F167:I167"/>
    <mergeCell ref="F170:I170"/>
    <mergeCell ref="F172:I172"/>
    <mergeCell ref="F175:I175"/>
    <mergeCell ref="N187:Q187"/>
    <mergeCell ref="N188:Q188"/>
    <mergeCell ref="N174:Q174"/>
    <mergeCell ref="N169:Q169"/>
    <mergeCell ref="N181:Q181"/>
    <mergeCell ref="N183:Q183"/>
    <mergeCell ref="N171:Q171"/>
    <mergeCell ref="N175:Q175"/>
    <mergeCell ref="N173:Q173"/>
    <mergeCell ref="N185:Q185"/>
    <mergeCell ref="F7:P7"/>
    <mergeCell ref="F8:P8"/>
    <mergeCell ref="M82:P82"/>
    <mergeCell ref="F82:J82"/>
    <mergeCell ref="O15:P15"/>
    <mergeCell ref="O12:P12"/>
    <mergeCell ref="O10:P10"/>
    <mergeCell ref="O13:P13"/>
    <mergeCell ref="O16:P16"/>
    <mergeCell ref="M29:P29"/>
    <mergeCell ref="O18:P18"/>
    <mergeCell ref="O19:P19"/>
    <mergeCell ref="O21:P21"/>
    <mergeCell ref="O22:P22"/>
    <mergeCell ref="E25:P25"/>
    <mergeCell ref="M28:P28"/>
    <mergeCell ref="H36:J36"/>
    <mergeCell ref="M36:P36"/>
    <mergeCell ref="H1:K1"/>
    <mergeCell ref="S2:AC2"/>
    <mergeCell ref="C2:Q2"/>
    <mergeCell ref="C4:Q4"/>
    <mergeCell ref="F6:P6"/>
    <mergeCell ref="F78:P78"/>
    <mergeCell ref="M85:Q85"/>
    <mergeCell ref="C87:G87"/>
    <mergeCell ref="N87:Q87"/>
    <mergeCell ref="L39:P39"/>
    <mergeCell ref="F79:P79"/>
    <mergeCell ref="F80:P80"/>
    <mergeCell ref="F84:J84"/>
    <mergeCell ref="M84:Q84"/>
    <mergeCell ref="C76:Q76"/>
    <mergeCell ref="H37:J37"/>
    <mergeCell ref="M37:P37"/>
    <mergeCell ref="H35:J35"/>
    <mergeCell ref="M35:P35"/>
    <mergeCell ref="M31:P31"/>
    <mergeCell ref="H33:J33"/>
    <mergeCell ref="M33:P33"/>
    <mergeCell ref="H34:J34"/>
    <mergeCell ref="M34:P34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226"/>
  <sheetViews>
    <sheetView showGridLines="0" view="pageBreakPreview" zoomScaleSheetLayoutView="100" workbookViewId="0" topLeftCell="A1">
      <pane ySplit="1" topLeftCell="A169" activePane="bottomLeft" state="frozen"/>
      <selection pane="topLeft" activeCell="AE69" sqref="AE69"/>
      <selection pane="bottomLeft" activeCell="L176" sqref="L176:L184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56" width="9.33203125" style="172" customWidth="1"/>
    <col min="57" max="57" width="9.5" style="172" bestFit="1" customWidth="1"/>
    <col min="58" max="58" width="10" style="172" bestFit="1" customWidth="1"/>
    <col min="59" max="61" width="9.5" style="172" bestFit="1" customWidth="1"/>
    <col min="62" max="62" width="9.33203125" style="172" customWidth="1"/>
    <col min="63" max="63" width="10" style="172" bestFit="1" customWidth="1"/>
    <col min="64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90" t="s">
        <v>96</v>
      </c>
      <c r="I1" s="990"/>
      <c r="J1" s="990"/>
      <c r="K1" s="990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879" t="s">
        <v>7</v>
      </c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S2" s="899" t="s">
        <v>8</v>
      </c>
      <c r="T2" s="988"/>
      <c r="U2" s="988"/>
      <c r="V2" s="988"/>
      <c r="W2" s="988"/>
      <c r="X2" s="988"/>
      <c r="Y2" s="988"/>
      <c r="Z2" s="988"/>
      <c r="AA2" s="988"/>
      <c r="AB2" s="988"/>
      <c r="AC2" s="988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1" t="s">
        <v>100</v>
      </c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19" t="s">
        <v>281</v>
      </c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19" t="s">
        <v>261</v>
      </c>
      <c r="G7" s="1079"/>
      <c r="H7" s="1079"/>
      <c r="I7" s="1079"/>
      <c r="J7" s="1079"/>
      <c r="K7" s="1079"/>
      <c r="L7" s="1079"/>
      <c r="M7" s="1079"/>
      <c r="N7" s="1079"/>
      <c r="O7" s="1079"/>
      <c r="P7" s="1079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23" t="s">
        <v>917</v>
      </c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909">
        <v>43363</v>
      </c>
      <c r="P10" s="909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883" t="s">
        <v>5</v>
      </c>
      <c r="P12" s="883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883" t="s">
        <v>5</v>
      </c>
      <c r="P13" s="883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74"/>
      <c r="P15" s="974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74"/>
      <c r="P16" s="974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883">
        <v>24270857</v>
      </c>
      <c r="P18" s="883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883" t="s">
        <v>205</v>
      </c>
      <c r="P19" s="883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883">
        <v>24270857</v>
      </c>
      <c r="P21" s="883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883" t="s">
        <v>205</v>
      </c>
      <c r="P22" s="883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885" t="s">
        <v>2224</v>
      </c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906">
        <f>N89</f>
        <v>0</v>
      </c>
      <c r="N28" s="906"/>
      <c r="O28" s="906"/>
      <c r="P28" s="906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906">
        <f>N92</f>
        <v>0</v>
      </c>
      <c r="N29" s="906"/>
      <c r="O29" s="906"/>
      <c r="P29" s="906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79">
        <f>ROUND(M28+M29,2)</f>
        <v>0</v>
      </c>
      <c r="N31" s="973"/>
      <c r="O31" s="973"/>
      <c r="P31" s="973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75">
        <v>0</v>
      </c>
      <c r="I33" s="973"/>
      <c r="J33" s="973"/>
      <c r="K33" s="58"/>
      <c r="L33" s="58"/>
      <c r="M33" s="975">
        <f>H33*F33</f>
        <v>0</v>
      </c>
      <c r="N33" s="973"/>
      <c r="O33" s="973"/>
      <c r="P33" s="973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75">
        <f>M31</f>
        <v>0</v>
      </c>
      <c r="I34" s="973"/>
      <c r="J34" s="973"/>
      <c r="K34" s="58"/>
      <c r="L34" s="58"/>
      <c r="M34" s="975">
        <f>H34*F34</f>
        <v>0</v>
      </c>
      <c r="N34" s="973"/>
      <c r="O34" s="973"/>
      <c r="P34" s="973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75">
        <f>ROUND((SUM(BG92:BG93)+SUM(BG112:BG194)),2)</f>
        <v>0</v>
      </c>
      <c r="I35" s="973"/>
      <c r="J35" s="973"/>
      <c r="K35" s="58"/>
      <c r="L35" s="58"/>
      <c r="M35" s="975">
        <v>0</v>
      </c>
      <c r="N35" s="973"/>
      <c r="O35" s="973"/>
      <c r="P35" s="973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75">
        <f>ROUND((SUM(BH92:BH93)+SUM(BH112:BH194)),2)</f>
        <v>0</v>
      </c>
      <c r="I36" s="973"/>
      <c r="J36" s="973"/>
      <c r="K36" s="58"/>
      <c r="L36" s="58"/>
      <c r="M36" s="975">
        <v>0</v>
      </c>
      <c r="N36" s="973"/>
      <c r="O36" s="973"/>
      <c r="P36" s="973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75">
        <f>ROUND((SUM(BI92:BI93)+SUM(BI112:BI194)),2)</f>
        <v>0</v>
      </c>
      <c r="I37" s="973"/>
      <c r="J37" s="973"/>
      <c r="K37" s="58"/>
      <c r="L37" s="58"/>
      <c r="M37" s="975">
        <v>0</v>
      </c>
      <c r="N37" s="973"/>
      <c r="O37" s="973"/>
      <c r="P37" s="973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907">
        <f>SUM(M31:M37)</f>
        <v>0</v>
      </c>
      <c r="M39" s="907"/>
      <c r="N39" s="907"/>
      <c r="O39" s="907"/>
      <c r="P39" s="981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1" t="s">
        <v>105</v>
      </c>
      <c r="D76" s="882"/>
      <c r="E76" s="882"/>
      <c r="F76" s="882"/>
      <c r="G76" s="882"/>
      <c r="H76" s="882"/>
      <c r="I76" s="882"/>
      <c r="J76" s="882"/>
      <c r="K76" s="882"/>
      <c r="L76" s="882"/>
      <c r="M76" s="882"/>
      <c r="N76" s="882"/>
      <c r="O76" s="882"/>
      <c r="P76" s="882"/>
      <c r="Q76" s="882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19" t="str">
        <f>F6</f>
        <v>STAVEBNÍ ÚPRAVY STÁVAJÍCÍHO OBJEKTU K BYDLENÍ V MLADÉ BOLESLAVY</v>
      </c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19" t="s">
        <v>261</v>
      </c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910" t="str">
        <f>F8</f>
        <v>07 - ELEKTROINSTALACE</v>
      </c>
      <c r="G80" s="973"/>
      <c r="H80" s="973"/>
      <c r="I80" s="973"/>
      <c r="J80" s="973"/>
      <c r="K80" s="973"/>
      <c r="L80" s="973"/>
      <c r="M80" s="973"/>
      <c r="N80" s="973"/>
      <c r="O80" s="973"/>
      <c r="P80" s="973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78" t="str">
        <f>F10</f>
        <v>NÁDRAŽNÍ ULICE č.p.43, Mladá Boleslav</v>
      </c>
      <c r="G82" s="978"/>
      <c r="H82" s="978"/>
      <c r="I82" s="978"/>
      <c r="J82" s="978"/>
      <c r="K82" s="158" t="s">
        <v>19</v>
      </c>
      <c r="L82" s="58"/>
      <c r="M82" s="909">
        <f>IF(O10="","",O10)</f>
        <v>43363</v>
      </c>
      <c r="N82" s="909"/>
      <c r="O82" s="909"/>
      <c r="P82" s="909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78" t="str">
        <f>F12</f>
        <v>R-MOSTY, Z.S.</v>
      </c>
      <c r="G84" s="978"/>
      <c r="H84" s="978"/>
      <c r="I84" s="978"/>
      <c r="J84" s="978"/>
      <c r="K84" s="158" t="s">
        <v>26</v>
      </c>
      <c r="L84" s="58"/>
      <c r="M84" s="883" t="str">
        <f>F18</f>
        <v>Design&amp;Build s.r.o.</v>
      </c>
      <c r="N84" s="883"/>
      <c r="O84" s="883"/>
      <c r="P84" s="883"/>
      <c r="Q84" s="883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883" t="str">
        <f>M84</f>
        <v>Design&amp;Build s.r.o.</v>
      </c>
      <c r="N85" s="883"/>
      <c r="O85" s="883"/>
      <c r="P85" s="883"/>
      <c r="Q85" s="883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76" t="s">
        <v>106</v>
      </c>
      <c r="D87" s="977"/>
      <c r="E87" s="977"/>
      <c r="F87" s="977"/>
      <c r="G87" s="977"/>
      <c r="H87" s="163"/>
      <c r="I87" s="163"/>
      <c r="J87" s="163"/>
      <c r="K87" s="163"/>
      <c r="L87" s="163"/>
      <c r="M87" s="163"/>
      <c r="N87" s="976" t="s">
        <v>107</v>
      </c>
      <c r="O87" s="977"/>
      <c r="P87" s="977"/>
      <c r="Q87" s="977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93">
        <f>N112</f>
        <v>0</v>
      </c>
      <c r="O89" s="982"/>
      <c r="P89" s="982"/>
      <c r="Q89" s="982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07 - ELEKTROINSTALACE</v>
      </c>
      <c r="E90" s="59"/>
      <c r="F90" s="59"/>
      <c r="G90" s="59"/>
      <c r="H90" s="59"/>
      <c r="I90" s="59"/>
      <c r="J90" s="59"/>
      <c r="K90" s="59"/>
      <c r="L90" s="59"/>
      <c r="M90" s="59"/>
      <c r="N90" s="926">
        <f>N113</f>
        <v>0</v>
      </c>
      <c r="O90" s="927"/>
      <c r="P90" s="927"/>
      <c r="Q90" s="927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2">
        <v>0</v>
      </c>
      <c r="O92" s="983"/>
      <c r="P92" s="983"/>
      <c r="Q92" s="983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913">
        <f>ROUND(SUM(N89+N92),2)</f>
        <v>0</v>
      </c>
      <c r="M94" s="913"/>
      <c r="N94" s="913"/>
      <c r="O94" s="913"/>
      <c r="P94" s="913"/>
      <c r="Q94" s="913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1" t="s">
        <v>111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19" t="str">
        <f>F6</f>
        <v>STAVEBNÍ ÚPRAVY STÁVAJÍCÍHO OBJEKTU K BYDLENÍ V MLADÉ BOLESLAVY</v>
      </c>
      <c r="G102" s="972"/>
      <c r="H102" s="972"/>
      <c r="I102" s="972"/>
      <c r="J102" s="972"/>
      <c r="K102" s="972"/>
      <c r="L102" s="972"/>
      <c r="M102" s="972"/>
      <c r="N102" s="972"/>
      <c r="O102" s="972"/>
      <c r="P102" s="972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19" t="s">
        <v>261</v>
      </c>
      <c r="G103" s="1079"/>
      <c r="H103" s="1079"/>
      <c r="I103" s="1079"/>
      <c r="J103" s="1079"/>
      <c r="K103" s="1079"/>
      <c r="L103" s="1079"/>
      <c r="M103" s="1079"/>
      <c r="N103" s="1079"/>
      <c r="O103" s="1079"/>
      <c r="P103" s="1079"/>
      <c r="Q103" s="157"/>
      <c r="R103" s="453"/>
    </row>
    <row r="104" spans="2:31" s="162" customFormat="1" ht="36.95" customHeight="1">
      <c r="B104" s="455"/>
      <c r="C104" s="174" t="s">
        <v>102</v>
      </c>
      <c r="D104" s="58"/>
      <c r="E104" s="58"/>
      <c r="F104" s="910" t="str">
        <f>F8</f>
        <v>07 - ELEKTROINSTALACE</v>
      </c>
      <c r="G104" s="973"/>
      <c r="H104" s="973"/>
      <c r="I104" s="973"/>
      <c r="J104" s="973"/>
      <c r="K104" s="973"/>
      <c r="L104" s="973"/>
      <c r="M104" s="973"/>
      <c r="N104" s="973"/>
      <c r="O104" s="973"/>
      <c r="P104" s="973"/>
      <c r="Q104" s="58"/>
      <c r="R104" s="456"/>
      <c r="AC104" s="398"/>
      <c r="AD104" s="398"/>
      <c r="AE104" s="398"/>
    </row>
    <row r="105" spans="2:31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  <c r="AC105" s="398"/>
      <c r="AD105" s="398"/>
      <c r="AE105" s="398"/>
    </row>
    <row r="106" spans="2:31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909">
        <f>IF(O10="","",O10)</f>
        <v>43363</v>
      </c>
      <c r="N106" s="909"/>
      <c r="O106" s="909"/>
      <c r="P106" s="909"/>
      <c r="Q106" s="58"/>
      <c r="R106" s="456"/>
      <c r="AC106" s="398"/>
      <c r="AD106" s="398"/>
      <c r="AE106" s="398"/>
    </row>
    <row r="107" spans="2:31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  <c r="AC107" s="398"/>
      <c r="AD107" s="398"/>
      <c r="AE107" s="398"/>
    </row>
    <row r="108" spans="2:31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883" t="str">
        <f>M84</f>
        <v>Design&amp;Build s.r.o.</v>
      </c>
      <c r="N108" s="883"/>
      <c r="O108" s="883"/>
      <c r="P108" s="883"/>
      <c r="Q108" s="883"/>
      <c r="R108" s="456"/>
      <c r="AC108" s="398"/>
      <c r="AD108" s="398"/>
      <c r="AE108" s="398"/>
    </row>
    <row r="109" spans="2:31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883" t="str">
        <f>M108</f>
        <v>Design&amp;Build s.r.o.</v>
      </c>
      <c r="N109" s="883"/>
      <c r="O109" s="883"/>
      <c r="P109" s="883"/>
      <c r="Q109" s="883"/>
      <c r="R109" s="456"/>
      <c r="AC109" s="398"/>
      <c r="AD109" s="398"/>
      <c r="AE109" s="398"/>
    </row>
    <row r="110" spans="2:31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  <c r="AC110" s="398"/>
      <c r="AD110" s="398"/>
      <c r="AE110" s="398"/>
    </row>
    <row r="111" spans="2:31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0" t="s">
        <v>114</v>
      </c>
      <c r="G111" s="980"/>
      <c r="H111" s="980"/>
      <c r="I111" s="980"/>
      <c r="J111" s="180" t="s">
        <v>115</v>
      </c>
      <c r="K111" s="180" t="s">
        <v>116</v>
      </c>
      <c r="L111" s="984" t="s">
        <v>117</v>
      </c>
      <c r="M111" s="984"/>
      <c r="N111" s="980" t="s">
        <v>107</v>
      </c>
      <c r="O111" s="980"/>
      <c r="P111" s="980"/>
      <c r="Q111" s="985"/>
      <c r="R111" s="471"/>
      <c r="S111" s="162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398"/>
      <c r="AD111" s="398"/>
      <c r="AE111" s="398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69">
        <f>SUM(N113)</f>
        <v>0</v>
      </c>
      <c r="O112" s="970"/>
      <c r="P112" s="970"/>
      <c r="Q112" s="970"/>
      <c r="R112" s="456"/>
      <c r="T112" s="473"/>
      <c r="U112" s="85"/>
      <c r="V112" s="85"/>
      <c r="W112" s="474" t="e">
        <f>W113+#REF!+#REF!+#REF!+#REF!+#REF!+W128+#REF!+W149+#REF!+W187</f>
        <v>#REF!</v>
      </c>
      <c r="X112" s="85"/>
      <c r="Y112" s="474" t="e">
        <f>Y113+#REF!+#REF!+#REF!+#REF!+#REF!+Y128+#REF!+Y149+#REF!+Y187</f>
        <v>#REF!</v>
      </c>
      <c r="Z112" s="85"/>
      <c r="AA112" s="475" t="e">
        <f>AA113+#REF!+#REF!+#REF!+#REF!+#REF!+AA128+#REF!+AA149+#REF!+AA187</f>
        <v>#REF!</v>
      </c>
      <c r="AC112" s="398"/>
      <c r="AD112" s="398"/>
      <c r="AE112" s="398"/>
      <c r="AU112" s="448" t="s">
        <v>109</v>
      </c>
      <c r="BK112" s="476" t="e">
        <f>BK113+#REF!+#REF!+#REF!+#REF!+#REF!+BK128+#REF!+BK149+#REF!+BK187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07 - ELEKTROINSTALACE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71">
        <f>SUM(N115:Q184)</f>
        <v>0</v>
      </c>
      <c r="O113" s="926"/>
      <c r="P113" s="926"/>
      <c r="Q113" s="926"/>
      <c r="R113" s="400"/>
      <c r="S113" s="162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U113" s="405" t="s">
        <v>69</v>
      </c>
      <c r="AY113" s="404" t="s">
        <v>125</v>
      </c>
      <c r="BK113" s="406" t="e">
        <f>SUM(#REF!)</f>
        <v>#REF!</v>
      </c>
    </row>
    <row r="114" spans="2:63" s="398" customFormat="1" ht="29.85" customHeight="1">
      <c r="B114" s="399"/>
      <c r="C114" s="181"/>
      <c r="D114" s="128" t="s">
        <v>1052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971"/>
      <c r="O114" s="926"/>
      <c r="P114" s="926"/>
      <c r="Q114" s="926"/>
      <c r="R114" s="400"/>
      <c r="S114" s="162"/>
      <c r="T114" s="401"/>
      <c r="U114" s="181"/>
      <c r="V114" s="181"/>
      <c r="W114" s="402">
        <f>SUM(W115:W116)</f>
        <v>0</v>
      </c>
      <c r="X114" s="181"/>
      <c r="Y114" s="402">
        <f>SUM(Y115:Y116)</f>
        <v>0</v>
      </c>
      <c r="Z114" s="181"/>
      <c r="AA114" s="403">
        <f>SUM(AA115:AA116)</f>
        <v>0</v>
      </c>
      <c r="AR114" s="404" t="s">
        <v>76</v>
      </c>
      <c r="AT114" s="405" t="s">
        <v>68</v>
      </c>
      <c r="AU114" s="405" t="s">
        <v>76</v>
      </c>
      <c r="AY114" s="404" t="s">
        <v>125</v>
      </c>
      <c r="BK114" s="406">
        <f>SUM(BK115:BK116)</f>
        <v>0</v>
      </c>
    </row>
    <row r="115" spans="1:63" s="398" customFormat="1" ht="37.35" customHeight="1">
      <c r="A115" s="181"/>
      <c r="B115" s="399"/>
      <c r="C115" s="183" t="s">
        <v>207</v>
      </c>
      <c r="D115" s="486"/>
      <c r="E115" s="94" t="s">
        <v>1013</v>
      </c>
      <c r="F115" s="960" t="s">
        <v>916</v>
      </c>
      <c r="G115" s="960"/>
      <c r="H115" s="960"/>
      <c r="I115" s="960"/>
      <c r="J115" s="94" t="s">
        <v>131</v>
      </c>
      <c r="K115" s="95">
        <v>1</v>
      </c>
      <c r="L115" s="21"/>
      <c r="M115" s="128"/>
      <c r="N115" s="966">
        <f>ROUND(L115*K115,2)</f>
        <v>0</v>
      </c>
      <c r="O115" s="966"/>
      <c r="P115" s="966"/>
      <c r="Q115" s="966"/>
      <c r="R115" s="181"/>
      <c r="S115" s="162"/>
      <c r="T115" s="181"/>
      <c r="U115" s="181"/>
      <c r="V115" s="181"/>
      <c r="W115" s="402"/>
      <c r="X115" s="181"/>
      <c r="Y115" s="402"/>
      <c r="Z115" s="181"/>
      <c r="AA115" s="402"/>
      <c r="AB115" s="181"/>
      <c r="AU115" s="405"/>
      <c r="AY115" s="404"/>
      <c r="BK115" s="406"/>
    </row>
    <row r="116" spans="1:63" s="398" customFormat="1" ht="37.35" customHeight="1">
      <c r="A116" s="181"/>
      <c r="B116" s="399"/>
      <c r="C116" s="183" t="s">
        <v>208</v>
      </c>
      <c r="D116" s="486"/>
      <c r="E116" s="94" t="s">
        <v>1014</v>
      </c>
      <c r="F116" s="960" t="s">
        <v>918</v>
      </c>
      <c r="G116" s="960"/>
      <c r="H116" s="960"/>
      <c r="I116" s="960"/>
      <c r="J116" s="94" t="s">
        <v>131</v>
      </c>
      <c r="K116" s="95">
        <v>1</v>
      </c>
      <c r="L116" s="21"/>
      <c r="M116" s="128"/>
      <c r="N116" s="966">
        <f aca="true" t="shared" si="0" ref="N116">ROUND(L116*K116,2)</f>
        <v>0</v>
      </c>
      <c r="O116" s="966"/>
      <c r="P116" s="966"/>
      <c r="Q116" s="966"/>
      <c r="R116" s="181"/>
      <c r="S116" s="162"/>
      <c r="T116" s="181"/>
      <c r="U116" s="181"/>
      <c r="V116" s="181"/>
      <c r="W116" s="402"/>
      <c r="X116" s="181"/>
      <c r="Y116" s="402"/>
      <c r="Z116" s="181"/>
      <c r="AA116" s="402"/>
      <c r="AB116" s="181"/>
      <c r="AU116" s="405"/>
      <c r="AY116" s="404"/>
      <c r="BK116" s="406"/>
    </row>
    <row r="117" spans="2:65" s="811" customFormat="1" ht="30" customHeight="1">
      <c r="B117" s="812"/>
      <c r="C117" s="794" t="s">
        <v>209</v>
      </c>
      <c r="D117" s="813"/>
      <c r="E117" s="137" t="s">
        <v>1015</v>
      </c>
      <c r="F117" s="1129" t="s">
        <v>919</v>
      </c>
      <c r="G117" s="1129"/>
      <c r="H117" s="1129"/>
      <c r="I117" s="1129"/>
      <c r="J117" s="132" t="s">
        <v>133</v>
      </c>
      <c r="K117" s="127">
        <v>2000</v>
      </c>
      <c r="L117" s="13"/>
      <c r="M117" s="128"/>
      <c r="N117" s="1134">
        <f>ROUND(L117*K117,2)</f>
        <v>0</v>
      </c>
      <c r="O117" s="1134"/>
      <c r="P117" s="1134"/>
      <c r="Q117" s="1134"/>
      <c r="R117" s="814"/>
      <c r="S117" s="778"/>
      <c r="T117" s="815" t="s">
        <v>5</v>
      </c>
      <c r="U117" s="816" t="s">
        <v>36</v>
      </c>
      <c r="V117" s="817">
        <v>0</v>
      </c>
      <c r="W117" s="817">
        <f>V117*K117</f>
        <v>0</v>
      </c>
      <c r="X117" s="817">
        <v>0</v>
      </c>
      <c r="Y117" s="817">
        <f>X117*K117</f>
        <v>0</v>
      </c>
      <c r="Z117" s="817">
        <v>0</v>
      </c>
      <c r="AA117" s="818">
        <f>Z117*K117</f>
        <v>0</v>
      </c>
      <c r="AC117" s="398"/>
      <c r="AD117" s="398"/>
      <c r="AE117" s="398"/>
      <c r="AR117" s="819" t="s">
        <v>128</v>
      </c>
      <c r="AT117" s="819" t="s">
        <v>126</v>
      </c>
      <c r="AU117" s="819" t="s">
        <v>80</v>
      </c>
      <c r="AY117" s="819" t="s">
        <v>125</v>
      </c>
      <c r="BE117" s="809">
        <f>IF(U117="základní",N117,0)</f>
        <v>0</v>
      </c>
      <c r="BF117" s="809">
        <f>IF(U117="snížená",N117,0)</f>
        <v>0</v>
      </c>
      <c r="BG117" s="809">
        <f>IF(U117="zákl. přenesená",N117,0)</f>
        <v>0</v>
      </c>
      <c r="BH117" s="809">
        <f>IF(U117="sníž. přenesená",N117,0)</f>
        <v>0</v>
      </c>
      <c r="BI117" s="809">
        <f>IF(U117="nulová",N117,0)</f>
        <v>0</v>
      </c>
      <c r="BJ117" s="819" t="s">
        <v>80</v>
      </c>
      <c r="BK117" s="809">
        <f>ROUND(L117*K117,2)</f>
        <v>0</v>
      </c>
      <c r="BL117" s="819" t="s">
        <v>128</v>
      </c>
      <c r="BM117" s="819" t="s">
        <v>136</v>
      </c>
    </row>
    <row r="118" spans="2:65" s="811" customFormat="1" ht="30" customHeight="1">
      <c r="B118" s="812"/>
      <c r="C118" s="794" t="s">
        <v>210</v>
      </c>
      <c r="D118" s="813"/>
      <c r="E118" s="137" t="s">
        <v>1016</v>
      </c>
      <c r="F118" s="1129" t="s">
        <v>920</v>
      </c>
      <c r="G118" s="1129"/>
      <c r="H118" s="1129"/>
      <c r="I118" s="1129"/>
      <c r="J118" s="132" t="s">
        <v>133</v>
      </c>
      <c r="K118" s="127">
        <v>1900</v>
      </c>
      <c r="L118" s="13"/>
      <c r="M118" s="128"/>
      <c r="N118" s="1134">
        <f aca="true" t="shared" si="1" ref="N118:N122">ROUND(L118*K118,2)</f>
        <v>0</v>
      </c>
      <c r="O118" s="1134"/>
      <c r="P118" s="1134"/>
      <c r="Q118" s="1134"/>
      <c r="R118" s="814"/>
      <c r="T118" s="815"/>
      <c r="U118" s="816"/>
      <c r="V118" s="817"/>
      <c r="W118" s="817"/>
      <c r="X118" s="817"/>
      <c r="Y118" s="817"/>
      <c r="Z118" s="817"/>
      <c r="AA118" s="818"/>
      <c r="AC118" s="398"/>
      <c r="AD118" s="398"/>
      <c r="AE118" s="398"/>
      <c r="AR118" s="819"/>
      <c r="AT118" s="819"/>
      <c r="AU118" s="819"/>
      <c r="AY118" s="819"/>
      <c r="BE118" s="809"/>
      <c r="BF118" s="809"/>
      <c r="BG118" s="809"/>
      <c r="BH118" s="809"/>
      <c r="BI118" s="809"/>
      <c r="BJ118" s="819"/>
      <c r="BK118" s="809"/>
      <c r="BL118" s="819"/>
      <c r="BM118" s="819"/>
    </row>
    <row r="119" spans="2:65" s="811" customFormat="1" ht="30" customHeight="1">
      <c r="B119" s="812"/>
      <c r="C119" s="794" t="s">
        <v>211</v>
      </c>
      <c r="D119" s="813"/>
      <c r="E119" s="137" t="s">
        <v>1017</v>
      </c>
      <c r="F119" s="1129" t="s">
        <v>921</v>
      </c>
      <c r="G119" s="1129"/>
      <c r="H119" s="1129"/>
      <c r="I119" s="1129"/>
      <c r="J119" s="132" t="s">
        <v>133</v>
      </c>
      <c r="K119" s="127">
        <v>100</v>
      </c>
      <c r="L119" s="13"/>
      <c r="M119" s="128"/>
      <c r="N119" s="1134">
        <f t="shared" si="1"/>
        <v>0</v>
      </c>
      <c r="O119" s="1134"/>
      <c r="P119" s="1134"/>
      <c r="Q119" s="1134"/>
      <c r="R119" s="814"/>
      <c r="T119" s="815"/>
      <c r="U119" s="816"/>
      <c r="V119" s="817"/>
      <c r="W119" s="817"/>
      <c r="X119" s="817"/>
      <c r="Y119" s="817"/>
      <c r="Z119" s="817"/>
      <c r="AA119" s="818"/>
      <c r="AC119" s="398"/>
      <c r="AD119" s="398"/>
      <c r="AE119" s="398"/>
      <c r="AR119" s="819"/>
      <c r="AT119" s="819"/>
      <c r="AU119" s="819"/>
      <c r="AY119" s="819"/>
      <c r="BE119" s="809"/>
      <c r="BF119" s="809"/>
      <c r="BG119" s="809"/>
      <c r="BH119" s="809"/>
      <c r="BI119" s="809"/>
      <c r="BJ119" s="819"/>
      <c r="BK119" s="809"/>
      <c r="BL119" s="819"/>
      <c r="BM119" s="819"/>
    </row>
    <row r="120" spans="2:65" s="811" customFormat="1" ht="30" customHeight="1">
      <c r="B120" s="812"/>
      <c r="C120" s="794" t="s">
        <v>212</v>
      </c>
      <c r="D120" s="813"/>
      <c r="E120" s="137" t="s">
        <v>1018</v>
      </c>
      <c r="F120" s="1129" t="s">
        <v>922</v>
      </c>
      <c r="G120" s="1129"/>
      <c r="H120" s="1129"/>
      <c r="I120" s="1129"/>
      <c r="J120" s="132" t="s">
        <v>133</v>
      </c>
      <c r="K120" s="127">
        <v>40</v>
      </c>
      <c r="L120" s="13"/>
      <c r="M120" s="128"/>
      <c r="N120" s="1134">
        <f t="shared" si="1"/>
        <v>0</v>
      </c>
      <c r="O120" s="1134"/>
      <c r="P120" s="1134"/>
      <c r="Q120" s="1134"/>
      <c r="R120" s="814"/>
      <c r="T120" s="815" t="s">
        <v>5</v>
      </c>
      <c r="U120" s="816" t="s">
        <v>36</v>
      </c>
      <c r="V120" s="817">
        <v>0</v>
      </c>
      <c r="W120" s="817">
        <f>V120*K120</f>
        <v>0</v>
      </c>
      <c r="X120" s="817">
        <v>0</v>
      </c>
      <c r="Y120" s="817">
        <f>X120*K120</f>
        <v>0</v>
      </c>
      <c r="Z120" s="817">
        <v>0</v>
      </c>
      <c r="AA120" s="818">
        <f>Z120*K120</f>
        <v>0</v>
      </c>
      <c r="AC120" s="398"/>
      <c r="AD120" s="398"/>
      <c r="AE120" s="398"/>
      <c r="AR120" s="819" t="s">
        <v>128</v>
      </c>
      <c r="AT120" s="819" t="s">
        <v>126</v>
      </c>
      <c r="AU120" s="819" t="s">
        <v>80</v>
      </c>
      <c r="AY120" s="819" t="s">
        <v>125</v>
      </c>
      <c r="BE120" s="809">
        <f>IF(U120="základní",N120,0)</f>
        <v>0</v>
      </c>
      <c r="BF120" s="809">
        <f>IF(U120="snížená",N120,0)</f>
        <v>0</v>
      </c>
      <c r="BG120" s="809">
        <f>IF(U120="zákl. přenesená",N120,0)</f>
        <v>0</v>
      </c>
      <c r="BH120" s="809">
        <f>IF(U120="sníž. přenesená",N120,0)</f>
        <v>0</v>
      </c>
      <c r="BI120" s="809">
        <f>IF(U120="nulová",N120,0)</f>
        <v>0</v>
      </c>
      <c r="BJ120" s="819" t="s">
        <v>80</v>
      </c>
      <c r="BK120" s="809">
        <f>ROUND(L120*K120,2)</f>
        <v>0</v>
      </c>
      <c r="BL120" s="819" t="s">
        <v>128</v>
      </c>
      <c r="BM120" s="819" t="s">
        <v>137</v>
      </c>
    </row>
    <row r="121" spans="2:65" s="811" customFormat="1" ht="30" customHeight="1">
      <c r="B121" s="812"/>
      <c r="C121" s="794" t="s">
        <v>213</v>
      </c>
      <c r="D121" s="813"/>
      <c r="E121" s="137" t="s">
        <v>1019</v>
      </c>
      <c r="F121" s="1129" t="s">
        <v>923</v>
      </c>
      <c r="G121" s="1129"/>
      <c r="H121" s="1129"/>
      <c r="I121" s="1129"/>
      <c r="J121" s="132" t="s">
        <v>133</v>
      </c>
      <c r="K121" s="127">
        <v>100</v>
      </c>
      <c r="L121" s="13"/>
      <c r="M121" s="128"/>
      <c r="N121" s="1134">
        <f t="shared" si="1"/>
        <v>0</v>
      </c>
      <c r="O121" s="1134"/>
      <c r="P121" s="1134"/>
      <c r="Q121" s="1134"/>
      <c r="R121" s="814"/>
      <c r="T121" s="815" t="s">
        <v>5</v>
      </c>
      <c r="U121" s="816" t="s">
        <v>36</v>
      </c>
      <c r="V121" s="817">
        <v>0</v>
      </c>
      <c r="W121" s="817">
        <f>V121*K121</f>
        <v>0</v>
      </c>
      <c r="X121" s="817">
        <v>0</v>
      </c>
      <c r="Y121" s="817">
        <f>X121*K121</f>
        <v>0</v>
      </c>
      <c r="Z121" s="817">
        <v>0</v>
      </c>
      <c r="AA121" s="818">
        <f>Z121*K121</f>
        <v>0</v>
      </c>
      <c r="AC121" s="398"/>
      <c r="AD121" s="398"/>
      <c r="AE121" s="398"/>
      <c r="AR121" s="819" t="s">
        <v>128</v>
      </c>
      <c r="AT121" s="819" t="s">
        <v>126</v>
      </c>
      <c r="AU121" s="819" t="s">
        <v>80</v>
      </c>
      <c r="AY121" s="819" t="s">
        <v>125</v>
      </c>
      <c r="BE121" s="809">
        <f>IF(U121="základní",N121,0)</f>
        <v>0</v>
      </c>
      <c r="BF121" s="809">
        <f>IF(U121="snížená",N121,0)</f>
        <v>0</v>
      </c>
      <c r="BG121" s="809">
        <f>IF(U121="zákl. přenesená",N121,0)</f>
        <v>0</v>
      </c>
      <c r="BH121" s="809">
        <f>IF(U121="sníž. přenesená",N121,0)</f>
        <v>0</v>
      </c>
      <c r="BI121" s="809">
        <f>IF(U121="nulová",N121,0)</f>
        <v>0</v>
      </c>
      <c r="BJ121" s="819" t="s">
        <v>80</v>
      </c>
      <c r="BK121" s="809">
        <f>ROUND(L121*K121,2)</f>
        <v>0</v>
      </c>
      <c r="BL121" s="819" t="s">
        <v>128</v>
      </c>
      <c r="BM121" s="819" t="s">
        <v>138</v>
      </c>
    </row>
    <row r="122" spans="2:63" s="806" customFormat="1" ht="30" customHeight="1">
      <c r="B122" s="802"/>
      <c r="C122" s="794" t="s">
        <v>214</v>
      </c>
      <c r="D122" s="813"/>
      <c r="E122" s="137" t="s">
        <v>1020</v>
      </c>
      <c r="F122" s="1129" t="s">
        <v>924</v>
      </c>
      <c r="G122" s="1129"/>
      <c r="H122" s="1129"/>
      <c r="I122" s="1129"/>
      <c r="J122" s="132" t="s">
        <v>133</v>
      </c>
      <c r="K122" s="127">
        <v>14</v>
      </c>
      <c r="L122" s="13"/>
      <c r="M122" s="128"/>
      <c r="N122" s="1134">
        <f t="shared" si="1"/>
        <v>0</v>
      </c>
      <c r="O122" s="1134"/>
      <c r="P122" s="1134"/>
      <c r="Q122" s="1134"/>
      <c r="R122" s="820"/>
      <c r="T122" s="821"/>
      <c r="U122" s="801"/>
      <c r="V122" s="801"/>
      <c r="W122" s="805" t="e">
        <f>SUM(W123:W124)</f>
        <v>#REF!</v>
      </c>
      <c r="X122" s="801"/>
      <c r="Y122" s="805" t="e">
        <f>SUM(Y123:Y124)</f>
        <v>#REF!</v>
      </c>
      <c r="Z122" s="801"/>
      <c r="AA122" s="822" t="e">
        <f>SUM(AA123:AA124)</f>
        <v>#REF!</v>
      </c>
      <c r="AC122" s="398"/>
      <c r="AD122" s="398"/>
      <c r="AE122" s="398"/>
      <c r="AR122" s="808" t="s">
        <v>76</v>
      </c>
      <c r="AT122" s="807" t="s">
        <v>68</v>
      </c>
      <c r="AU122" s="807" t="s">
        <v>76</v>
      </c>
      <c r="AY122" s="808" t="s">
        <v>125</v>
      </c>
      <c r="BK122" s="809" t="e">
        <f>SUM(BK123:BK124)</f>
        <v>#REF!</v>
      </c>
    </row>
    <row r="123" spans="2:65" s="811" customFormat="1" ht="30" customHeight="1">
      <c r="B123" s="812"/>
      <c r="C123" s="794" t="s">
        <v>215</v>
      </c>
      <c r="D123" s="813"/>
      <c r="E123" s="137" t="s">
        <v>1021</v>
      </c>
      <c r="F123" s="1129" t="s">
        <v>925</v>
      </c>
      <c r="G123" s="1129"/>
      <c r="H123" s="1129"/>
      <c r="I123" s="1129"/>
      <c r="J123" s="132" t="s">
        <v>133</v>
      </c>
      <c r="K123" s="127">
        <v>300</v>
      </c>
      <c r="L123" s="13"/>
      <c r="M123" s="128"/>
      <c r="N123" s="1134">
        <f>ROUND(L123*K123,2)</f>
        <v>0</v>
      </c>
      <c r="O123" s="1134"/>
      <c r="P123" s="1134"/>
      <c r="Q123" s="1134"/>
      <c r="R123" s="814"/>
      <c r="T123" s="815" t="s">
        <v>5</v>
      </c>
      <c r="U123" s="816" t="s">
        <v>36</v>
      </c>
      <c r="V123" s="817">
        <v>0</v>
      </c>
      <c r="W123" s="817" t="e">
        <f>V123*#REF!</f>
        <v>#REF!</v>
      </c>
      <c r="X123" s="817">
        <v>0</v>
      </c>
      <c r="Y123" s="817" t="e">
        <f>X123*#REF!</f>
        <v>#REF!</v>
      </c>
      <c r="Z123" s="817">
        <v>0</v>
      </c>
      <c r="AA123" s="818" t="e">
        <f>Z123*#REF!</f>
        <v>#REF!</v>
      </c>
      <c r="AC123" s="398"/>
      <c r="AD123" s="398"/>
      <c r="AE123" s="398"/>
      <c r="AR123" s="819" t="s">
        <v>128</v>
      </c>
      <c r="AT123" s="819" t="s">
        <v>126</v>
      </c>
      <c r="AU123" s="819" t="s">
        <v>80</v>
      </c>
      <c r="AY123" s="819" t="s">
        <v>125</v>
      </c>
      <c r="BE123" s="809">
        <f>IF(U123="základní",#REF!,0)</f>
        <v>0</v>
      </c>
      <c r="BF123" s="809" t="e">
        <f>IF(U123="snížená",#REF!,0)</f>
        <v>#REF!</v>
      </c>
      <c r="BG123" s="809">
        <f>IF(U123="zákl. přenesená",#REF!,0)</f>
        <v>0</v>
      </c>
      <c r="BH123" s="809">
        <f>IF(U123="sníž. přenesená",#REF!,0)</f>
        <v>0</v>
      </c>
      <c r="BI123" s="809">
        <f>IF(U123="nulová",#REF!,0)</f>
        <v>0</v>
      </c>
      <c r="BJ123" s="819" t="s">
        <v>80</v>
      </c>
      <c r="BK123" s="809" t="e">
        <f>ROUND(#REF!*#REF!,2)</f>
        <v>#REF!</v>
      </c>
      <c r="BL123" s="819" t="s">
        <v>128</v>
      </c>
      <c r="BM123" s="819" t="s">
        <v>140</v>
      </c>
    </row>
    <row r="124" spans="2:65" s="811" customFormat="1" ht="30" customHeight="1">
      <c r="B124" s="812"/>
      <c r="C124" s="794" t="s">
        <v>216</v>
      </c>
      <c r="D124" s="813"/>
      <c r="E124" s="137" t="s">
        <v>1022</v>
      </c>
      <c r="F124" s="1129" t="s">
        <v>926</v>
      </c>
      <c r="G124" s="1129"/>
      <c r="H124" s="1129"/>
      <c r="I124" s="1129"/>
      <c r="J124" s="132" t="s">
        <v>133</v>
      </c>
      <c r="K124" s="127">
        <v>50</v>
      </c>
      <c r="L124" s="13"/>
      <c r="M124" s="128"/>
      <c r="N124" s="1134">
        <f aca="true" t="shared" si="2" ref="N124:N128">ROUND(L124*K124,2)</f>
        <v>0</v>
      </c>
      <c r="O124" s="1134"/>
      <c r="P124" s="1134"/>
      <c r="Q124" s="1134"/>
      <c r="R124" s="814"/>
      <c r="T124" s="815" t="s">
        <v>5</v>
      </c>
      <c r="U124" s="816" t="s">
        <v>36</v>
      </c>
      <c r="V124" s="817">
        <v>0</v>
      </c>
      <c r="W124" s="817" t="e">
        <f>V124*#REF!</f>
        <v>#REF!</v>
      </c>
      <c r="X124" s="817">
        <v>0</v>
      </c>
      <c r="Y124" s="817" t="e">
        <f>X124*#REF!</f>
        <v>#REF!</v>
      </c>
      <c r="Z124" s="817">
        <v>0</v>
      </c>
      <c r="AA124" s="818" t="e">
        <f>Z124*#REF!</f>
        <v>#REF!</v>
      </c>
      <c r="AC124" s="398"/>
      <c r="AD124" s="398"/>
      <c r="AE124" s="398"/>
      <c r="AR124" s="819" t="s">
        <v>128</v>
      </c>
      <c r="AT124" s="819" t="s">
        <v>126</v>
      </c>
      <c r="AU124" s="819" t="s">
        <v>80</v>
      </c>
      <c r="AY124" s="819" t="s">
        <v>125</v>
      </c>
      <c r="BE124" s="809">
        <f>IF(U124="základní",#REF!,0)</f>
        <v>0</v>
      </c>
      <c r="BF124" s="809" t="e">
        <f>IF(U124="snížená",#REF!,0)</f>
        <v>#REF!</v>
      </c>
      <c r="BG124" s="809">
        <f>IF(U124="zákl. přenesená",#REF!,0)</f>
        <v>0</v>
      </c>
      <c r="BH124" s="809">
        <f>IF(U124="sníž. přenesená",#REF!,0)</f>
        <v>0</v>
      </c>
      <c r="BI124" s="809">
        <f>IF(U124="nulová",#REF!,0)</f>
        <v>0</v>
      </c>
      <c r="BJ124" s="819" t="s">
        <v>80</v>
      </c>
      <c r="BK124" s="809" t="e">
        <f>ROUND(#REF!*#REF!,2)</f>
        <v>#REF!</v>
      </c>
      <c r="BL124" s="819" t="s">
        <v>128</v>
      </c>
      <c r="BM124" s="819" t="s">
        <v>141</v>
      </c>
    </row>
    <row r="125" spans="2:63" s="806" customFormat="1" ht="30" customHeight="1">
      <c r="B125" s="802"/>
      <c r="C125" s="794" t="s">
        <v>217</v>
      </c>
      <c r="D125" s="813"/>
      <c r="E125" s="137" t="s">
        <v>1023</v>
      </c>
      <c r="F125" s="1129" t="s">
        <v>927</v>
      </c>
      <c r="G125" s="1129"/>
      <c r="H125" s="1129"/>
      <c r="I125" s="1129"/>
      <c r="J125" s="132" t="s">
        <v>133</v>
      </c>
      <c r="K125" s="127">
        <v>200</v>
      </c>
      <c r="L125" s="13"/>
      <c r="M125" s="128"/>
      <c r="N125" s="1134">
        <f t="shared" si="2"/>
        <v>0</v>
      </c>
      <c r="O125" s="1134"/>
      <c r="P125" s="1134"/>
      <c r="Q125" s="1134"/>
      <c r="R125" s="820"/>
      <c r="T125" s="821"/>
      <c r="U125" s="801"/>
      <c r="V125" s="801"/>
      <c r="W125" s="805" t="e">
        <f>SUM(W126:W130)</f>
        <v>#REF!</v>
      </c>
      <c r="X125" s="801"/>
      <c r="Y125" s="805" t="e">
        <f>SUM(Y126:Y130)</f>
        <v>#REF!</v>
      </c>
      <c r="Z125" s="801"/>
      <c r="AA125" s="822" t="e">
        <f>SUM(AA126:AA130)</f>
        <v>#REF!</v>
      </c>
      <c r="AC125" s="398"/>
      <c r="AD125" s="398"/>
      <c r="AE125" s="398"/>
      <c r="AR125" s="808" t="s">
        <v>76</v>
      </c>
      <c r="AT125" s="807" t="s">
        <v>68</v>
      </c>
      <c r="AU125" s="807" t="s">
        <v>76</v>
      </c>
      <c r="AY125" s="808" t="s">
        <v>125</v>
      </c>
      <c r="BK125" s="809" t="e">
        <f>SUM(BK126:BK130)</f>
        <v>#REF!</v>
      </c>
    </row>
    <row r="126" spans="2:65" s="811" customFormat="1" ht="30" customHeight="1">
      <c r="B126" s="812"/>
      <c r="C126" s="794" t="s">
        <v>218</v>
      </c>
      <c r="D126" s="813"/>
      <c r="E126" s="137" t="s">
        <v>1024</v>
      </c>
      <c r="F126" s="1129" t="s">
        <v>928</v>
      </c>
      <c r="G126" s="1129"/>
      <c r="H126" s="1129"/>
      <c r="I126" s="1129"/>
      <c r="J126" s="132" t="s">
        <v>198</v>
      </c>
      <c r="K126" s="127">
        <v>370</v>
      </c>
      <c r="L126" s="13"/>
      <c r="M126" s="128"/>
      <c r="N126" s="1134">
        <f t="shared" si="2"/>
        <v>0</v>
      </c>
      <c r="O126" s="1134"/>
      <c r="P126" s="1134"/>
      <c r="Q126" s="1134"/>
      <c r="R126" s="814"/>
      <c r="T126" s="815" t="s">
        <v>5</v>
      </c>
      <c r="U126" s="816" t="s">
        <v>36</v>
      </c>
      <c r="V126" s="817">
        <v>0</v>
      </c>
      <c r="W126" s="817">
        <f>V126*K130</f>
        <v>0</v>
      </c>
      <c r="X126" s="817">
        <v>0</v>
      </c>
      <c r="Y126" s="817">
        <f>X126*K130</f>
        <v>0</v>
      </c>
      <c r="Z126" s="817">
        <v>0</v>
      </c>
      <c r="AA126" s="818">
        <f>Z126*K130</f>
        <v>0</v>
      </c>
      <c r="AC126" s="398"/>
      <c r="AD126" s="398"/>
      <c r="AE126" s="398"/>
      <c r="AR126" s="819" t="s">
        <v>128</v>
      </c>
      <c r="AT126" s="819" t="s">
        <v>126</v>
      </c>
      <c r="AU126" s="819" t="s">
        <v>80</v>
      </c>
      <c r="AY126" s="819" t="s">
        <v>125</v>
      </c>
      <c r="BE126" s="809">
        <f>IF(U126="základní",N130,0)</f>
        <v>0</v>
      </c>
      <c r="BF126" s="809">
        <f>IF(U126="snížená",N130,0)</f>
        <v>0</v>
      </c>
      <c r="BG126" s="809">
        <f>IF(U126="zákl. přenesená",N130,0)</f>
        <v>0</v>
      </c>
      <c r="BH126" s="809">
        <f>IF(U126="sníž. přenesená",N130,0)</f>
        <v>0</v>
      </c>
      <c r="BI126" s="809">
        <f>IF(U126="nulová",N130,0)</f>
        <v>0</v>
      </c>
      <c r="BJ126" s="819" t="s">
        <v>80</v>
      </c>
      <c r="BK126" s="809">
        <f>ROUND(L130*K130,2)</f>
        <v>0</v>
      </c>
      <c r="BL126" s="819" t="s">
        <v>128</v>
      </c>
      <c r="BM126" s="819" t="s">
        <v>149</v>
      </c>
    </row>
    <row r="127" spans="2:65" s="811" customFormat="1" ht="30" customHeight="1">
      <c r="B127" s="812"/>
      <c r="C127" s="794" t="s">
        <v>219</v>
      </c>
      <c r="D127" s="813"/>
      <c r="E127" s="137" t="s">
        <v>1025</v>
      </c>
      <c r="F127" s="1129" t="s">
        <v>929</v>
      </c>
      <c r="G127" s="1129"/>
      <c r="H127" s="1129"/>
      <c r="I127" s="1129"/>
      <c r="J127" s="132" t="s">
        <v>198</v>
      </c>
      <c r="K127" s="127">
        <v>5</v>
      </c>
      <c r="L127" s="13"/>
      <c r="M127" s="128"/>
      <c r="N127" s="1134">
        <f t="shared" si="2"/>
        <v>0</v>
      </c>
      <c r="O127" s="1134"/>
      <c r="P127" s="1134"/>
      <c r="Q127" s="1134"/>
      <c r="R127" s="814"/>
      <c r="T127" s="815" t="s">
        <v>5</v>
      </c>
      <c r="U127" s="816" t="s">
        <v>36</v>
      </c>
      <c r="V127" s="817">
        <v>0</v>
      </c>
      <c r="W127" s="817" t="e">
        <f>V127*#REF!</f>
        <v>#REF!</v>
      </c>
      <c r="X127" s="817">
        <v>0</v>
      </c>
      <c r="Y127" s="817" t="e">
        <f>X127*#REF!</f>
        <v>#REF!</v>
      </c>
      <c r="Z127" s="817">
        <v>0</v>
      </c>
      <c r="AA127" s="818" t="e">
        <f>Z127*#REF!</f>
        <v>#REF!</v>
      </c>
      <c r="AC127" s="398"/>
      <c r="AD127" s="398"/>
      <c r="AE127" s="398"/>
      <c r="AR127" s="819" t="s">
        <v>128</v>
      </c>
      <c r="AT127" s="819" t="s">
        <v>126</v>
      </c>
      <c r="AU127" s="819" t="s">
        <v>80</v>
      </c>
      <c r="AY127" s="819" t="s">
        <v>125</v>
      </c>
      <c r="BE127" s="809">
        <f>IF(U127="základní",#REF!,0)</f>
        <v>0</v>
      </c>
      <c r="BF127" s="809" t="e">
        <f>IF(U127="snížená",#REF!,0)</f>
        <v>#REF!</v>
      </c>
      <c r="BG127" s="809">
        <f>IF(U127="zákl. přenesená",#REF!,0)</f>
        <v>0</v>
      </c>
      <c r="BH127" s="809">
        <f>IF(U127="sníž. přenesená",#REF!,0)</f>
        <v>0</v>
      </c>
      <c r="BI127" s="809">
        <f>IF(U127="nulová",#REF!,0)</f>
        <v>0</v>
      </c>
      <c r="BJ127" s="819" t="s">
        <v>80</v>
      </c>
      <c r="BK127" s="809" t="e">
        <f>ROUND(#REF!*#REF!,2)</f>
        <v>#REF!</v>
      </c>
      <c r="BL127" s="819" t="s">
        <v>128</v>
      </c>
      <c r="BM127" s="819" t="s">
        <v>150</v>
      </c>
    </row>
    <row r="128" spans="2:65" s="811" customFormat="1" ht="30" customHeight="1">
      <c r="B128" s="812"/>
      <c r="C128" s="794" t="s">
        <v>220</v>
      </c>
      <c r="D128" s="813"/>
      <c r="E128" s="137" t="s">
        <v>1026</v>
      </c>
      <c r="F128" s="1129" t="s">
        <v>930</v>
      </c>
      <c r="G128" s="1129"/>
      <c r="H128" s="1129"/>
      <c r="I128" s="1129"/>
      <c r="J128" s="132" t="s">
        <v>198</v>
      </c>
      <c r="K128" s="127">
        <v>1</v>
      </c>
      <c r="L128" s="13"/>
      <c r="M128" s="128"/>
      <c r="N128" s="1134">
        <f t="shared" si="2"/>
        <v>0</v>
      </c>
      <c r="O128" s="1134"/>
      <c r="P128" s="1134"/>
      <c r="Q128" s="1134"/>
      <c r="R128" s="814"/>
      <c r="T128" s="815" t="s">
        <v>5</v>
      </c>
      <c r="U128" s="816" t="s">
        <v>36</v>
      </c>
      <c r="V128" s="817">
        <v>0</v>
      </c>
      <c r="W128" s="817" t="e">
        <f>V128*#REF!</f>
        <v>#REF!</v>
      </c>
      <c r="X128" s="817">
        <v>0</v>
      </c>
      <c r="Y128" s="817" t="e">
        <f>X128*#REF!</f>
        <v>#REF!</v>
      </c>
      <c r="Z128" s="817">
        <v>0</v>
      </c>
      <c r="AA128" s="818" t="e">
        <f>Z128*#REF!</f>
        <v>#REF!</v>
      </c>
      <c r="AC128" s="398"/>
      <c r="AD128" s="398"/>
      <c r="AE128" s="398"/>
      <c r="AR128" s="819" t="s">
        <v>128</v>
      </c>
      <c r="AT128" s="819" t="s">
        <v>126</v>
      </c>
      <c r="AU128" s="819" t="s">
        <v>80</v>
      </c>
      <c r="AY128" s="819" t="s">
        <v>125</v>
      </c>
      <c r="BE128" s="809">
        <f>IF(U128="základní",#REF!,0)</f>
        <v>0</v>
      </c>
      <c r="BF128" s="809" t="e">
        <f>IF(U128="snížená",#REF!,0)</f>
        <v>#REF!</v>
      </c>
      <c r="BG128" s="809">
        <f>IF(U128="zákl. přenesená",#REF!,0)</f>
        <v>0</v>
      </c>
      <c r="BH128" s="809">
        <f>IF(U128="sníž. přenesená",#REF!,0)</f>
        <v>0</v>
      </c>
      <c r="BI128" s="809">
        <f>IF(U128="nulová",#REF!,0)</f>
        <v>0</v>
      </c>
      <c r="BJ128" s="819" t="s">
        <v>80</v>
      </c>
      <c r="BK128" s="809" t="e">
        <f>ROUND(#REF!*#REF!,2)</f>
        <v>#REF!</v>
      </c>
      <c r="BL128" s="819" t="s">
        <v>128</v>
      </c>
      <c r="BM128" s="819" t="s">
        <v>153</v>
      </c>
    </row>
    <row r="129" spans="2:65" s="811" customFormat="1" ht="30" customHeight="1">
      <c r="B129" s="812"/>
      <c r="C129" s="794" t="s">
        <v>221</v>
      </c>
      <c r="D129" s="813"/>
      <c r="E129" s="137" t="s">
        <v>1027</v>
      </c>
      <c r="F129" s="1129" t="s">
        <v>931</v>
      </c>
      <c r="G129" s="1129"/>
      <c r="H129" s="1129"/>
      <c r="I129" s="1129"/>
      <c r="J129" s="132" t="s">
        <v>198</v>
      </c>
      <c r="K129" s="127">
        <v>5</v>
      </c>
      <c r="L129" s="13"/>
      <c r="M129" s="128"/>
      <c r="N129" s="1134">
        <f>ROUND(L129*K129,2)</f>
        <v>0</v>
      </c>
      <c r="O129" s="1134"/>
      <c r="P129" s="1134"/>
      <c r="Q129" s="1134"/>
      <c r="R129" s="814"/>
      <c r="T129" s="815" t="s">
        <v>5</v>
      </c>
      <c r="U129" s="816" t="s">
        <v>36</v>
      </c>
      <c r="V129" s="817">
        <v>0</v>
      </c>
      <c r="W129" s="817" t="e">
        <f>V129*#REF!</f>
        <v>#REF!</v>
      </c>
      <c r="X129" s="817">
        <v>0</v>
      </c>
      <c r="Y129" s="817" t="e">
        <f>X129*#REF!</f>
        <v>#REF!</v>
      </c>
      <c r="Z129" s="817">
        <v>0</v>
      </c>
      <c r="AA129" s="818" t="e">
        <f>Z129*#REF!</f>
        <v>#REF!</v>
      </c>
      <c r="AC129" s="398"/>
      <c r="AD129" s="398"/>
      <c r="AE129" s="398"/>
      <c r="AR129" s="819" t="s">
        <v>128</v>
      </c>
      <c r="AT129" s="819" t="s">
        <v>126</v>
      </c>
      <c r="AU129" s="819" t="s">
        <v>80</v>
      </c>
      <c r="AY129" s="819" t="s">
        <v>125</v>
      </c>
      <c r="BE129" s="809">
        <f>IF(U129="základní",#REF!,0)</f>
        <v>0</v>
      </c>
      <c r="BF129" s="809" t="e">
        <f>IF(U129="snížená",#REF!,0)</f>
        <v>#REF!</v>
      </c>
      <c r="BG129" s="809">
        <f>IF(U129="zákl. přenesená",#REF!,0)</f>
        <v>0</v>
      </c>
      <c r="BH129" s="809">
        <f>IF(U129="sníž. přenesená",#REF!,0)</f>
        <v>0</v>
      </c>
      <c r="BI129" s="809">
        <f>IF(U129="nulová",#REF!,0)</f>
        <v>0</v>
      </c>
      <c r="BJ129" s="819" t="s">
        <v>80</v>
      </c>
      <c r="BK129" s="809" t="e">
        <f>ROUND(#REF!*#REF!,2)</f>
        <v>#REF!</v>
      </c>
      <c r="BL129" s="819" t="s">
        <v>128</v>
      </c>
      <c r="BM129" s="819" t="s">
        <v>154</v>
      </c>
    </row>
    <row r="130" spans="2:65" s="811" customFormat="1" ht="30" customHeight="1">
      <c r="B130" s="812"/>
      <c r="C130" s="794" t="s">
        <v>222</v>
      </c>
      <c r="D130" s="813"/>
      <c r="E130" s="137" t="s">
        <v>1028</v>
      </c>
      <c r="F130" s="1129" t="s">
        <v>932</v>
      </c>
      <c r="G130" s="1129"/>
      <c r="H130" s="1129"/>
      <c r="I130" s="1129"/>
      <c r="J130" s="132" t="s">
        <v>198</v>
      </c>
      <c r="K130" s="127">
        <v>4</v>
      </c>
      <c r="L130" s="13"/>
      <c r="M130" s="128"/>
      <c r="N130" s="1134">
        <f aca="true" t="shared" si="3" ref="N130:N131">ROUND(L130*K130,2)</f>
        <v>0</v>
      </c>
      <c r="O130" s="1134"/>
      <c r="P130" s="1134"/>
      <c r="Q130" s="1134"/>
      <c r="R130" s="814"/>
      <c r="T130" s="815" t="s">
        <v>5</v>
      </c>
      <c r="U130" s="816" t="s">
        <v>36</v>
      </c>
      <c r="V130" s="817">
        <v>0</v>
      </c>
      <c r="W130" s="817" t="e">
        <f>V130*#REF!</f>
        <v>#REF!</v>
      </c>
      <c r="X130" s="817">
        <v>0</v>
      </c>
      <c r="Y130" s="817" t="e">
        <f>X130*#REF!</f>
        <v>#REF!</v>
      </c>
      <c r="Z130" s="817">
        <v>0</v>
      </c>
      <c r="AA130" s="818" t="e">
        <f>Z130*#REF!</f>
        <v>#REF!</v>
      </c>
      <c r="AC130" s="398"/>
      <c r="AD130" s="398"/>
      <c r="AE130" s="398"/>
      <c r="AR130" s="819" t="s">
        <v>128</v>
      </c>
      <c r="AT130" s="819" t="s">
        <v>126</v>
      </c>
      <c r="AU130" s="819" t="s">
        <v>80</v>
      </c>
      <c r="AY130" s="819" t="s">
        <v>125</v>
      </c>
      <c r="BE130" s="809">
        <f>IF(U130="základní",#REF!,0)</f>
        <v>0</v>
      </c>
      <c r="BF130" s="809" t="e">
        <f>IF(U130="snížená",#REF!,0)</f>
        <v>#REF!</v>
      </c>
      <c r="BG130" s="809">
        <f>IF(U130="zákl. přenesená",#REF!,0)</f>
        <v>0</v>
      </c>
      <c r="BH130" s="809">
        <f>IF(U130="sníž. přenesená",#REF!,0)</f>
        <v>0</v>
      </c>
      <c r="BI130" s="809">
        <f>IF(U130="nulová",#REF!,0)</f>
        <v>0</v>
      </c>
      <c r="BJ130" s="819" t="s">
        <v>80</v>
      </c>
      <c r="BK130" s="809" t="e">
        <f>ROUND(#REF!*#REF!,2)</f>
        <v>#REF!</v>
      </c>
      <c r="BL130" s="819" t="s">
        <v>128</v>
      </c>
      <c r="BM130" s="819" t="s">
        <v>155</v>
      </c>
    </row>
    <row r="131" spans="2:65" s="811" customFormat="1" ht="30" customHeight="1">
      <c r="B131" s="812"/>
      <c r="C131" s="794" t="s">
        <v>223</v>
      </c>
      <c r="D131" s="813"/>
      <c r="E131" s="137" t="s">
        <v>1029</v>
      </c>
      <c r="F131" s="1094" t="s">
        <v>2241</v>
      </c>
      <c r="G131" s="1094"/>
      <c r="H131" s="1094"/>
      <c r="I131" s="1094"/>
      <c r="J131" s="132" t="s">
        <v>198</v>
      </c>
      <c r="K131" s="127">
        <v>40</v>
      </c>
      <c r="L131" s="13"/>
      <c r="M131" s="128"/>
      <c r="N131" s="1134">
        <f t="shared" si="3"/>
        <v>0</v>
      </c>
      <c r="O131" s="1134"/>
      <c r="P131" s="1134"/>
      <c r="Q131" s="1134"/>
      <c r="R131" s="814"/>
      <c r="T131" s="815" t="s">
        <v>5</v>
      </c>
      <c r="U131" s="816" t="s">
        <v>36</v>
      </c>
      <c r="V131" s="817">
        <v>0</v>
      </c>
      <c r="W131" s="817" t="e">
        <f>V131*#REF!</f>
        <v>#REF!</v>
      </c>
      <c r="X131" s="817">
        <v>0</v>
      </c>
      <c r="Y131" s="817" t="e">
        <f>X131*#REF!</f>
        <v>#REF!</v>
      </c>
      <c r="Z131" s="817">
        <v>0</v>
      </c>
      <c r="AA131" s="818" t="e">
        <f>Z131*#REF!</f>
        <v>#REF!</v>
      </c>
      <c r="AC131" s="398"/>
      <c r="AD131" s="398"/>
      <c r="AE131" s="398"/>
      <c r="AR131" s="819" t="s">
        <v>128</v>
      </c>
      <c r="AT131" s="819" t="s">
        <v>126</v>
      </c>
      <c r="AU131" s="819" t="s">
        <v>80</v>
      </c>
      <c r="AY131" s="819" t="s">
        <v>125</v>
      </c>
      <c r="BE131" s="809">
        <f>IF(U131="základní",#REF!,0)</f>
        <v>0</v>
      </c>
      <c r="BF131" s="809" t="e">
        <f>IF(U131="snížená",#REF!,0)</f>
        <v>#REF!</v>
      </c>
      <c r="BG131" s="809">
        <f>IF(U131="zákl. přenesená",#REF!,0)</f>
        <v>0</v>
      </c>
      <c r="BH131" s="809">
        <f>IF(U131="sníž. přenesená",#REF!,0)</f>
        <v>0</v>
      </c>
      <c r="BI131" s="809">
        <f>IF(U131="nulová",#REF!,0)</f>
        <v>0</v>
      </c>
      <c r="BJ131" s="819" t="s">
        <v>80</v>
      </c>
      <c r="BK131" s="809" t="e">
        <f>ROUND(#REF!*#REF!,2)</f>
        <v>#REF!</v>
      </c>
      <c r="BL131" s="819" t="s">
        <v>128</v>
      </c>
      <c r="BM131" s="819" t="s">
        <v>162</v>
      </c>
    </row>
    <row r="132" spans="2:65" s="811" customFormat="1" ht="30" customHeight="1">
      <c r="B132" s="812"/>
      <c r="C132" s="794" t="s">
        <v>224</v>
      </c>
      <c r="D132" s="813"/>
      <c r="E132" s="137" t="s">
        <v>1030</v>
      </c>
      <c r="F132" s="1094" t="s">
        <v>2240</v>
      </c>
      <c r="G132" s="1094"/>
      <c r="H132" s="1094"/>
      <c r="I132" s="1094"/>
      <c r="J132" s="132" t="s">
        <v>198</v>
      </c>
      <c r="K132" s="127">
        <v>3</v>
      </c>
      <c r="L132" s="13"/>
      <c r="M132" s="128"/>
      <c r="N132" s="1134">
        <f aca="true" t="shared" si="4" ref="N132">ROUND(L132*K132,2)</f>
        <v>0</v>
      </c>
      <c r="O132" s="1134"/>
      <c r="P132" s="1134"/>
      <c r="Q132" s="1134"/>
      <c r="R132" s="814"/>
      <c r="T132" s="815" t="s">
        <v>5</v>
      </c>
      <c r="U132" s="816" t="s">
        <v>36</v>
      </c>
      <c r="V132" s="817">
        <v>0</v>
      </c>
      <c r="W132" s="817" t="e">
        <f>V132*#REF!</f>
        <v>#REF!</v>
      </c>
      <c r="X132" s="817">
        <v>0</v>
      </c>
      <c r="Y132" s="817" t="e">
        <f>X132*#REF!</f>
        <v>#REF!</v>
      </c>
      <c r="Z132" s="817">
        <v>0</v>
      </c>
      <c r="AA132" s="818" t="e">
        <f>Z132*#REF!</f>
        <v>#REF!</v>
      </c>
      <c r="AC132" s="398"/>
      <c r="AD132" s="398"/>
      <c r="AE132" s="398"/>
      <c r="AR132" s="819" t="s">
        <v>128</v>
      </c>
      <c r="AT132" s="819" t="s">
        <v>126</v>
      </c>
      <c r="AU132" s="819" t="s">
        <v>80</v>
      </c>
      <c r="AY132" s="819" t="s">
        <v>125</v>
      </c>
      <c r="BE132" s="809">
        <f>IF(U132="základní",#REF!,0)</f>
        <v>0</v>
      </c>
      <c r="BF132" s="809" t="e">
        <f>IF(U132="snížená",#REF!,0)</f>
        <v>#REF!</v>
      </c>
      <c r="BG132" s="809">
        <f>IF(U132="zákl. přenesená",#REF!,0)</f>
        <v>0</v>
      </c>
      <c r="BH132" s="809">
        <f>IF(U132="sníž. přenesená",#REF!,0)</f>
        <v>0</v>
      </c>
      <c r="BI132" s="809">
        <f>IF(U132="nulová",#REF!,0)</f>
        <v>0</v>
      </c>
      <c r="BJ132" s="819" t="s">
        <v>80</v>
      </c>
      <c r="BK132" s="809" t="e">
        <f>ROUND(#REF!*#REF!,2)</f>
        <v>#REF!</v>
      </c>
      <c r="BL132" s="819" t="s">
        <v>128</v>
      </c>
      <c r="BM132" s="819" t="s">
        <v>165</v>
      </c>
    </row>
    <row r="133" spans="2:65" s="811" customFormat="1" ht="30" customHeight="1">
      <c r="B133" s="812"/>
      <c r="C133" s="794" t="s">
        <v>225</v>
      </c>
      <c r="D133" s="813"/>
      <c r="E133" s="137" t="s">
        <v>1031</v>
      </c>
      <c r="F133" s="1094" t="s">
        <v>2239</v>
      </c>
      <c r="G133" s="1094"/>
      <c r="H133" s="1094"/>
      <c r="I133" s="1094"/>
      <c r="J133" s="132" t="s">
        <v>198</v>
      </c>
      <c r="K133" s="127">
        <v>52</v>
      </c>
      <c r="L133" s="13"/>
      <c r="M133" s="128"/>
      <c r="N133" s="1134">
        <f aca="true" t="shared" si="5" ref="N133">ROUND(L133*K133,2)</f>
        <v>0</v>
      </c>
      <c r="O133" s="1134"/>
      <c r="P133" s="1134"/>
      <c r="Q133" s="1134"/>
      <c r="R133" s="814"/>
      <c r="T133" s="815" t="s">
        <v>5</v>
      </c>
      <c r="U133" s="816" t="s">
        <v>36</v>
      </c>
      <c r="V133" s="817">
        <v>0</v>
      </c>
      <c r="W133" s="817">
        <f>V133*K132</f>
        <v>0</v>
      </c>
      <c r="X133" s="817">
        <v>0</v>
      </c>
      <c r="Y133" s="817">
        <f>X133*K132</f>
        <v>0</v>
      </c>
      <c r="Z133" s="817">
        <v>0</v>
      </c>
      <c r="AA133" s="818">
        <f>Z133*K132</f>
        <v>0</v>
      </c>
      <c r="AC133" s="398"/>
      <c r="AD133" s="398"/>
      <c r="AE133" s="398"/>
      <c r="AR133" s="819" t="s">
        <v>128</v>
      </c>
      <c r="AT133" s="819" t="s">
        <v>126</v>
      </c>
      <c r="AU133" s="819" t="s">
        <v>76</v>
      </c>
      <c r="AY133" s="819" t="s">
        <v>125</v>
      </c>
      <c r="BE133" s="809">
        <f>IF(U133="základní",N132,0)</f>
        <v>0</v>
      </c>
      <c r="BF133" s="809">
        <f>IF(U133="snížená",N132,0)</f>
        <v>0</v>
      </c>
      <c r="BG133" s="809">
        <f>IF(U133="zákl. přenesená",N132,0)</f>
        <v>0</v>
      </c>
      <c r="BH133" s="809">
        <f>IF(U133="sníž. přenesená",N132,0)</f>
        <v>0</v>
      </c>
      <c r="BI133" s="809">
        <f>IF(U133="nulová",N132,0)</f>
        <v>0</v>
      </c>
      <c r="BJ133" s="819" t="s">
        <v>80</v>
      </c>
      <c r="BK133" s="809">
        <f>ROUND(L132*K132,2)</f>
        <v>0</v>
      </c>
      <c r="BL133" s="819" t="s">
        <v>128</v>
      </c>
      <c r="BM133" s="819" t="s">
        <v>166</v>
      </c>
    </row>
    <row r="134" spans="2:65" s="811" customFormat="1" ht="30" customHeight="1">
      <c r="B134" s="812"/>
      <c r="C134" s="794" t="s">
        <v>226</v>
      </c>
      <c r="D134" s="813"/>
      <c r="E134" s="137" t="s">
        <v>1032</v>
      </c>
      <c r="F134" s="1094" t="s">
        <v>2242</v>
      </c>
      <c r="G134" s="1094"/>
      <c r="H134" s="1094"/>
      <c r="I134" s="1094"/>
      <c r="J134" s="132" t="s">
        <v>198</v>
      </c>
      <c r="K134" s="127">
        <v>11</v>
      </c>
      <c r="L134" s="13"/>
      <c r="M134" s="128"/>
      <c r="N134" s="1134">
        <f aca="true" t="shared" si="6" ref="N134">ROUND(L134*K134,2)</f>
        <v>0</v>
      </c>
      <c r="O134" s="1134"/>
      <c r="P134" s="1134"/>
      <c r="Q134" s="1134"/>
      <c r="R134" s="814"/>
      <c r="T134" s="815" t="s">
        <v>5</v>
      </c>
      <c r="U134" s="816" t="s">
        <v>36</v>
      </c>
      <c r="V134" s="817">
        <v>0</v>
      </c>
      <c r="W134" s="817" t="e">
        <f>V134*#REF!</f>
        <v>#REF!</v>
      </c>
      <c r="X134" s="817">
        <v>0</v>
      </c>
      <c r="Y134" s="817" t="e">
        <f>X134*#REF!</f>
        <v>#REF!</v>
      </c>
      <c r="Z134" s="817">
        <v>0</v>
      </c>
      <c r="AA134" s="818" t="e">
        <f>Z134*#REF!</f>
        <v>#REF!</v>
      </c>
      <c r="AC134" s="398"/>
      <c r="AD134" s="398"/>
      <c r="AE134" s="398"/>
      <c r="AR134" s="819" t="s">
        <v>128</v>
      </c>
      <c r="AT134" s="819" t="s">
        <v>126</v>
      </c>
      <c r="AU134" s="819" t="s">
        <v>76</v>
      </c>
      <c r="AY134" s="819" t="s">
        <v>125</v>
      </c>
      <c r="BE134" s="809">
        <f>IF(U134="základní",#REF!,0)</f>
        <v>0</v>
      </c>
      <c r="BF134" s="809" t="e">
        <f>IF(U134="snížená",#REF!,0)</f>
        <v>#REF!</v>
      </c>
      <c r="BG134" s="809">
        <f>IF(U134="zákl. přenesená",#REF!,0)</f>
        <v>0</v>
      </c>
      <c r="BH134" s="809">
        <f>IF(U134="sníž. přenesená",#REF!,0)</f>
        <v>0</v>
      </c>
      <c r="BI134" s="809">
        <f>IF(U134="nulová",#REF!,0)</f>
        <v>0</v>
      </c>
      <c r="BJ134" s="819" t="s">
        <v>80</v>
      </c>
      <c r="BK134" s="809" t="e">
        <f>ROUND(#REF!*#REF!,2)</f>
        <v>#REF!</v>
      </c>
      <c r="BL134" s="819" t="s">
        <v>128</v>
      </c>
      <c r="BM134" s="819" t="s">
        <v>167</v>
      </c>
    </row>
    <row r="135" spans="2:65" s="811" customFormat="1" ht="30" customHeight="1">
      <c r="B135" s="812"/>
      <c r="C135" s="794" t="s">
        <v>227</v>
      </c>
      <c r="D135" s="813"/>
      <c r="E135" s="137" t="s">
        <v>1033</v>
      </c>
      <c r="F135" s="1094" t="s">
        <v>2243</v>
      </c>
      <c r="G135" s="1094"/>
      <c r="H135" s="1094"/>
      <c r="I135" s="1094"/>
      <c r="J135" s="132" t="s">
        <v>198</v>
      </c>
      <c r="K135" s="127">
        <v>27</v>
      </c>
      <c r="L135" s="13"/>
      <c r="M135" s="128"/>
      <c r="N135" s="1134">
        <f aca="true" t="shared" si="7" ref="N135">ROUND(L135*K135,2)</f>
        <v>0</v>
      </c>
      <c r="O135" s="1134"/>
      <c r="P135" s="1134"/>
      <c r="Q135" s="1134"/>
      <c r="R135" s="814"/>
      <c r="T135" s="815" t="s">
        <v>5</v>
      </c>
      <c r="U135" s="816" t="s">
        <v>36</v>
      </c>
      <c r="V135" s="817">
        <v>0</v>
      </c>
      <c r="W135" s="817" t="e">
        <f>V135*#REF!</f>
        <v>#REF!</v>
      </c>
      <c r="X135" s="817">
        <v>0</v>
      </c>
      <c r="Y135" s="817" t="e">
        <f>X135*#REF!</f>
        <v>#REF!</v>
      </c>
      <c r="Z135" s="817">
        <v>0</v>
      </c>
      <c r="AA135" s="818" t="e">
        <f>Z135*#REF!</f>
        <v>#REF!</v>
      </c>
      <c r="AC135" s="398"/>
      <c r="AD135" s="398"/>
      <c r="AE135" s="398"/>
      <c r="AR135" s="819" t="s">
        <v>128</v>
      </c>
      <c r="AT135" s="819" t="s">
        <v>126</v>
      </c>
      <c r="AU135" s="819" t="s">
        <v>76</v>
      </c>
      <c r="AY135" s="819" t="s">
        <v>125</v>
      </c>
      <c r="BE135" s="809">
        <f>IF(U135="základní",#REF!,0)</f>
        <v>0</v>
      </c>
      <c r="BF135" s="809" t="e">
        <f>IF(U135="snížená",#REF!,0)</f>
        <v>#REF!</v>
      </c>
      <c r="BG135" s="809">
        <f>IF(U135="zákl. přenesená",#REF!,0)</f>
        <v>0</v>
      </c>
      <c r="BH135" s="809">
        <f>IF(U135="sníž. přenesená",#REF!,0)</f>
        <v>0</v>
      </c>
      <c r="BI135" s="809">
        <f>IF(U135="nulová",#REF!,0)</f>
        <v>0</v>
      </c>
      <c r="BJ135" s="819" t="s">
        <v>80</v>
      </c>
      <c r="BK135" s="809" t="e">
        <f>ROUND(#REF!*#REF!,2)</f>
        <v>#REF!</v>
      </c>
      <c r="BL135" s="819" t="s">
        <v>128</v>
      </c>
      <c r="BM135" s="819" t="s">
        <v>168</v>
      </c>
    </row>
    <row r="136" spans="2:65" s="811" customFormat="1" ht="30" customHeight="1">
      <c r="B136" s="812"/>
      <c r="C136" s="794" t="s">
        <v>228</v>
      </c>
      <c r="D136" s="813"/>
      <c r="E136" s="137" t="s">
        <v>1034</v>
      </c>
      <c r="F136" s="1129" t="s">
        <v>933</v>
      </c>
      <c r="G136" s="1129"/>
      <c r="H136" s="1129"/>
      <c r="I136" s="1129"/>
      <c r="J136" s="132" t="s">
        <v>198</v>
      </c>
      <c r="K136" s="127">
        <v>219</v>
      </c>
      <c r="L136" s="13"/>
      <c r="M136" s="128"/>
      <c r="N136" s="1134">
        <f aca="true" t="shared" si="8" ref="N136">ROUND(L136*K136,2)</f>
        <v>0</v>
      </c>
      <c r="O136" s="1134"/>
      <c r="P136" s="1134"/>
      <c r="Q136" s="1134"/>
      <c r="R136" s="814"/>
      <c r="T136" s="815" t="s">
        <v>5</v>
      </c>
      <c r="U136" s="816" t="s">
        <v>36</v>
      </c>
      <c r="V136" s="817">
        <v>0</v>
      </c>
      <c r="W136" s="817" t="e">
        <f>V136*#REF!</f>
        <v>#REF!</v>
      </c>
      <c r="X136" s="817">
        <v>0</v>
      </c>
      <c r="Y136" s="817" t="e">
        <f>X136*#REF!</f>
        <v>#REF!</v>
      </c>
      <c r="Z136" s="817">
        <v>0</v>
      </c>
      <c r="AA136" s="818" t="e">
        <f>Z136*#REF!</f>
        <v>#REF!</v>
      </c>
      <c r="AC136" s="398"/>
      <c r="AD136" s="398"/>
      <c r="AE136" s="398"/>
      <c r="AT136" s="819" t="s">
        <v>126</v>
      </c>
      <c r="AU136" s="819" t="s">
        <v>76</v>
      </c>
      <c r="AY136" s="819" t="s">
        <v>125</v>
      </c>
      <c r="BE136" s="809">
        <f>IF(U136="základní",#REF!,0)</f>
        <v>0</v>
      </c>
      <c r="BF136" s="809" t="e">
        <f>IF(U136="snížená",#REF!,0)</f>
        <v>#REF!</v>
      </c>
      <c r="BG136" s="809">
        <f>IF(U136="zákl. přenesená",#REF!,0)</f>
        <v>0</v>
      </c>
      <c r="BH136" s="809">
        <f>IF(U136="sníž. přenesená",#REF!,0)</f>
        <v>0</v>
      </c>
      <c r="BI136" s="809">
        <f>IF(U136="nulová",#REF!,0)</f>
        <v>0</v>
      </c>
      <c r="BJ136" s="819" t="s">
        <v>80</v>
      </c>
      <c r="BK136" s="809" t="e">
        <f>ROUND(#REF!*#REF!,2)</f>
        <v>#REF!</v>
      </c>
      <c r="BL136" s="819" t="s">
        <v>128</v>
      </c>
      <c r="BM136" s="819" t="s">
        <v>177</v>
      </c>
    </row>
    <row r="137" spans="2:63" s="806" customFormat="1" ht="30" customHeight="1">
      <c r="B137" s="802"/>
      <c r="C137" s="794" t="s">
        <v>229</v>
      </c>
      <c r="D137" s="813"/>
      <c r="E137" s="137" t="s">
        <v>1035</v>
      </c>
      <c r="F137" s="1129" t="s">
        <v>934</v>
      </c>
      <c r="G137" s="1129"/>
      <c r="H137" s="1129"/>
      <c r="I137" s="1129"/>
      <c r="J137" s="132" t="s">
        <v>198</v>
      </c>
      <c r="K137" s="127">
        <v>7</v>
      </c>
      <c r="L137" s="13"/>
      <c r="M137" s="128"/>
      <c r="N137" s="1134">
        <f aca="true" t="shared" si="9" ref="N137">ROUND(L137*K137,2)</f>
        <v>0</v>
      </c>
      <c r="O137" s="1134"/>
      <c r="P137" s="1134"/>
      <c r="Q137" s="1134"/>
      <c r="R137" s="820"/>
      <c r="S137" s="811"/>
      <c r="T137" s="821"/>
      <c r="U137" s="801"/>
      <c r="V137" s="801"/>
      <c r="W137" s="805" t="e">
        <f>SUM(W139:W186)</f>
        <v>#REF!</v>
      </c>
      <c r="X137" s="801"/>
      <c r="Y137" s="805" t="e">
        <f>SUM(Y139:Y186)</f>
        <v>#REF!</v>
      </c>
      <c r="Z137" s="801"/>
      <c r="AA137" s="822" t="e">
        <f>SUM(AA139:AA186)</f>
        <v>#REF!</v>
      </c>
      <c r="AC137" s="398"/>
      <c r="AD137" s="398"/>
      <c r="AE137" s="398"/>
      <c r="AT137" s="807" t="s">
        <v>68</v>
      </c>
      <c r="AU137" s="807" t="s">
        <v>76</v>
      </c>
      <c r="AY137" s="808" t="s">
        <v>125</v>
      </c>
      <c r="BK137" s="809" t="e">
        <f>SUM(BK139:BK186)</f>
        <v>#REF!</v>
      </c>
    </row>
    <row r="138" spans="2:63" s="806" customFormat="1" ht="30" customHeight="1">
      <c r="B138" s="802"/>
      <c r="C138" s="794" t="s">
        <v>230</v>
      </c>
      <c r="D138" s="813"/>
      <c r="E138" s="137" t="s">
        <v>1036</v>
      </c>
      <c r="F138" s="1129" t="s">
        <v>935</v>
      </c>
      <c r="G138" s="1129"/>
      <c r="H138" s="1129"/>
      <c r="I138" s="1129"/>
      <c r="J138" s="132" t="s">
        <v>198</v>
      </c>
      <c r="K138" s="127">
        <v>1</v>
      </c>
      <c r="L138" s="13"/>
      <c r="M138" s="128"/>
      <c r="N138" s="1134">
        <f aca="true" t="shared" si="10" ref="N138">ROUND(L138*K138,2)</f>
        <v>0</v>
      </c>
      <c r="O138" s="1134"/>
      <c r="P138" s="1134"/>
      <c r="Q138" s="1134"/>
      <c r="R138" s="820"/>
      <c r="S138" s="811"/>
      <c r="T138" s="821"/>
      <c r="U138" s="801"/>
      <c r="V138" s="801"/>
      <c r="W138" s="805">
        <f>SUM(W149:W187)</f>
        <v>0</v>
      </c>
      <c r="X138" s="801"/>
      <c r="Y138" s="805">
        <f>SUM(Y149:Y187)</f>
        <v>0</v>
      </c>
      <c r="Z138" s="801"/>
      <c r="AA138" s="822">
        <f>SUM(AA149:AA187)</f>
        <v>0</v>
      </c>
      <c r="AC138" s="398"/>
      <c r="AD138" s="398"/>
      <c r="AE138" s="398"/>
      <c r="AT138" s="807" t="s">
        <v>68</v>
      </c>
      <c r="AU138" s="807" t="s">
        <v>76</v>
      </c>
      <c r="AY138" s="808" t="s">
        <v>125</v>
      </c>
      <c r="BK138" s="809" t="e">
        <f>SUM(BK149:BK187)</f>
        <v>#REF!</v>
      </c>
    </row>
    <row r="139" spans="2:65" s="811" customFormat="1" ht="30" customHeight="1">
      <c r="B139" s="812"/>
      <c r="C139" s="794" t="s">
        <v>231</v>
      </c>
      <c r="D139" s="813"/>
      <c r="E139" s="137" t="s">
        <v>1037</v>
      </c>
      <c r="F139" s="1129" t="s">
        <v>936</v>
      </c>
      <c r="G139" s="1129"/>
      <c r="H139" s="1129"/>
      <c r="I139" s="1129"/>
      <c r="J139" s="132" t="s">
        <v>198</v>
      </c>
      <c r="K139" s="127">
        <v>7</v>
      </c>
      <c r="L139" s="13"/>
      <c r="M139" s="128"/>
      <c r="N139" s="1134">
        <f aca="true" t="shared" si="11" ref="N139">ROUND(L139*K139,2)</f>
        <v>0</v>
      </c>
      <c r="O139" s="1134"/>
      <c r="P139" s="1134"/>
      <c r="Q139" s="1134"/>
      <c r="R139" s="814"/>
      <c r="T139" s="815" t="s">
        <v>5</v>
      </c>
      <c r="U139" s="816" t="s">
        <v>36</v>
      </c>
      <c r="V139" s="817">
        <v>0</v>
      </c>
      <c r="W139" s="817" t="e">
        <f>V139*#REF!</f>
        <v>#REF!</v>
      </c>
      <c r="X139" s="817">
        <v>0</v>
      </c>
      <c r="Y139" s="817" t="e">
        <f>X139*#REF!</f>
        <v>#REF!</v>
      </c>
      <c r="Z139" s="817">
        <v>0</v>
      </c>
      <c r="AA139" s="818" t="e">
        <f>Z139*#REF!</f>
        <v>#REF!</v>
      </c>
      <c r="AC139" s="398"/>
      <c r="AD139" s="398"/>
      <c r="AE139" s="398"/>
      <c r="AT139" s="819" t="s">
        <v>126</v>
      </c>
      <c r="AU139" s="819" t="s">
        <v>80</v>
      </c>
      <c r="AY139" s="819" t="s">
        <v>125</v>
      </c>
      <c r="BE139" s="809">
        <f>IF(U139="základní",#REF!,0)</f>
        <v>0</v>
      </c>
      <c r="BF139" s="809" t="e">
        <f>IF(U139="snížená",#REF!,0)</f>
        <v>#REF!</v>
      </c>
      <c r="BG139" s="809">
        <f>IF(U139="zákl. přenesená",#REF!,0)</f>
        <v>0</v>
      </c>
      <c r="BH139" s="809">
        <f>IF(U139="sníž. přenesená",#REF!,0)</f>
        <v>0</v>
      </c>
      <c r="BI139" s="809">
        <f>IF(U139="nulová",#REF!,0)</f>
        <v>0</v>
      </c>
      <c r="BJ139" s="819" t="s">
        <v>80</v>
      </c>
      <c r="BK139" s="809" t="e">
        <f>ROUND(#REF!*#REF!,2)</f>
        <v>#REF!</v>
      </c>
      <c r="BL139" s="819" t="s">
        <v>128</v>
      </c>
      <c r="BM139" s="819" t="s">
        <v>180</v>
      </c>
    </row>
    <row r="140" spans="2:65" s="811" customFormat="1" ht="30" customHeight="1">
      <c r="B140" s="812"/>
      <c r="C140" s="794" t="s">
        <v>232</v>
      </c>
      <c r="D140" s="813"/>
      <c r="E140" s="137" t="s">
        <v>1038</v>
      </c>
      <c r="F140" s="1094" t="s">
        <v>2244</v>
      </c>
      <c r="G140" s="1094"/>
      <c r="H140" s="1094"/>
      <c r="I140" s="1094"/>
      <c r="J140" s="132" t="s">
        <v>198</v>
      </c>
      <c r="K140" s="127">
        <v>127</v>
      </c>
      <c r="L140" s="13"/>
      <c r="M140" s="128"/>
      <c r="N140" s="1134">
        <f aca="true" t="shared" si="12" ref="N140">ROUND(L140*K140,2)</f>
        <v>0</v>
      </c>
      <c r="O140" s="1134"/>
      <c r="P140" s="1134"/>
      <c r="Q140" s="1134"/>
      <c r="R140" s="814"/>
      <c r="T140" s="815" t="s">
        <v>5</v>
      </c>
      <c r="U140" s="816" t="s">
        <v>36</v>
      </c>
      <c r="V140" s="817">
        <v>0</v>
      </c>
      <c r="W140" s="817" t="e">
        <f>V140*#REF!</f>
        <v>#REF!</v>
      </c>
      <c r="X140" s="817">
        <v>0</v>
      </c>
      <c r="Y140" s="817" t="e">
        <f>X140*#REF!</f>
        <v>#REF!</v>
      </c>
      <c r="Z140" s="817">
        <v>0</v>
      </c>
      <c r="AA140" s="818" t="e">
        <f>Z140*#REF!</f>
        <v>#REF!</v>
      </c>
      <c r="AC140" s="398"/>
      <c r="AD140" s="398"/>
      <c r="AE140" s="398"/>
      <c r="AT140" s="819" t="s">
        <v>126</v>
      </c>
      <c r="AU140" s="819" t="s">
        <v>80</v>
      </c>
      <c r="AY140" s="819" t="s">
        <v>125</v>
      </c>
      <c r="BE140" s="809">
        <f>IF(U140="základní",#REF!,0)</f>
        <v>0</v>
      </c>
      <c r="BF140" s="809" t="e">
        <f>IF(U140="snížená",#REF!,0)</f>
        <v>#REF!</v>
      </c>
      <c r="BG140" s="809">
        <f>IF(U140="zákl. přenesená",#REF!,0)</f>
        <v>0</v>
      </c>
      <c r="BH140" s="809">
        <f>IF(U140="sníž. přenesená",#REF!,0)</f>
        <v>0</v>
      </c>
      <c r="BI140" s="809">
        <f>IF(U140="nulová",#REF!,0)</f>
        <v>0</v>
      </c>
      <c r="BJ140" s="819" t="s">
        <v>80</v>
      </c>
      <c r="BK140" s="809" t="e">
        <f>ROUND(#REF!*#REF!,2)</f>
        <v>#REF!</v>
      </c>
      <c r="BL140" s="819" t="s">
        <v>128</v>
      </c>
      <c r="BM140" s="819" t="s">
        <v>180</v>
      </c>
    </row>
    <row r="141" spans="2:65" s="811" customFormat="1" ht="30" customHeight="1">
      <c r="B141" s="812"/>
      <c r="C141" s="794" t="s">
        <v>233</v>
      </c>
      <c r="D141" s="813"/>
      <c r="E141" s="137" t="s">
        <v>1039</v>
      </c>
      <c r="F141" s="1120" t="s">
        <v>937</v>
      </c>
      <c r="G141" s="1121"/>
      <c r="H141" s="1121"/>
      <c r="I141" s="1122"/>
      <c r="J141" s="132" t="s">
        <v>198</v>
      </c>
      <c r="K141" s="127">
        <v>17</v>
      </c>
      <c r="L141" s="13"/>
      <c r="M141" s="128"/>
      <c r="N141" s="1134">
        <f aca="true" t="shared" si="13" ref="N141:N147">ROUND(L141*K141,2)</f>
        <v>0</v>
      </c>
      <c r="O141" s="1134"/>
      <c r="P141" s="1134"/>
      <c r="Q141" s="1134"/>
      <c r="R141" s="814"/>
      <c r="T141" s="815"/>
      <c r="U141" s="816"/>
      <c r="V141" s="817"/>
      <c r="W141" s="817"/>
      <c r="X141" s="817"/>
      <c r="Y141" s="817"/>
      <c r="Z141" s="817"/>
      <c r="AA141" s="818"/>
      <c r="AC141" s="398"/>
      <c r="AD141" s="398"/>
      <c r="AE141" s="398"/>
      <c r="AT141" s="819"/>
      <c r="AU141" s="819"/>
      <c r="AY141" s="819"/>
      <c r="BE141" s="809"/>
      <c r="BF141" s="809"/>
      <c r="BG141" s="809"/>
      <c r="BH141" s="809"/>
      <c r="BI141" s="809"/>
      <c r="BJ141" s="819"/>
      <c r="BK141" s="809"/>
      <c r="BL141" s="819"/>
      <c r="BM141" s="819"/>
    </row>
    <row r="142" spans="2:65" s="811" customFormat="1" ht="30" customHeight="1">
      <c r="B142" s="812"/>
      <c r="C142" s="794" t="s">
        <v>234</v>
      </c>
      <c r="D142" s="813"/>
      <c r="E142" s="137" t="s">
        <v>1040</v>
      </c>
      <c r="F142" s="1120" t="s">
        <v>938</v>
      </c>
      <c r="G142" s="1121"/>
      <c r="H142" s="1121"/>
      <c r="I142" s="1122"/>
      <c r="J142" s="132" t="s">
        <v>198</v>
      </c>
      <c r="K142" s="127">
        <v>53</v>
      </c>
      <c r="L142" s="13"/>
      <c r="M142" s="128"/>
      <c r="N142" s="1134">
        <f t="shared" si="13"/>
        <v>0</v>
      </c>
      <c r="O142" s="1134"/>
      <c r="P142" s="1134"/>
      <c r="Q142" s="1134"/>
      <c r="R142" s="814"/>
      <c r="T142" s="815"/>
      <c r="U142" s="816"/>
      <c r="V142" s="817"/>
      <c r="W142" s="817"/>
      <c r="X142" s="817"/>
      <c r="Y142" s="817"/>
      <c r="Z142" s="817"/>
      <c r="AA142" s="818"/>
      <c r="AC142" s="398"/>
      <c r="AD142" s="398"/>
      <c r="AE142" s="398"/>
      <c r="AT142" s="819"/>
      <c r="AU142" s="819"/>
      <c r="AY142" s="819"/>
      <c r="BE142" s="809"/>
      <c r="BF142" s="809"/>
      <c r="BG142" s="809"/>
      <c r="BH142" s="809"/>
      <c r="BI142" s="809"/>
      <c r="BJ142" s="819"/>
      <c r="BK142" s="809"/>
      <c r="BL142" s="819"/>
      <c r="BM142" s="819"/>
    </row>
    <row r="143" spans="2:65" s="811" customFormat="1" ht="30" customHeight="1">
      <c r="B143" s="812"/>
      <c r="C143" s="794" t="s">
        <v>235</v>
      </c>
      <c r="D143" s="813"/>
      <c r="E143" s="137" t="s">
        <v>1041</v>
      </c>
      <c r="F143" s="1120" t="s">
        <v>939</v>
      </c>
      <c r="G143" s="1121"/>
      <c r="H143" s="1121"/>
      <c r="I143" s="1122"/>
      <c r="J143" s="132" t="s">
        <v>198</v>
      </c>
      <c r="K143" s="127">
        <v>8</v>
      </c>
      <c r="L143" s="13"/>
      <c r="M143" s="128"/>
      <c r="N143" s="1134">
        <f t="shared" si="13"/>
        <v>0</v>
      </c>
      <c r="O143" s="1134"/>
      <c r="P143" s="1134"/>
      <c r="Q143" s="1134"/>
      <c r="R143" s="814"/>
      <c r="T143" s="815"/>
      <c r="U143" s="816"/>
      <c r="V143" s="817"/>
      <c r="W143" s="817"/>
      <c r="X143" s="817"/>
      <c r="Y143" s="817"/>
      <c r="Z143" s="817"/>
      <c r="AA143" s="818"/>
      <c r="AC143" s="398"/>
      <c r="AD143" s="398"/>
      <c r="AE143" s="398"/>
      <c r="AT143" s="819"/>
      <c r="AU143" s="819"/>
      <c r="AY143" s="819"/>
      <c r="BE143" s="809"/>
      <c r="BF143" s="809"/>
      <c r="BG143" s="809"/>
      <c r="BH143" s="809"/>
      <c r="BI143" s="809"/>
      <c r="BJ143" s="819"/>
      <c r="BK143" s="809"/>
      <c r="BL143" s="819"/>
      <c r="BM143" s="819"/>
    </row>
    <row r="144" spans="2:65" s="811" customFormat="1" ht="30" customHeight="1">
      <c r="B144" s="812"/>
      <c r="C144" s="794" t="s">
        <v>769</v>
      </c>
      <c r="D144" s="813"/>
      <c r="E144" s="137" t="s">
        <v>1042</v>
      </c>
      <c r="F144" s="1120" t="s">
        <v>940</v>
      </c>
      <c r="G144" s="1121"/>
      <c r="H144" s="1121"/>
      <c r="I144" s="1122"/>
      <c r="J144" s="132" t="s">
        <v>198</v>
      </c>
      <c r="K144" s="127">
        <v>1</v>
      </c>
      <c r="L144" s="13"/>
      <c r="M144" s="128"/>
      <c r="N144" s="1134">
        <f t="shared" si="13"/>
        <v>0</v>
      </c>
      <c r="O144" s="1134"/>
      <c r="P144" s="1134"/>
      <c r="Q144" s="1134"/>
      <c r="R144" s="814"/>
      <c r="T144" s="815"/>
      <c r="U144" s="816"/>
      <c r="V144" s="817"/>
      <c r="W144" s="817"/>
      <c r="X144" s="817"/>
      <c r="Y144" s="817"/>
      <c r="Z144" s="817"/>
      <c r="AA144" s="818"/>
      <c r="AC144" s="398"/>
      <c r="AD144" s="398"/>
      <c r="AE144" s="398"/>
      <c r="AT144" s="819"/>
      <c r="AU144" s="819"/>
      <c r="AY144" s="819"/>
      <c r="BE144" s="809"/>
      <c r="BF144" s="809"/>
      <c r="BG144" s="809"/>
      <c r="BH144" s="809"/>
      <c r="BI144" s="809"/>
      <c r="BJ144" s="819"/>
      <c r="BK144" s="809"/>
      <c r="BL144" s="819"/>
      <c r="BM144" s="819"/>
    </row>
    <row r="145" spans="2:65" s="811" customFormat="1" ht="30" customHeight="1">
      <c r="B145" s="812"/>
      <c r="C145" s="794" t="s">
        <v>770</v>
      </c>
      <c r="D145" s="813"/>
      <c r="E145" s="137" t="s">
        <v>1043</v>
      </c>
      <c r="F145" s="1120" t="s">
        <v>941</v>
      </c>
      <c r="G145" s="1121"/>
      <c r="H145" s="1121"/>
      <c r="I145" s="1122"/>
      <c r="J145" s="132" t="s">
        <v>198</v>
      </c>
      <c r="K145" s="127">
        <v>16</v>
      </c>
      <c r="L145" s="13"/>
      <c r="M145" s="128"/>
      <c r="N145" s="1134">
        <f t="shared" si="13"/>
        <v>0</v>
      </c>
      <c r="O145" s="1134"/>
      <c r="P145" s="1134"/>
      <c r="Q145" s="1134"/>
      <c r="R145" s="814"/>
      <c r="T145" s="815"/>
      <c r="U145" s="816"/>
      <c r="V145" s="817"/>
      <c r="W145" s="817"/>
      <c r="X145" s="817"/>
      <c r="Y145" s="817"/>
      <c r="Z145" s="817"/>
      <c r="AA145" s="818"/>
      <c r="AC145" s="398"/>
      <c r="AD145" s="398"/>
      <c r="AE145" s="398"/>
      <c r="AT145" s="819"/>
      <c r="AU145" s="819"/>
      <c r="AY145" s="819"/>
      <c r="BE145" s="809"/>
      <c r="BF145" s="809"/>
      <c r="BG145" s="809"/>
      <c r="BH145" s="809"/>
      <c r="BI145" s="809"/>
      <c r="BJ145" s="819"/>
      <c r="BK145" s="809"/>
      <c r="BL145" s="819"/>
      <c r="BM145" s="819"/>
    </row>
    <row r="146" spans="2:65" s="811" customFormat="1" ht="30" customHeight="1">
      <c r="B146" s="812"/>
      <c r="C146" s="794" t="s">
        <v>771</v>
      </c>
      <c r="D146" s="813"/>
      <c r="E146" s="137" t="s">
        <v>1044</v>
      </c>
      <c r="F146" s="1120" t="s">
        <v>942</v>
      </c>
      <c r="G146" s="1121"/>
      <c r="H146" s="1121"/>
      <c r="I146" s="1122"/>
      <c r="J146" s="132" t="s">
        <v>198</v>
      </c>
      <c r="K146" s="127">
        <v>11</v>
      </c>
      <c r="L146" s="13"/>
      <c r="M146" s="128"/>
      <c r="N146" s="1134">
        <f t="shared" si="13"/>
        <v>0</v>
      </c>
      <c r="O146" s="1134"/>
      <c r="P146" s="1134"/>
      <c r="Q146" s="1134"/>
      <c r="R146" s="814"/>
      <c r="T146" s="815"/>
      <c r="U146" s="816"/>
      <c r="V146" s="817"/>
      <c r="W146" s="817"/>
      <c r="X146" s="817"/>
      <c r="Y146" s="817"/>
      <c r="Z146" s="817"/>
      <c r="AA146" s="818"/>
      <c r="AC146" s="398"/>
      <c r="AD146" s="398"/>
      <c r="AE146" s="398"/>
      <c r="AT146" s="819"/>
      <c r="AU146" s="819"/>
      <c r="AY146" s="819"/>
      <c r="BE146" s="809"/>
      <c r="BF146" s="809"/>
      <c r="BG146" s="809"/>
      <c r="BH146" s="809"/>
      <c r="BI146" s="809"/>
      <c r="BJ146" s="819"/>
      <c r="BK146" s="809"/>
      <c r="BL146" s="819"/>
      <c r="BM146" s="819"/>
    </row>
    <row r="147" spans="2:65" s="811" customFormat="1" ht="30" customHeight="1">
      <c r="B147" s="812"/>
      <c r="C147" s="794" t="s">
        <v>772</v>
      </c>
      <c r="D147" s="813"/>
      <c r="E147" s="137" t="s">
        <v>1045</v>
      </c>
      <c r="F147" s="1120" t="s">
        <v>943</v>
      </c>
      <c r="G147" s="1121"/>
      <c r="H147" s="1121"/>
      <c r="I147" s="1122"/>
      <c r="J147" s="132" t="s">
        <v>198</v>
      </c>
      <c r="K147" s="127">
        <v>5</v>
      </c>
      <c r="L147" s="13"/>
      <c r="M147" s="128"/>
      <c r="N147" s="1134">
        <f t="shared" si="13"/>
        <v>0</v>
      </c>
      <c r="O147" s="1134"/>
      <c r="P147" s="1134"/>
      <c r="Q147" s="1134"/>
      <c r="R147" s="814"/>
      <c r="T147" s="815"/>
      <c r="U147" s="816"/>
      <c r="V147" s="817"/>
      <c r="W147" s="817"/>
      <c r="X147" s="817"/>
      <c r="Y147" s="817"/>
      <c r="Z147" s="817"/>
      <c r="AA147" s="818"/>
      <c r="AC147" s="398"/>
      <c r="AD147" s="398"/>
      <c r="AE147" s="398"/>
      <c r="AT147" s="819"/>
      <c r="AU147" s="819"/>
      <c r="AY147" s="819"/>
      <c r="BE147" s="809"/>
      <c r="BF147" s="809"/>
      <c r="BG147" s="809"/>
      <c r="BH147" s="809"/>
      <c r="BI147" s="809"/>
      <c r="BJ147" s="819"/>
      <c r="BK147" s="809"/>
      <c r="BL147" s="819"/>
      <c r="BM147" s="819"/>
    </row>
    <row r="148" spans="2:65" s="811" customFormat="1" ht="30" customHeight="1">
      <c r="B148" s="812"/>
      <c r="C148" s="794" t="s">
        <v>773</v>
      </c>
      <c r="D148" s="813"/>
      <c r="E148" s="137" t="s">
        <v>1046</v>
      </c>
      <c r="F148" s="1120" t="s">
        <v>944</v>
      </c>
      <c r="G148" s="1121"/>
      <c r="H148" s="1121"/>
      <c r="I148" s="1122"/>
      <c r="J148" s="132" t="s">
        <v>198</v>
      </c>
      <c r="K148" s="127">
        <v>2</v>
      </c>
      <c r="L148" s="13"/>
      <c r="M148" s="128"/>
      <c r="N148" s="1134">
        <f aca="true" t="shared" si="14" ref="N148">ROUND(L148*K148,2)</f>
        <v>0</v>
      </c>
      <c r="O148" s="1134"/>
      <c r="P148" s="1134"/>
      <c r="Q148" s="1134"/>
      <c r="R148" s="814"/>
      <c r="T148" s="815"/>
      <c r="U148" s="816"/>
      <c r="V148" s="817"/>
      <c r="W148" s="817"/>
      <c r="X148" s="817"/>
      <c r="Y148" s="817"/>
      <c r="Z148" s="817"/>
      <c r="AA148" s="818"/>
      <c r="AC148" s="398"/>
      <c r="AD148" s="398"/>
      <c r="AE148" s="398"/>
      <c r="AT148" s="819"/>
      <c r="AU148" s="819"/>
      <c r="AY148" s="819"/>
      <c r="BE148" s="809"/>
      <c r="BF148" s="809"/>
      <c r="BG148" s="809"/>
      <c r="BH148" s="809"/>
      <c r="BI148" s="809"/>
      <c r="BJ148" s="819"/>
      <c r="BK148" s="809"/>
      <c r="BL148" s="819"/>
      <c r="BM148" s="819"/>
    </row>
    <row r="149" spans="2:65" s="811" customFormat="1" ht="30" customHeight="1">
      <c r="B149" s="812"/>
      <c r="C149" s="794" t="s">
        <v>774</v>
      </c>
      <c r="D149" s="813"/>
      <c r="E149" s="137" t="s">
        <v>1047</v>
      </c>
      <c r="F149" s="1129" t="s">
        <v>1054</v>
      </c>
      <c r="G149" s="1129"/>
      <c r="H149" s="1129"/>
      <c r="I149" s="1129"/>
      <c r="J149" s="132" t="s">
        <v>131</v>
      </c>
      <c r="K149" s="127">
        <v>1</v>
      </c>
      <c r="L149" s="13"/>
      <c r="M149" s="128"/>
      <c r="N149" s="1134">
        <f aca="true" t="shared" si="15" ref="N149">ROUND(L149*K149,2)</f>
        <v>0</v>
      </c>
      <c r="O149" s="1134"/>
      <c r="P149" s="1134"/>
      <c r="Q149" s="1134"/>
      <c r="R149" s="814"/>
      <c r="T149" s="815" t="s">
        <v>5</v>
      </c>
      <c r="U149" s="816" t="s">
        <v>36</v>
      </c>
      <c r="V149" s="817">
        <v>0</v>
      </c>
      <c r="W149" s="817">
        <f>V149*K137</f>
        <v>0</v>
      </c>
      <c r="X149" s="817">
        <v>0</v>
      </c>
      <c r="Y149" s="817">
        <f>X149*K137</f>
        <v>0</v>
      </c>
      <c r="Z149" s="817">
        <v>0</v>
      </c>
      <c r="AA149" s="818">
        <f>Z149*K137</f>
        <v>0</v>
      </c>
      <c r="AC149" s="398"/>
      <c r="AD149" s="398"/>
      <c r="AE149" s="398"/>
      <c r="AT149" s="819" t="s">
        <v>126</v>
      </c>
      <c r="AU149" s="819" t="s">
        <v>80</v>
      </c>
      <c r="AY149" s="819" t="s">
        <v>125</v>
      </c>
      <c r="BE149" s="809">
        <f>IF(U149="základní",N137,0)</f>
        <v>0</v>
      </c>
      <c r="BF149" s="809">
        <f>IF(U149="snížená",N137,0)</f>
        <v>0</v>
      </c>
      <c r="BG149" s="809">
        <f>IF(U149="zákl. přenesená",N137,0)</f>
        <v>0</v>
      </c>
      <c r="BH149" s="809">
        <f>IF(U149="sníž. přenesená",N137,0)</f>
        <v>0</v>
      </c>
      <c r="BI149" s="809">
        <f>IF(U149="nulová",N137,0)</f>
        <v>0</v>
      </c>
      <c r="BJ149" s="819" t="s">
        <v>80</v>
      </c>
      <c r="BK149" s="809">
        <f>ROUND(L137*K137,2)</f>
        <v>0</v>
      </c>
      <c r="BL149" s="819" t="s">
        <v>128</v>
      </c>
      <c r="BM149" s="819" t="s">
        <v>181</v>
      </c>
    </row>
    <row r="150" spans="2:65" s="517" customFormat="1" ht="31.5" customHeight="1">
      <c r="B150" s="509"/>
      <c r="C150" s="181"/>
      <c r="D150" s="128" t="s">
        <v>988</v>
      </c>
      <c r="E150" s="128"/>
      <c r="F150" s="128"/>
      <c r="G150" s="128"/>
      <c r="H150" s="128"/>
      <c r="I150" s="128"/>
      <c r="J150" s="128"/>
      <c r="K150" s="128"/>
      <c r="L150" s="800"/>
      <c r="M150" s="128"/>
      <c r="N150" s="481"/>
      <c r="O150" s="482"/>
      <c r="P150" s="482"/>
      <c r="Q150" s="482"/>
      <c r="R150" s="509"/>
      <c r="S150" s="191"/>
      <c r="T150" s="823"/>
      <c r="U150" s="514"/>
      <c r="V150" s="515"/>
      <c r="W150" s="515"/>
      <c r="X150" s="515"/>
      <c r="Y150" s="515"/>
      <c r="Z150" s="515"/>
      <c r="AA150" s="516"/>
      <c r="AC150" s="398"/>
      <c r="AD150" s="398"/>
      <c r="AE150" s="398"/>
      <c r="AT150" s="518"/>
      <c r="AU150" s="518"/>
      <c r="AY150" s="518"/>
      <c r="BE150" s="519"/>
      <c r="BF150" s="519"/>
      <c r="BG150" s="519"/>
      <c r="BH150" s="519"/>
      <c r="BI150" s="519"/>
      <c r="BJ150" s="518"/>
      <c r="BK150" s="519"/>
      <c r="BL150" s="518"/>
      <c r="BM150" s="518"/>
    </row>
    <row r="151" spans="2:65" s="517" customFormat="1" ht="31.5" customHeight="1">
      <c r="B151" s="509"/>
      <c r="C151" s="183" t="s">
        <v>775</v>
      </c>
      <c r="D151" s="486"/>
      <c r="E151" s="94" t="s">
        <v>1048</v>
      </c>
      <c r="F151" s="960" t="s">
        <v>989</v>
      </c>
      <c r="G151" s="960"/>
      <c r="H151" s="960"/>
      <c r="I151" s="960"/>
      <c r="J151" s="94" t="s">
        <v>133</v>
      </c>
      <c r="K151" s="95">
        <f>7.16+16.1+7.18+4.15+7.22+14.45+15.38+14.35+14.85</f>
        <v>100.83999999999999</v>
      </c>
      <c r="L151" s="21"/>
      <c r="M151" s="128"/>
      <c r="N151" s="966">
        <f>ROUND(L151*K151,2)</f>
        <v>0</v>
      </c>
      <c r="O151" s="966"/>
      <c r="P151" s="966"/>
      <c r="Q151" s="966"/>
      <c r="R151" s="509"/>
      <c r="S151" s="191"/>
      <c r="T151" s="823"/>
      <c r="U151" s="514"/>
      <c r="V151" s="515"/>
      <c r="W151" s="515"/>
      <c r="X151" s="515"/>
      <c r="Y151" s="515"/>
      <c r="Z151" s="515"/>
      <c r="AA151" s="516"/>
      <c r="AC151" s="398"/>
      <c r="AD151" s="398"/>
      <c r="AE151" s="398"/>
      <c r="AT151" s="518"/>
      <c r="AU151" s="518"/>
      <c r="AY151" s="518"/>
      <c r="BE151" s="519"/>
      <c r="BF151" s="519"/>
      <c r="BG151" s="519"/>
      <c r="BH151" s="519"/>
      <c r="BI151" s="519"/>
      <c r="BJ151" s="518"/>
      <c r="BK151" s="519"/>
      <c r="BL151" s="518"/>
      <c r="BM151" s="518"/>
    </row>
    <row r="152" spans="2:65" s="778" customFormat="1" ht="31.5" customHeight="1">
      <c r="B152" s="770"/>
      <c r="C152" s="794" t="s">
        <v>776</v>
      </c>
      <c r="D152" s="824"/>
      <c r="E152" s="137" t="s">
        <v>1049</v>
      </c>
      <c r="F152" s="1116" t="s">
        <v>990</v>
      </c>
      <c r="G152" s="1116"/>
      <c r="H152" s="1116"/>
      <c r="I152" s="1116"/>
      <c r="J152" s="137" t="s">
        <v>757</v>
      </c>
      <c r="K152" s="126">
        <v>17</v>
      </c>
      <c r="L152" s="13"/>
      <c r="M152" s="128"/>
      <c r="N152" s="1139">
        <f aca="true" t="shared" si="16" ref="N152">ROUND(L152*K152,2)</f>
        <v>0</v>
      </c>
      <c r="O152" s="1139"/>
      <c r="P152" s="1139"/>
      <c r="Q152" s="1139"/>
      <c r="R152" s="770"/>
      <c r="S152" s="811"/>
      <c r="T152" s="825"/>
      <c r="U152" s="775"/>
      <c r="V152" s="776"/>
      <c r="W152" s="776"/>
      <c r="X152" s="776"/>
      <c r="Y152" s="776"/>
      <c r="Z152" s="776"/>
      <c r="AA152" s="777"/>
      <c r="AC152" s="398"/>
      <c r="AD152" s="398"/>
      <c r="AE152" s="398"/>
      <c r="AT152" s="779"/>
      <c r="AU152" s="779"/>
      <c r="AY152" s="779"/>
      <c r="BE152" s="780"/>
      <c r="BF152" s="780"/>
      <c r="BG152" s="780"/>
      <c r="BH152" s="780"/>
      <c r="BI152" s="780"/>
      <c r="BJ152" s="779"/>
      <c r="BK152" s="780"/>
      <c r="BL152" s="779"/>
      <c r="BM152" s="779"/>
    </row>
    <row r="153" spans="2:65" s="778" customFormat="1" ht="31.5" customHeight="1">
      <c r="B153" s="770"/>
      <c r="C153" s="794" t="s">
        <v>777</v>
      </c>
      <c r="D153" s="813"/>
      <c r="E153" s="137" t="s">
        <v>1050</v>
      </c>
      <c r="F153" s="1129" t="s">
        <v>991</v>
      </c>
      <c r="G153" s="1129"/>
      <c r="H153" s="1129"/>
      <c r="I153" s="1129"/>
      <c r="J153" s="132" t="s">
        <v>198</v>
      </c>
      <c r="K153" s="127">
        <v>21</v>
      </c>
      <c r="L153" s="13"/>
      <c r="M153" s="128"/>
      <c r="N153" s="1134">
        <f>ROUND(L153*K153,2)</f>
        <v>0</v>
      </c>
      <c r="O153" s="1134"/>
      <c r="P153" s="1134"/>
      <c r="Q153" s="1134"/>
      <c r="R153" s="770"/>
      <c r="S153" s="811"/>
      <c r="T153" s="825"/>
      <c r="U153" s="775"/>
      <c r="V153" s="776"/>
      <c r="W153" s="776"/>
      <c r="X153" s="776"/>
      <c r="Y153" s="776"/>
      <c r="Z153" s="776"/>
      <c r="AA153" s="777"/>
      <c r="AC153" s="398"/>
      <c r="AD153" s="398"/>
      <c r="AE153" s="398"/>
      <c r="AT153" s="779"/>
      <c r="AU153" s="779"/>
      <c r="AY153" s="779"/>
      <c r="BE153" s="780"/>
      <c r="BF153" s="780"/>
      <c r="BG153" s="780"/>
      <c r="BH153" s="780"/>
      <c r="BI153" s="780"/>
      <c r="BJ153" s="779"/>
      <c r="BK153" s="780"/>
      <c r="BL153" s="779"/>
      <c r="BM153" s="779"/>
    </row>
    <row r="154" spans="2:65" s="517" customFormat="1" ht="31.5" customHeight="1">
      <c r="B154" s="509"/>
      <c r="C154" s="183" t="s">
        <v>778</v>
      </c>
      <c r="D154" s="556"/>
      <c r="E154" s="94" t="s">
        <v>1051</v>
      </c>
      <c r="F154" s="1136" t="s">
        <v>992</v>
      </c>
      <c r="G154" s="1136"/>
      <c r="H154" s="1136"/>
      <c r="I154" s="1136"/>
      <c r="J154" s="101" t="s">
        <v>198</v>
      </c>
      <c r="K154" s="60">
        <f>K155+K156+K157</f>
        <v>28</v>
      </c>
      <c r="L154" s="21"/>
      <c r="M154" s="128"/>
      <c r="N154" s="998">
        <f aca="true" t="shared" si="17" ref="N154:N162">ROUND(L154*K154,2)</f>
        <v>0</v>
      </c>
      <c r="O154" s="998"/>
      <c r="P154" s="998"/>
      <c r="Q154" s="998"/>
      <c r="R154" s="509"/>
      <c r="S154" s="191"/>
      <c r="T154" s="823"/>
      <c r="U154" s="514"/>
      <c r="V154" s="515"/>
      <c r="W154" s="515"/>
      <c r="X154" s="515"/>
      <c r="Y154" s="515"/>
      <c r="Z154" s="515"/>
      <c r="AA154" s="516"/>
      <c r="AC154" s="398"/>
      <c r="AD154" s="398"/>
      <c r="AE154" s="398"/>
      <c r="AT154" s="518"/>
      <c r="AU154" s="518"/>
      <c r="AY154" s="518"/>
      <c r="BE154" s="519"/>
      <c r="BF154" s="519"/>
      <c r="BG154" s="519"/>
      <c r="BH154" s="519"/>
      <c r="BI154" s="519"/>
      <c r="BJ154" s="518"/>
      <c r="BK154" s="519"/>
      <c r="BL154" s="518"/>
      <c r="BM154" s="518"/>
    </row>
    <row r="155" spans="2:65" s="778" customFormat="1" ht="31.5" customHeight="1">
      <c r="B155" s="770"/>
      <c r="C155" s="794" t="s">
        <v>779</v>
      </c>
      <c r="D155" s="813"/>
      <c r="E155" s="137" t="s">
        <v>1055</v>
      </c>
      <c r="F155" s="1129" t="s">
        <v>993</v>
      </c>
      <c r="G155" s="1129"/>
      <c r="H155" s="1129"/>
      <c r="I155" s="1129"/>
      <c r="J155" s="132" t="s">
        <v>198</v>
      </c>
      <c r="K155" s="127">
        <v>16</v>
      </c>
      <c r="L155" s="13"/>
      <c r="M155" s="128"/>
      <c r="N155" s="1134">
        <f t="shared" si="17"/>
        <v>0</v>
      </c>
      <c r="O155" s="1134"/>
      <c r="P155" s="1134"/>
      <c r="Q155" s="1134"/>
      <c r="R155" s="770"/>
      <c r="S155" s="811"/>
      <c r="T155" s="825"/>
      <c r="U155" s="775"/>
      <c r="V155" s="776"/>
      <c r="W155" s="776"/>
      <c r="X155" s="776"/>
      <c r="Y155" s="776"/>
      <c r="Z155" s="776"/>
      <c r="AA155" s="777"/>
      <c r="AC155" s="398"/>
      <c r="AD155" s="398"/>
      <c r="AE155" s="398"/>
      <c r="AT155" s="779"/>
      <c r="AU155" s="779"/>
      <c r="AY155" s="779"/>
      <c r="BE155" s="780"/>
      <c r="BF155" s="780"/>
      <c r="BG155" s="780"/>
      <c r="BH155" s="780"/>
      <c r="BI155" s="780"/>
      <c r="BJ155" s="779"/>
      <c r="BK155" s="780"/>
      <c r="BL155" s="779"/>
      <c r="BM155" s="779"/>
    </row>
    <row r="156" spans="2:65" s="778" customFormat="1" ht="31.5" customHeight="1">
      <c r="B156" s="770"/>
      <c r="C156" s="794" t="s">
        <v>780</v>
      </c>
      <c r="D156" s="813"/>
      <c r="E156" s="137" t="s">
        <v>1056</v>
      </c>
      <c r="F156" s="1120" t="s">
        <v>994</v>
      </c>
      <c r="G156" s="1121"/>
      <c r="H156" s="1121"/>
      <c r="I156" s="1122"/>
      <c r="J156" s="132" t="s">
        <v>198</v>
      </c>
      <c r="K156" s="127">
        <v>8</v>
      </c>
      <c r="L156" s="13"/>
      <c r="M156" s="128"/>
      <c r="N156" s="1134">
        <f t="shared" si="17"/>
        <v>0</v>
      </c>
      <c r="O156" s="1134"/>
      <c r="P156" s="1134"/>
      <c r="Q156" s="1134"/>
      <c r="R156" s="770"/>
      <c r="S156" s="811"/>
      <c r="T156" s="825"/>
      <c r="U156" s="775"/>
      <c r="V156" s="776"/>
      <c r="W156" s="776"/>
      <c r="X156" s="776"/>
      <c r="Y156" s="776"/>
      <c r="Z156" s="776"/>
      <c r="AA156" s="777"/>
      <c r="AC156" s="398"/>
      <c r="AD156" s="398"/>
      <c r="AE156" s="398"/>
      <c r="AT156" s="779"/>
      <c r="AU156" s="779"/>
      <c r="AY156" s="779"/>
      <c r="BE156" s="780"/>
      <c r="BF156" s="780"/>
      <c r="BG156" s="780"/>
      <c r="BH156" s="780"/>
      <c r="BI156" s="780"/>
      <c r="BJ156" s="779"/>
      <c r="BK156" s="780"/>
      <c r="BL156" s="779"/>
      <c r="BM156" s="779"/>
    </row>
    <row r="157" spans="2:65" s="778" customFormat="1" ht="31.5" customHeight="1">
      <c r="B157" s="770"/>
      <c r="C157" s="794" t="s">
        <v>781</v>
      </c>
      <c r="D157" s="813"/>
      <c r="E157" s="137" t="s">
        <v>1057</v>
      </c>
      <c r="F157" s="1120" t="s">
        <v>995</v>
      </c>
      <c r="G157" s="1121"/>
      <c r="H157" s="1121"/>
      <c r="I157" s="1122"/>
      <c r="J157" s="132" t="s">
        <v>198</v>
      </c>
      <c r="K157" s="127">
        <v>4</v>
      </c>
      <c r="L157" s="13"/>
      <c r="M157" s="128"/>
      <c r="N157" s="1134">
        <f t="shared" si="17"/>
        <v>0</v>
      </c>
      <c r="O157" s="1134"/>
      <c r="P157" s="1134"/>
      <c r="Q157" s="1134"/>
      <c r="R157" s="770"/>
      <c r="S157" s="811"/>
      <c r="T157" s="825"/>
      <c r="U157" s="775"/>
      <c r="V157" s="776"/>
      <c r="W157" s="776"/>
      <c r="X157" s="776"/>
      <c r="Y157" s="776"/>
      <c r="Z157" s="776"/>
      <c r="AA157" s="777"/>
      <c r="AC157" s="398"/>
      <c r="AD157" s="398"/>
      <c r="AE157" s="398"/>
      <c r="AT157" s="779"/>
      <c r="AU157" s="779"/>
      <c r="AY157" s="779"/>
      <c r="BE157" s="780"/>
      <c r="BF157" s="780"/>
      <c r="BG157" s="780"/>
      <c r="BH157" s="780"/>
      <c r="BI157" s="780"/>
      <c r="BJ157" s="779"/>
      <c r="BK157" s="780"/>
      <c r="BL157" s="779"/>
      <c r="BM157" s="779"/>
    </row>
    <row r="158" spans="2:65" s="517" customFormat="1" ht="31.5" customHeight="1">
      <c r="B158" s="509"/>
      <c r="C158" s="183" t="s">
        <v>782</v>
      </c>
      <c r="D158" s="556"/>
      <c r="E158" s="94" t="s">
        <v>1058</v>
      </c>
      <c r="F158" s="1136" t="s">
        <v>996</v>
      </c>
      <c r="G158" s="1136"/>
      <c r="H158" s="1136"/>
      <c r="I158" s="1136"/>
      <c r="J158" s="101" t="s">
        <v>198</v>
      </c>
      <c r="K158" s="60">
        <v>4</v>
      </c>
      <c r="L158" s="21"/>
      <c r="M158" s="128"/>
      <c r="N158" s="998">
        <f t="shared" si="17"/>
        <v>0</v>
      </c>
      <c r="O158" s="998"/>
      <c r="P158" s="998"/>
      <c r="Q158" s="998"/>
      <c r="R158" s="509"/>
      <c r="S158" s="191"/>
      <c r="T158" s="823"/>
      <c r="U158" s="514"/>
      <c r="V158" s="515"/>
      <c r="W158" s="515"/>
      <c r="X158" s="515"/>
      <c r="Y158" s="515"/>
      <c r="Z158" s="515"/>
      <c r="AA158" s="516"/>
      <c r="AC158" s="398"/>
      <c r="AD158" s="398"/>
      <c r="AE158" s="398"/>
      <c r="AT158" s="518"/>
      <c r="AU158" s="518"/>
      <c r="AY158" s="518"/>
      <c r="BE158" s="519"/>
      <c r="BF158" s="519"/>
      <c r="BG158" s="519"/>
      <c r="BH158" s="519"/>
      <c r="BI158" s="519"/>
      <c r="BJ158" s="518"/>
      <c r="BK158" s="519"/>
      <c r="BL158" s="518"/>
      <c r="BM158" s="518"/>
    </row>
    <row r="159" spans="2:65" s="778" customFormat="1" ht="31.5" customHeight="1">
      <c r="B159" s="770"/>
      <c r="C159" s="794" t="s">
        <v>783</v>
      </c>
      <c r="D159" s="813"/>
      <c r="E159" s="137" t="s">
        <v>1059</v>
      </c>
      <c r="F159" s="1129" t="s">
        <v>997</v>
      </c>
      <c r="G159" s="1129"/>
      <c r="H159" s="1129"/>
      <c r="I159" s="1129"/>
      <c r="J159" s="132" t="s">
        <v>198</v>
      </c>
      <c r="K159" s="127">
        <v>4</v>
      </c>
      <c r="L159" s="13"/>
      <c r="M159" s="128"/>
      <c r="N159" s="1134">
        <f t="shared" si="17"/>
        <v>0</v>
      </c>
      <c r="O159" s="1134"/>
      <c r="P159" s="1134"/>
      <c r="Q159" s="1134"/>
      <c r="R159" s="770"/>
      <c r="S159" s="811"/>
      <c r="T159" s="825"/>
      <c r="U159" s="775"/>
      <c r="V159" s="776"/>
      <c r="W159" s="776"/>
      <c r="X159" s="776"/>
      <c r="Y159" s="776"/>
      <c r="Z159" s="776"/>
      <c r="AA159" s="777"/>
      <c r="AC159" s="398"/>
      <c r="AD159" s="398"/>
      <c r="AE159" s="398"/>
      <c r="AT159" s="779"/>
      <c r="AU159" s="779"/>
      <c r="AY159" s="779"/>
      <c r="BE159" s="780"/>
      <c r="BF159" s="780"/>
      <c r="BG159" s="780"/>
      <c r="BH159" s="780"/>
      <c r="BI159" s="780"/>
      <c r="BJ159" s="779"/>
      <c r="BK159" s="780"/>
      <c r="BL159" s="779"/>
      <c r="BM159" s="779"/>
    </row>
    <row r="160" spans="2:65" s="778" customFormat="1" ht="31.5" customHeight="1">
      <c r="B160" s="770"/>
      <c r="C160" s="794" t="s">
        <v>784</v>
      </c>
      <c r="D160" s="813"/>
      <c r="E160" s="137" t="s">
        <v>1060</v>
      </c>
      <c r="F160" s="1129" t="s">
        <v>998</v>
      </c>
      <c r="G160" s="1129"/>
      <c r="H160" s="1129"/>
      <c r="I160" s="1129"/>
      <c r="J160" s="132" t="s">
        <v>198</v>
      </c>
      <c r="K160" s="127">
        <v>4</v>
      </c>
      <c r="L160" s="13"/>
      <c r="M160" s="128"/>
      <c r="N160" s="1134">
        <f t="shared" si="17"/>
        <v>0</v>
      </c>
      <c r="O160" s="1134"/>
      <c r="P160" s="1134"/>
      <c r="Q160" s="1134"/>
      <c r="R160" s="770"/>
      <c r="S160" s="811"/>
      <c r="T160" s="825"/>
      <c r="U160" s="775"/>
      <c r="V160" s="776"/>
      <c r="W160" s="776"/>
      <c r="X160" s="776"/>
      <c r="Y160" s="776"/>
      <c r="Z160" s="776"/>
      <c r="AA160" s="777"/>
      <c r="AC160" s="398"/>
      <c r="AD160" s="398"/>
      <c r="AE160" s="398"/>
      <c r="AT160" s="779"/>
      <c r="AU160" s="779"/>
      <c r="AY160" s="779"/>
      <c r="BE160" s="780"/>
      <c r="BF160" s="780"/>
      <c r="BG160" s="780"/>
      <c r="BH160" s="780"/>
      <c r="BI160" s="780"/>
      <c r="BJ160" s="779"/>
      <c r="BK160" s="780"/>
      <c r="BL160" s="779"/>
      <c r="BM160" s="779"/>
    </row>
    <row r="161" spans="2:65" s="517" customFormat="1" ht="31.5" customHeight="1">
      <c r="B161" s="509"/>
      <c r="C161" s="183" t="s">
        <v>785</v>
      </c>
      <c r="D161" s="192"/>
      <c r="E161" s="94" t="s">
        <v>1061</v>
      </c>
      <c r="F161" s="1137" t="s">
        <v>999</v>
      </c>
      <c r="G161" s="1137"/>
      <c r="H161" s="1137"/>
      <c r="I161" s="1137"/>
      <c r="J161" s="138" t="s">
        <v>198</v>
      </c>
      <c r="K161" s="139">
        <v>2</v>
      </c>
      <c r="L161" s="21"/>
      <c r="M161" s="128"/>
      <c r="N161" s="1138">
        <f t="shared" si="17"/>
        <v>0</v>
      </c>
      <c r="O161" s="1138"/>
      <c r="P161" s="1138"/>
      <c r="Q161" s="1138"/>
      <c r="R161" s="509"/>
      <c r="S161" s="191"/>
      <c r="T161" s="823"/>
      <c r="U161" s="514"/>
      <c r="V161" s="515"/>
      <c r="W161" s="515"/>
      <c r="X161" s="515"/>
      <c r="Y161" s="515"/>
      <c r="Z161" s="515"/>
      <c r="AA161" s="516"/>
      <c r="AC161" s="398"/>
      <c r="AD161" s="398"/>
      <c r="AE161" s="398"/>
      <c r="AT161" s="518"/>
      <c r="AU161" s="518"/>
      <c r="AY161" s="518"/>
      <c r="BE161" s="519"/>
      <c r="BF161" s="519"/>
      <c r="BG161" s="519"/>
      <c r="BH161" s="519"/>
      <c r="BI161" s="519"/>
      <c r="BJ161" s="518"/>
      <c r="BK161" s="519"/>
      <c r="BL161" s="518"/>
      <c r="BM161" s="518"/>
    </row>
    <row r="162" spans="2:65" s="778" customFormat="1" ht="31.5" customHeight="1">
      <c r="B162" s="770"/>
      <c r="C162" s="794" t="s">
        <v>786</v>
      </c>
      <c r="D162" s="813"/>
      <c r="E162" s="137" t="s">
        <v>1062</v>
      </c>
      <c r="F162" s="1129" t="s">
        <v>1000</v>
      </c>
      <c r="G162" s="1129"/>
      <c r="H162" s="1129"/>
      <c r="I162" s="1129"/>
      <c r="J162" s="132" t="s">
        <v>131</v>
      </c>
      <c r="K162" s="127">
        <v>1</v>
      </c>
      <c r="L162" s="13"/>
      <c r="M162" s="128"/>
      <c r="N162" s="1134">
        <f t="shared" si="17"/>
        <v>0</v>
      </c>
      <c r="O162" s="1134"/>
      <c r="P162" s="1134"/>
      <c r="Q162" s="1134"/>
      <c r="R162" s="770"/>
      <c r="S162" s="811"/>
      <c r="T162" s="825"/>
      <c r="U162" s="775"/>
      <c r="V162" s="776"/>
      <c r="W162" s="776"/>
      <c r="X162" s="776"/>
      <c r="Y162" s="776"/>
      <c r="Z162" s="776"/>
      <c r="AA162" s="777"/>
      <c r="AC162" s="398"/>
      <c r="AD162" s="398"/>
      <c r="AE162" s="398"/>
      <c r="AT162" s="779"/>
      <c r="AU162" s="779"/>
      <c r="AY162" s="779"/>
      <c r="BE162" s="780"/>
      <c r="BF162" s="780"/>
      <c r="BG162" s="780"/>
      <c r="BH162" s="780"/>
      <c r="BI162" s="780"/>
      <c r="BJ162" s="779"/>
      <c r="BK162" s="780"/>
      <c r="BL162" s="779"/>
      <c r="BM162" s="779"/>
    </row>
    <row r="163" spans="2:65" s="517" customFormat="1" ht="31.5" customHeight="1">
      <c r="B163" s="509"/>
      <c r="C163" s="181"/>
      <c r="D163" s="128" t="s">
        <v>1001</v>
      </c>
      <c r="E163" s="128"/>
      <c r="F163" s="128"/>
      <c r="G163" s="128"/>
      <c r="H163" s="128"/>
      <c r="I163" s="128"/>
      <c r="J163" s="128"/>
      <c r="K163" s="128"/>
      <c r="L163" s="800"/>
      <c r="M163" s="128"/>
      <c r="N163" s="481"/>
      <c r="O163" s="482"/>
      <c r="P163" s="482"/>
      <c r="Q163" s="482"/>
      <c r="R163" s="509"/>
      <c r="S163" s="191"/>
      <c r="T163" s="823"/>
      <c r="U163" s="514"/>
      <c r="V163" s="515"/>
      <c r="W163" s="515"/>
      <c r="X163" s="515"/>
      <c r="Y163" s="515"/>
      <c r="Z163" s="515"/>
      <c r="AA163" s="516"/>
      <c r="AC163" s="398"/>
      <c r="AD163" s="398"/>
      <c r="AE163" s="398"/>
      <c r="AT163" s="518"/>
      <c r="AU163" s="518"/>
      <c r="AY163" s="518"/>
      <c r="BE163" s="519"/>
      <c r="BF163" s="519"/>
      <c r="BG163" s="519"/>
      <c r="BH163" s="519"/>
      <c r="BI163" s="519"/>
      <c r="BJ163" s="518"/>
      <c r="BK163" s="519"/>
      <c r="BL163" s="518"/>
      <c r="BM163" s="518"/>
    </row>
    <row r="164" spans="2:65" s="517" customFormat="1" ht="31.5" customHeight="1">
      <c r="B164" s="509"/>
      <c r="C164" s="826" t="s">
        <v>787</v>
      </c>
      <c r="D164" s="192"/>
      <c r="E164" s="94" t="s">
        <v>1063</v>
      </c>
      <c r="F164" s="960" t="s">
        <v>1002</v>
      </c>
      <c r="G164" s="960"/>
      <c r="H164" s="960"/>
      <c r="I164" s="960"/>
      <c r="J164" s="138" t="s">
        <v>198</v>
      </c>
      <c r="K164" s="139">
        <f>K165+K166</f>
        <v>55</v>
      </c>
      <c r="L164" s="21"/>
      <c r="M164" s="128"/>
      <c r="N164" s="1138">
        <f aca="true" t="shared" si="18" ref="N164:N177">ROUND(L164*K164,2)</f>
        <v>0</v>
      </c>
      <c r="O164" s="1138"/>
      <c r="P164" s="1138"/>
      <c r="Q164" s="1138"/>
      <c r="R164" s="509"/>
      <c r="S164" s="191"/>
      <c r="T164" s="823"/>
      <c r="U164" s="514"/>
      <c r="V164" s="515"/>
      <c r="W164" s="515"/>
      <c r="X164" s="515"/>
      <c r="Y164" s="515"/>
      <c r="Z164" s="515"/>
      <c r="AA164" s="516"/>
      <c r="AC164" s="398"/>
      <c r="AD164" s="398"/>
      <c r="AE164" s="398"/>
      <c r="AT164" s="518"/>
      <c r="AU164" s="518"/>
      <c r="AY164" s="518"/>
      <c r="BE164" s="519"/>
      <c r="BF164" s="519"/>
      <c r="BG164" s="519"/>
      <c r="BH164" s="519"/>
      <c r="BI164" s="519"/>
      <c r="BJ164" s="518"/>
      <c r="BK164" s="519"/>
      <c r="BL164" s="518"/>
      <c r="BM164" s="518"/>
    </row>
    <row r="165" spans="2:65" s="778" customFormat="1" ht="31.5" customHeight="1">
      <c r="B165" s="770"/>
      <c r="C165" s="803" t="s">
        <v>788</v>
      </c>
      <c r="D165" s="813"/>
      <c r="E165" s="137" t="s">
        <v>1064</v>
      </c>
      <c r="F165" s="1129" t="s">
        <v>1003</v>
      </c>
      <c r="G165" s="1129"/>
      <c r="H165" s="1129"/>
      <c r="I165" s="1129"/>
      <c r="J165" s="132" t="s">
        <v>198</v>
      </c>
      <c r="K165" s="127">
        <v>27</v>
      </c>
      <c r="L165" s="13"/>
      <c r="M165" s="128"/>
      <c r="N165" s="1134">
        <f t="shared" si="18"/>
        <v>0</v>
      </c>
      <c r="O165" s="1134"/>
      <c r="P165" s="1134"/>
      <c r="Q165" s="1134"/>
      <c r="R165" s="770"/>
      <c r="S165" s="811"/>
      <c r="T165" s="825"/>
      <c r="U165" s="775"/>
      <c r="V165" s="776"/>
      <c r="W165" s="776"/>
      <c r="X165" s="776"/>
      <c r="Y165" s="776"/>
      <c r="Z165" s="776"/>
      <c r="AA165" s="777"/>
      <c r="AC165" s="398"/>
      <c r="AD165" s="398"/>
      <c r="AE165" s="398"/>
      <c r="AT165" s="779"/>
      <c r="AU165" s="779"/>
      <c r="AY165" s="779"/>
      <c r="BE165" s="780"/>
      <c r="BF165" s="780"/>
      <c r="BG165" s="780"/>
      <c r="BH165" s="780"/>
      <c r="BI165" s="780"/>
      <c r="BJ165" s="779"/>
      <c r="BK165" s="780"/>
      <c r="BL165" s="779"/>
      <c r="BM165" s="779"/>
    </row>
    <row r="166" spans="2:65" s="778" customFormat="1" ht="31.5" customHeight="1">
      <c r="B166" s="770"/>
      <c r="C166" s="803" t="s">
        <v>789</v>
      </c>
      <c r="D166" s="813"/>
      <c r="E166" s="137" t="s">
        <v>1065</v>
      </c>
      <c r="F166" s="1129" t="s">
        <v>1004</v>
      </c>
      <c r="G166" s="1129"/>
      <c r="H166" s="1129"/>
      <c r="I166" s="1129"/>
      <c r="J166" s="132" t="s">
        <v>198</v>
      </c>
      <c r="K166" s="127">
        <v>28</v>
      </c>
      <c r="L166" s="13"/>
      <c r="M166" s="128"/>
      <c r="N166" s="1134">
        <f t="shared" si="18"/>
        <v>0</v>
      </c>
      <c r="O166" s="1134"/>
      <c r="P166" s="1134"/>
      <c r="Q166" s="1134"/>
      <c r="R166" s="770"/>
      <c r="S166" s="811"/>
      <c r="T166" s="825"/>
      <c r="U166" s="775"/>
      <c r="V166" s="776"/>
      <c r="W166" s="776"/>
      <c r="X166" s="776"/>
      <c r="Y166" s="776"/>
      <c r="Z166" s="776"/>
      <c r="AA166" s="777"/>
      <c r="AC166" s="398"/>
      <c r="AD166" s="398"/>
      <c r="AE166" s="398"/>
      <c r="AT166" s="779"/>
      <c r="AU166" s="779"/>
      <c r="AY166" s="779"/>
      <c r="BE166" s="780"/>
      <c r="BF166" s="780"/>
      <c r="BG166" s="780"/>
      <c r="BH166" s="780"/>
      <c r="BI166" s="780"/>
      <c r="BJ166" s="779"/>
      <c r="BK166" s="780"/>
      <c r="BL166" s="779"/>
      <c r="BM166" s="779"/>
    </row>
    <row r="167" spans="2:65" s="517" customFormat="1" ht="31.5" customHeight="1">
      <c r="B167" s="509"/>
      <c r="C167" s="826" t="s">
        <v>790</v>
      </c>
      <c r="D167" s="192"/>
      <c r="E167" s="94" t="s">
        <v>1066</v>
      </c>
      <c r="F167" s="960" t="s">
        <v>1005</v>
      </c>
      <c r="G167" s="960"/>
      <c r="H167" s="960"/>
      <c r="I167" s="960"/>
      <c r="J167" s="138" t="s">
        <v>198</v>
      </c>
      <c r="K167" s="139">
        <f>K168+K169</f>
        <v>41</v>
      </c>
      <c r="L167" s="21"/>
      <c r="M167" s="128"/>
      <c r="N167" s="1138">
        <f t="shared" si="18"/>
        <v>0</v>
      </c>
      <c r="O167" s="1138"/>
      <c r="P167" s="1138"/>
      <c r="Q167" s="1138"/>
      <c r="R167" s="509"/>
      <c r="S167" s="191"/>
      <c r="T167" s="823"/>
      <c r="U167" s="514"/>
      <c r="V167" s="515"/>
      <c r="W167" s="515"/>
      <c r="X167" s="515"/>
      <c r="Y167" s="515"/>
      <c r="Z167" s="515"/>
      <c r="AA167" s="516"/>
      <c r="AC167" s="398"/>
      <c r="AD167" s="398"/>
      <c r="AE167" s="398"/>
      <c r="AT167" s="518"/>
      <c r="AU167" s="518"/>
      <c r="AY167" s="518"/>
      <c r="BE167" s="519"/>
      <c r="BF167" s="519"/>
      <c r="BG167" s="519"/>
      <c r="BH167" s="519"/>
      <c r="BI167" s="519"/>
      <c r="BJ167" s="518"/>
      <c r="BK167" s="519"/>
      <c r="BL167" s="518"/>
      <c r="BM167" s="518"/>
    </row>
    <row r="168" spans="2:65" s="778" customFormat="1" ht="31.5" customHeight="1">
      <c r="B168" s="770"/>
      <c r="C168" s="803" t="s">
        <v>791</v>
      </c>
      <c r="D168" s="813"/>
      <c r="E168" s="137" t="s">
        <v>1067</v>
      </c>
      <c r="F168" s="1129" t="s">
        <v>1006</v>
      </c>
      <c r="G168" s="1129"/>
      <c r="H168" s="1129"/>
      <c r="I168" s="1129"/>
      <c r="J168" s="132" t="s">
        <v>198</v>
      </c>
      <c r="K168" s="127">
        <v>12</v>
      </c>
      <c r="L168" s="13"/>
      <c r="M168" s="128"/>
      <c r="N168" s="1134">
        <f t="shared" si="18"/>
        <v>0</v>
      </c>
      <c r="O168" s="1134"/>
      <c r="P168" s="1134"/>
      <c r="Q168" s="1134"/>
      <c r="R168" s="770"/>
      <c r="S168" s="811"/>
      <c r="T168" s="825"/>
      <c r="U168" s="775"/>
      <c r="V168" s="776"/>
      <c r="W168" s="776"/>
      <c r="X168" s="776"/>
      <c r="Y168" s="776"/>
      <c r="Z168" s="776"/>
      <c r="AA168" s="777"/>
      <c r="AC168" s="398"/>
      <c r="AD168" s="398"/>
      <c r="AE168" s="398"/>
      <c r="AT168" s="779"/>
      <c r="AU168" s="779"/>
      <c r="AY168" s="779"/>
      <c r="BE168" s="780"/>
      <c r="BF168" s="780"/>
      <c r="BG168" s="780"/>
      <c r="BH168" s="780"/>
      <c r="BI168" s="780"/>
      <c r="BJ168" s="779"/>
      <c r="BK168" s="780"/>
      <c r="BL168" s="779"/>
      <c r="BM168" s="779"/>
    </row>
    <row r="169" spans="2:65" s="778" customFormat="1" ht="31.5" customHeight="1">
      <c r="B169" s="770"/>
      <c r="C169" s="803" t="s">
        <v>792</v>
      </c>
      <c r="D169" s="813"/>
      <c r="E169" s="137" t="s">
        <v>1068</v>
      </c>
      <c r="F169" s="1129" t="s">
        <v>1007</v>
      </c>
      <c r="G169" s="1129"/>
      <c r="H169" s="1129"/>
      <c r="I169" s="1129"/>
      <c r="J169" s="132" t="s">
        <v>198</v>
      </c>
      <c r="K169" s="127">
        <v>29</v>
      </c>
      <c r="L169" s="13"/>
      <c r="M169" s="128"/>
      <c r="N169" s="1134">
        <f t="shared" si="18"/>
        <v>0</v>
      </c>
      <c r="O169" s="1134"/>
      <c r="P169" s="1134"/>
      <c r="Q169" s="1134"/>
      <c r="R169" s="770"/>
      <c r="S169" s="811"/>
      <c r="T169" s="825"/>
      <c r="U169" s="775"/>
      <c r="V169" s="776"/>
      <c r="W169" s="776"/>
      <c r="X169" s="776"/>
      <c r="Y169" s="776"/>
      <c r="Z169" s="776"/>
      <c r="AA169" s="777"/>
      <c r="AC169" s="398"/>
      <c r="AD169" s="398"/>
      <c r="AE169" s="398"/>
      <c r="AT169" s="779"/>
      <c r="AU169" s="779"/>
      <c r="AY169" s="779"/>
      <c r="BE169" s="780"/>
      <c r="BF169" s="780"/>
      <c r="BG169" s="780"/>
      <c r="BH169" s="780"/>
      <c r="BI169" s="780"/>
      <c r="BJ169" s="779"/>
      <c r="BK169" s="780"/>
      <c r="BL169" s="779"/>
      <c r="BM169" s="779"/>
    </row>
    <row r="170" spans="2:65" s="517" customFormat="1" ht="31.5" customHeight="1">
      <c r="B170" s="509"/>
      <c r="C170" s="826" t="s">
        <v>793</v>
      </c>
      <c r="D170" s="192"/>
      <c r="E170" s="94" t="s">
        <v>1069</v>
      </c>
      <c r="F170" s="960" t="s">
        <v>1008</v>
      </c>
      <c r="G170" s="960"/>
      <c r="H170" s="960"/>
      <c r="I170" s="960"/>
      <c r="J170" s="138" t="s">
        <v>198</v>
      </c>
      <c r="K170" s="139">
        <v>2</v>
      </c>
      <c r="L170" s="21"/>
      <c r="M170" s="128"/>
      <c r="N170" s="1138">
        <f t="shared" si="18"/>
        <v>0</v>
      </c>
      <c r="O170" s="1138"/>
      <c r="P170" s="1138"/>
      <c r="Q170" s="1138"/>
      <c r="R170" s="509"/>
      <c r="S170" s="191"/>
      <c r="T170" s="823"/>
      <c r="U170" s="514"/>
      <c r="V170" s="515"/>
      <c r="W170" s="515"/>
      <c r="X170" s="515"/>
      <c r="Y170" s="515"/>
      <c r="Z170" s="515"/>
      <c r="AA170" s="516"/>
      <c r="AC170" s="398"/>
      <c r="AD170" s="398"/>
      <c r="AE170" s="398"/>
      <c r="AT170" s="518"/>
      <c r="AU170" s="518"/>
      <c r="AY170" s="518"/>
      <c r="BE170" s="519"/>
      <c r="BF170" s="519"/>
      <c r="BG170" s="519"/>
      <c r="BH170" s="519"/>
      <c r="BI170" s="519"/>
      <c r="BJ170" s="518"/>
      <c r="BK170" s="519"/>
      <c r="BL170" s="518"/>
      <c r="BM170" s="518"/>
    </row>
    <row r="171" spans="2:65" s="778" customFormat="1" ht="31.5" customHeight="1">
      <c r="B171" s="770"/>
      <c r="C171" s="803" t="s">
        <v>794</v>
      </c>
      <c r="D171" s="813"/>
      <c r="E171" s="137" t="s">
        <v>1070</v>
      </c>
      <c r="F171" s="1129" t="s">
        <v>1009</v>
      </c>
      <c r="G171" s="1129"/>
      <c r="H171" s="1129"/>
      <c r="I171" s="1129"/>
      <c r="J171" s="132" t="s">
        <v>198</v>
      </c>
      <c r="K171" s="127">
        <v>2</v>
      </c>
      <c r="L171" s="13"/>
      <c r="M171" s="128"/>
      <c r="N171" s="1134">
        <f t="shared" si="18"/>
        <v>0</v>
      </c>
      <c r="O171" s="1134"/>
      <c r="P171" s="1134"/>
      <c r="Q171" s="1134"/>
      <c r="R171" s="770"/>
      <c r="S171" s="811"/>
      <c r="T171" s="825"/>
      <c r="U171" s="775"/>
      <c r="V171" s="776"/>
      <c r="W171" s="776"/>
      <c r="X171" s="776"/>
      <c r="Y171" s="776"/>
      <c r="Z171" s="776"/>
      <c r="AA171" s="777"/>
      <c r="AC171" s="398"/>
      <c r="AD171" s="398"/>
      <c r="AE171" s="398"/>
      <c r="AT171" s="779"/>
      <c r="AU171" s="779"/>
      <c r="AY171" s="779"/>
      <c r="BE171" s="780"/>
      <c r="BF171" s="780"/>
      <c r="BG171" s="780"/>
      <c r="BH171" s="780"/>
      <c r="BI171" s="780"/>
      <c r="BJ171" s="779"/>
      <c r="BK171" s="780"/>
      <c r="BL171" s="779"/>
      <c r="BM171" s="779"/>
    </row>
    <row r="172" spans="2:65" s="517" customFormat="1" ht="31.5" customHeight="1">
      <c r="B172" s="509"/>
      <c r="C172" s="826" t="s">
        <v>795</v>
      </c>
      <c r="D172" s="192"/>
      <c r="E172" s="94" t="s">
        <v>1071</v>
      </c>
      <c r="F172" s="1137" t="s">
        <v>1010</v>
      </c>
      <c r="G172" s="1137"/>
      <c r="H172" s="1137"/>
      <c r="I172" s="1137"/>
      <c r="J172" s="138" t="s">
        <v>198</v>
      </c>
      <c r="K172" s="139">
        <v>3</v>
      </c>
      <c r="L172" s="21"/>
      <c r="M172" s="128"/>
      <c r="N172" s="1138">
        <f t="shared" si="18"/>
        <v>0</v>
      </c>
      <c r="O172" s="1138"/>
      <c r="P172" s="1138"/>
      <c r="Q172" s="1138"/>
      <c r="R172" s="509"/>
      <c r="S172" s="191"/>
      <c r="T172" s="823"/>
      <c r="U172" s="514"/>
      <c r="V172" s="515"/>
      <c r="W172" s="515"/>
      <c r="X172" s="515"/>
      <c r="Y172" s="515"/>
      <c r="Z172" s="515"/>
      <c r="AA172" s="516"/>
      <c r="AC172" s="398"/>
      <c r="AD172" s="398"/>
      <c r="AE172" s="398"/>
      <c r="AT172" s="518"/>
      <c r="AU172" s="518"/>
      <c r="AY172" s="518"/>
      <c r="BE172" s="519"/>
      <c r="BF172" s="519"/>
      <c r="BG172" s="519"/>
      <c r="BH172" s="519"/>
      <c r="BI172" s="519"/>
      <c r="BJ172" s="518"/>
      <c r="BK172" s="519"/>
      <c r="BL172" s="518"/>
      <c r="BM172" s="518"/>
    </row>
    <row r="173" spans="2:65" s="778" customFormat="1" ht="31.5" customHeight="1">
      <c r="B173" s="770"/>
      <c r="C173" s="803" t="s">
        <v>796</v>
      </c>
      <c r="D173" s="813"/>
      <c r="E173" s="137" t="s">
        <v>1072</v>
      </c>
      <c r="F173" s="1120" t="s">
        <v>1011</v>
      </c>
      <c r="G173" s="1121"/>
      <c r="H173" s="1121"/>
      <c r="I173" s="1122"/>
      <c r="J173" s="132" t="s">
        <v>198</v>
      </c>
      <c r="K173" s="127">
        <v>3</v>
      </c>
      <c r="L173" s="13"/>
      <c r="M173" s="128"/>
      <c r="N173" s="1134">
        <f t="shared" si="18"/>
        <v>0</v>
      </c>
      <c r="O173" s="1134"/>
      <c r="P173" s="1134"/>
      <c r="Q173" s="1134"/>
      <c r="R173" s="770"/>
      <c r="S173" s="811"/>
      <c r="T173" s="825"/>
      <c r="U173" s="775"/>
      <c r="V173" s="776"/>
      <c r="W173" s="776"/>
      <c r="X173" s="776"/>
      <c r="Y173" s="776"/>
      <c r="Z173" s="776"/>
      <c r="AA173" s="777"/>
      <c r="AC173" s="398"/>
      <c r="AD173" s="398"/>
      <c r="AE173" s="398"/>
      <c r="AT173" s="779"/>
      <c r="AU173" s="779"/>
      <c r="AY173" s="779"/>
      <c r="BE173" s="780"/>
      <c r="BF173" s="780"/>
      <c r="BG173" s="780"/>
      <c r="BH173" s="780"/>
      <c r="BI173" s="780"/>
      <c r="BJ173" s="779"/>
      <c r="BK173" s="780"/>
      <c r="BL173" s="779"/>
      <c r="BM173" s="779"/>
    </row>
    <row r="174" spans="2:65" s="517" customFormat="1" ht="31.5" customHeight="1">
      <c r="B174" s="509"/>
      <c r="C174" s="826" t="s">
        <v>797</v>
      </c>
      <c r="D174" s="192"/>
      <c r="E174" s="94" t="s">
        <v>1073</v>
      </c>
      <c r="F174" s="1140" t="s">
        <v>2222</v>
      </c>
      <c r="G174" s="1140"/>
      <c r="H174" s="1140"/>
      <c r="I174" s="1140"/>
      <c r="J174" s="140" t="s">
        <v>131</v>
      </c>
      <c r="K174" s="141">
        <v>1</v>
      </c>
      <c r="L174" s="35">
        <v>0</v>
      </c>
      <c r="M174" s="128"/>
      <c r="N174" s="1141">
        <f aca="true" t="shared" si="19" ref="N174:N175">ROUND(L174*K174,2)</f>
        <v>0</v>
      </c>
      <c r="O174" s="1141"/>
      <c r="P174" s="1141"/>
      <c r="Q174" s="1141"/>
      <c r="R174" s="509"/>
      <c r="S174" s="191"/>
      <c r="T174" s="823"/>
      <c r="U174" s="514"/>
      <c r="V174" s="515"/>
      <c r="W174" s="515"/>
      <c r="X174" s="515"/>
      <c r="Y174" s="515"/>
      <c r="Z174" s="515"/>
      <c r="AA174" s="516"/>
      <c r="AC174" s="398"/>
      <c r="AD174" s="398"/>
      <c r="AE174" s="398"/>
      <c r="AT174" s="518"/>
      <c r="AU174" s="518"/>
      <c r="AY174" s="518"/>
      <c r="BE174" s="519"/>
      <c r="BF174" s="519"/>
      <c r="BG174" s="519"/>
      <c r="BH174" s="519"/>
      <c r="BI174" s="519"/>
      <c r="BJ174" s="518"/>
      <c r="BK174" s="519"/>
      <c r="BL174" s="518"/>
      <c r="BM174" s="518"/>
    </row>
    <row r="175" spans="2:65" s="778" customFormat="1" ht="31.5" customHeight="1">
      <c r="B175" s="770"/>
      <c r="C175" s="803" t="s">
        <v>798</v>
      </c>
      <c r="D175" s="813"/>
      <c r="E175" s="137" t="s">
        <v>1074</v>
      </c>
      <c r="F175" s="1142" t="s">
        <v>2223</v>
      </c>
      <c r="G175" s="1143"/>
      <c r="H175" s="1143"/>
      <c r="I175" s="1144"/>
      <c r="J175" s="140" t="s">
        <v>131</v>
      </c>
      <c r="K175" s="141">
        <v>1</v>
      </c>
      <c r="L175" s="35">
        <v>0</v>
      </c>
      <c r="M175" s="128"/>
      <c r="N175" s="1141">
        <f t="shared" si="19"/>
        <v>0</v>
      </c>
      <c r="O175" s="1141"/>
      <c r="P175" s="1141"/>
      <c r="Q175" s="1141"/>
      <c r="R175" s="770"/>
      <c r="S175" s="811"/>
      <c r="T175" s="825"/>
      <c r="U175" s="775"/>
      <c r="V175" s="776"/>
      <c r="W175" s="776"/>
      <c r="X175" s="776"/>
      <c r="Y175" s="776"/>
      <c r="Z175" s="776"/>
      <c r="AA175" s="777"/>
      <c r="AC175" s="398"/>
      <c r="AD175" s="398"/>
      <c r="AE175" s="398"/>
      <c r="AT175" s="779"/>
      <c r="AU175" s="779"/>
      <c r="AY175" s="779"/>
      <c r="BE175" s="780"/>
      <c r="BF175" s="780"/>
      <c r="BG175" s="780"/>
      <c r="BH175" s="780"/>
      <c r="BI175" s="780"/>
      <c r="BJ175" s="779"/>
      <c r="BK175" s="780"/>
      <c r="BL175" s="779"/>
      <c r="BM175" s="779"/>
    </row>
    <row r="176" spans="2:65" s="517" customFormat="1" ht="31.5" customHeight="1">
      <c r="B176" s="509"/>
      <c r="C176" s="826" t="s">
        <v>799</v>
      </c>
      <c r="D176" s="511"/>
      <c r="E176" s="94" t="s">
        <v>1075</v>
      </c>
      <c r="F176" s="1015" t="s">
        <v>987</v>
      </c>
      <c r="G176" s="1016"/>
      <c r="H176" s="1016"/>
      <c r="I176" s="1017"/>
      <c r="J176" s="102" t="s">
        <v>198</v>
      </c>
      <c r="K176" s="110">
        <v>15</v>
      </c>
      <c r="L176" s="21"/>
      <c r="M176" s="128"/>
      <c r="N176" s="994">
        <f t="shared" si="18"/>
        <v>0</v>
      </c>
      <c r="O176" s="994"/>
      <c r="P176" s="994"/>
      <c r="Q176" s="994"/>
      <c r="R176" s="509"/>
      <c r="S176" s="191"/>
      <c r="T176" s="823"/>
      <c r="U176" s="514"/>
      <c r="V176" s="515"/>
      <c r="W176" s="515"/>
      <c r="X176" s="515"/>
      <c r="Y176" s="515"/>
      <c r="Z176" s="515"/>
      <c r="AA176" s="516"/>
      <c r="AC176" s="398"/>
      <c r="AD176" s="398"/>
      <c r="AE176" s="398"/>
      <c r="AT176" s="518"/>
      <c r="AU176" s="518"/>
      <c r="AY176" s="518"/>
      <c r="BE176" s="519"/>
      <c r="BF176" s="519"/>
      <c r="BG176" s="519"/>
      <c r="BH176" s="519"/>
      <c r="BI176" s="519"/>
      <c r="BJ176" s="518"/>
      <c r="BK176" s="519"/>
      <c r="BL176" s="518"/>
      <c r="BM176" s="518"/>
    </row>
    <row r="177" spans="2:65" s="778" customFormat="1" ht="31.5" customHeight="1">
      <c r="B177" s="770"/>
      <c r="C177" s="803" t="s">
        <v>800</v>
      </c>
      <c r="D177" s="813"/>
      <c r="E177" s="137" t="s">
        <v>1076</v>
      </c>
      <c r="F177" s="1120" t="s">
        <v>1012</v>
      </c>
      <c r="G177" s="1121"/>
      <c r="H177" s="1121"/>
      <c r="I177" s="1122"/>
      <c r="J177" s="132" t="s">
        <v>198</v>
      </c>
      <c r="K177" s="127">
        <v>15</v>
      </c>
      <c r="L177" s="13"/>
      <c r="M177" s="128"/>
      <c r="N177" s="1134">
        <f t="shared" si="18"/>
        <v>0</v>
      </c>
      <c r="O177" s="1134"/>
      <c r="P177" s="1134"/>
      <c r="Q177" s="1134"/>
      <c r="R177" s="770"/>
      <c r="S177" s="811"/>
      <c r="T177" s="825"/>
      <c r="U177" s="775"/>
      <c r="V177" s="776"/>
      <c r="W177" s="776"/>
      <c r="X177" s="776"/>
      <c r="Y177" s="776"/>
      <c r="Z177" s="776"/>
      <c r="AA177" s="777"/>
      <c r="AC177" s="398"/>
      <c r="AD177" s="398"/>
      <c r="AE177" s="398"/>
      <c r="AT177" s="779"/>
      <c r="AU177" s="779"/>
      <c r="AY177" s="779"/>
      <c r="BE177" s="780"/>
      <c r="BF177" s="780"/>
      <c r="BG177" s="780"/>
      <c r="BH177" s="780"/>
      <c r="BI177" s="780"/>
      <c r="BJ177" s="779"/>
      <c r="BK177" s="780"/>
      <c r="BL177" s="779"/>
      <c r="BM177" s="779"/>
    </row>
    <row r="178" spans="2:65" s="517" customFormat="1" ht="31.5" customHeight="1">
      <c r="B178" s="509"/>
      <c r="C178" s="181"/>
      <c r="D178" s="128" t="s">
        <v>254</v>
      </c>
      <c r="E178" s="128"/>
      <c r="F178" s="128"/>
      <c r="G178" s="128"/>
      <c r="H178" s="128"/>
      <c r="I178" s="128"/>
      <c r="J178" s="128"/>
      <c r="K178" s="128"/>
      <c r="L178" s="800"/>
      <c r="M178" s="128"/>
      <c r="N178" s="481"/>
      <c r="O178" s="482"/>
      <c r="P178" s="482"/>
      <c r="Q178" s="482"/>
      <c r="R178" s="509"/>
      <c r="S178" s="191"/>
      <c r="T178" s="823"/>
      <c r="U178" s="514"/>
      <c r="V178" s="515"/>
      <c r="W178" s="515"/>
      <c r="X178" s="515"/>
      <c r="Y178" s="515"/>
      <c r="Z178" s="515"/>
      <c r="AA178" s="516"/>
      <c r="AC178" s="398"/>
      <c r="AD178" s="398"/>
      <c r="AE178" s="398"/>
      <c r="AT178" s="518"/>
      <c r="AU178" s="518"/>
      <c r="AY178" s="518"/>
      <c r="BE178" s="519"/>
      <c r="BF178" s="519"/>
      <c r="BG178" s="519"/>
      <c r="BH178" s="519"/>
      <c r="BI178" s="519"/>
      <c r="BJ178" s="518"/>
      <c r="BK178" s="519"/>
      <c r="BL178" s="518"/>
      <c r="BM178" s="518"/>
    </row>
    <row r="179" spans="2:65" s="517" customFormat="1" ht="31.5" customHeight="1">
      <c r="B179" s="509"/>
      <c r="C179" s="826" t="s">
        <v>801</v>
      </c>
      <c r="D179" s="511"/>
      <c r="E179" s="94" t="s">
        <v>1077</v>
      </c>
      <c r="F179" s="999" t="s">
        <v>985</v>
      </c>
      <c r="G179" s="999"/>
      <c r="H179" s="999"/>
      <c r="I179" s="999"/>
      <c r="J179" s="102" t="s">
        <v>198</v>
      </c>
      <c r="K179" s="110">
        <v>29</v>
      </c>
      <c r="L179" s="21"/>
      <c r="M179" s="128"/>
      <c r="N179" s="994">
        <f aca="true" t="shared" si="20" ref="N179:N181">ROUND(L179*K179,2)</f>
        <v>0</v>
      </c>
      <c r="O179" s="994"/>
      <c r="P179" s="994"/>
      <c r="Q179" s="994"/>
      <c r="R179" s="509"/>
      <c r="S179" s="191"/>
      <c r="T179" s="823" t="s">
        <v>5</v>
      </c>
      <c r="U179" s="514" t="s">
        <v>36</v>
      </c>
      <c r="V179" s="515">
        <v>0</v>
      </c>
      <c r="W179" s="515">
        <f>V179*K191</f>
        <v>0</v>
      </c>
      <c r="X179" s="515">
        <v>0</v>
      </c>
      <c r="Y179" s="515">
        <f>X179*K191</f>
        <v>0</v>
      </c>
      <c r="Z179" s="515">
        <v>0</v>
      </c>
      <c r="AA179" s="516">
        <f>Z179*K191</f>
        <v>0</v>
      </c>
      <c r="AC179" s="398"/>
      <c r="AD179" s="398"/>
      <c r="AE179" s="398"/>
      <c r="AT179" s="518" t="s">
        <v>126</v>
      </c>
      <c r="AU179" s="518" t="s">
        <v>80</v>
      </c>
      <c r="AY179" s="518" t="s">
        <v>125</v>
      </c>
      <c r="BE179" s="519">
        <f>IF(U179="základní",N191,0)</f>
        <v>0</v>
      </c>
      <c r="BF179" s="519">
        <f>IF(U179="snížená",N191,0)</f>
        <v>0</v>
      </c>
      <c r="BG179" s="519">
        <f>IF(U179="zákl. přenesená",N191,0)</f>
        <v>0</v>
      </c>
      <c r="BH179" s="519">
        <f>IF(U179="sníž. přenesená",N191,0)</f>
        <v>0</v>
      </c>
      <c r="BI179" s="519">
        <f>IF(U179="nulová",N191,0)</f>
        <v>0</v>
      </c>
      <c r="BJ179" s="518" t="s">
        <v>80</v>
      </c>
      <c r="BK179" s="519">
        <f>ROUND(L191*K191,2)</f>
        <v>0</v>
      </c>
      <c r="BL179" s="518" t="s">
        <v>128</v>
      </c>
      <c r="BM179" s="518" t="s">
        <v>189</v>
      </c>
    </row>
    <row r="180" spans="2:63" s="787" customFormat="1" ht="29.85" customHeight="1">
      <c r="B180" s="789"/>
      <c r="C180" s="803" t="s">
        <v>802</v>
      </c>
      <c r="D180" s="813"/>
      <c r="E180" s="137" t="s">
        <v>1078</v>
      </c>
      <c r="F180" s="1129" t="s">
        <v>986</v>
      </c>
      <c r="G180" s="1129"/>
      <c r="H180" s="1129"/>
      <c r="I180" s="1129"/>
      <c r="J180" s="132" t="s">
        <v>198</v>
      </c>
      <c r="K180" s="127">
        <v>29</v>
      </c>
      <c r="L180" s="13"/>
      <c r="M180" s="128"/>
      <c r="N180" s="1134">
        <f t="shared" si="20"/>
        <v>0</v>
      </c>
      <c r="O180" s="1134"/>
      <c r="P180" s="1134"/>
      <c r="Q180" s="1134"/>
      <c r="R180" s="789"/>
      <c r="S180" s="811"/>
      <c r="T180" s="788"/>
      <c r="U180" s="789"/>
      <c r="V180" s="789"/>
      <c r="W180" s="790">
        <f>SUM(W185:W190)</f>
        <v>0</v>
      </c>
      <c r="X180" s="789"/>
      <c r="Y180" s="790">
        <f>SUM(Y185:Y190)</f>
        <v>0</v>
      </c>
      <c r="Z180" s="789"/>
      <c r="AA180" s="791">
        <f>SUM(AA185:AA190)</f>
        <v>0</v>
      </c>
      <c r="AC180" s="398"/>
      <c r="AD180" s="398"/>
      <c r="AE180" s="398"/>
      <c r="AT180" s="792" t="s">
        <v>68</v>
      </c>
      <c r="AU180" s="792" t="s">
        <v>76</v>
      </c>
      <c r="AY180" s="793" t="s">
        <v>125</v>
      </c>
      <c r="BK180" s="780">
        <f>SUM(BK185:BK190)</f>
        <v>0</v>
      </c>
    </row>
    <row r="181" spans="2:65" s="811" customFormat="1" ht="22.5" customHeight="1">
      <c r="B181" s="827"/>
      <c r="C181" s="803" t="s">
        <v>803</v>
      </c>
      <c r="D181" s="813"/>
      <c r="E181" s="137" t="s">
        <v>1079</v>
      </c>
      <c r="F181" s="1129" t="s">
        <v>945</v>
      </c>
      <c r="G181" s="1129"/>
      <c r="H181" s="1129"/>
      <c r="I181" s="1129"/>
      <c r="J181" s="132" t="s">
        <v>131</v>
      </c>
      <c r="K181" s="127">
        <v>1</v>
      </c>
      <c r="L181" s="13"/>
      <c r="M181" s="128"/>
      <c r="N181" s="1134">
        <f t="shared" si="20"/>
        <v>0</v>
      </c>
      <c r="O181" s="1134"/>
      <c r="P181" s="1134"/>
      <c r="Q181" s="1134"/>
      <c r="R181" s="827"/>
      <c r="T181" s="815"/>
      <c r="U181" s="816"/>
      <c r="V181" s="817"/>
      <c r="W181" s="817"/>
      <c r="X181" s="817"/>
      <c r="Y181" s="817"/>
      <c r="Z181" s="817"/>
      <c r="AA181" s="818"/>
      <c r="AC181" s="398"/>
      <c r="AD181" s="398"/>
      <c r="AE181" s="398"/>
      <c r="AT181" s="819" t="s">
        <v>126</v>
      </c>
      <c r="AU181" s="819" t="s">
        <v>80</v>
      </c>
      <c r="AY181" s="819" t="s">
        <v>125</v>
      </c>
      <c r="BE181" s="809">
        <f>IF(U181="základní",#REF!,0)</f>
        <v>0</v>
      </c>
      <c r="BF181" s="809">
        <f>IF(U181="snížená",#REF!,0)</f>
        <v>0</v>
      </c>
      <c r="BG181" s="809">
        <f>IF(U181="zákl. přenesená",#REF!,0)</f>
        <v>0</v>
      </c>
      <c r="BH181" s="809">
        <f>IF(U181="sníž. přenesená",#REF!,0)</f>
        <v>0</v>
      </c>
      <c r="BI181" s="809">
        <f>IF(U181="nulová",#REF!,0)</f>
        <v>0</v>
      </c>
      <c r="BJ181" s="819" t="s">
        <v>80</v>
      </c>
      <c r="BK181" s="809" t="e">
        <f>ROUND(#REF!*#REF!,2)</f>
        <v>#REF!</v>
      </c>
      <c r="BL181" s="819" t="s">
        <v>128</v>
      </c>
      <c r="BM181" s="819" t="s">
        <v>187</v>
      </c>
    </row>
    <row r="182" spans="2:63" s="398" customFormat="1" ht="29.85" customHeight="1">
      <c r="B182" s="181"/>
      <c r="C182" s="826" t="s">
        <v>804</v>
      </c>
      <c r="D182" s="511"/>
      <c r="E182" s="94" t="s">
        <v>1080</v>
      </c>
      <c r="F182" s="1015" t="s">
        <v>1053</v>
      </c>
      <c r="G182" s="1016"/>
      <c r="H182" s="1016"/>
      <c r="I182" s="1017"/>
      <c r="J182" s="102" t="s">
        <v>131</v>
      </c>
      <c r="K182" s="110">
        <v>1</v>
      </c>
      <c r="L182" s="21"/>
      <c r="M182" s="128"/>
      <c r="N182" s="994">
        <f aca="true" t="shared" si="21" ref="N182:N184">ROUND(L182*K182,2)</f>
        <v>0</v>
      </c>
      <c r="O182" s="994"/>
      <c r="P182" s="994"/>
      <c r="Q182" s="994"/>
      <c r="R182" s="181"/>
      <c r="S182" s="191"/>
      <c r="T182" s="401"/>
      <c r="U182" s="181"/>
      <c r="V182" s="181"/>
      <c r="W182" s="402"/>
      <c r="X182" s="181"/>
      <c r="Y182" s="402"/>
      <c r="Z182" s="181"/>
      <c r="AA182" s="403"/>
      <c r="AT182" s="405"/>
      <c r="AU182" s="405"/>
      <c r="AY182" s="404"/>
      <c r="BK182" s="406"/>
    </row>
    <row r="183" spans="2:63" s="398" customFormat="1" ht="29.85" customHeight="1">
      <c r="B183" s="828"/>
      <c r="C183" s="829" t="s">
        <v>805</v>
      </c>
      <c r="D183" s="718"/>
      <c r="E183" s="767" t="s">
        <v>1081</v>
      </c>
      <c r="F183" s="954" t="s">
        <v>206</v>
      </c>
      <c r="G183" s="954"/>
      <c r="H183" s="954"/>
      <c r="I183" s="954"/>
      <c r="J183" s="103" t="s">
        <v>2227</v>
      </c>
      <c r="K183" s="45">
        <v>1</v>
      </c>
      <c r="L183" s="122"/>
      <c r="M183" s="128"/>
      <c r="N183" s="1009">
        <f t="shared" si="21"/>
        <v>0</v>
      </c>
      <c r="O183" s="1009"/>
      <c r="P183" s="1009"/>
      <c r="Q183" s="1009"/>
      <c r="R183" s="181"/>
      <c r="S183" s="191"/>
      <c r="T183" s="401"/>
      <c r="U183" s="181"/>
      <c r="V183" s="181"/>
      <c r="W183" s="402"/>
      <c r="X183" s="181"/>
      <c r="Y183" s="402"/>
      <c r="Z183" s="181"/>
      <c r="AA183" s="403"/>
      <c r="AT183" s="405"/>
      <c r="AU183" s="405"/>
      <c r="AY183" s="404"/>
      <c r="BK183" s="406"/>
    </row>
    <row r="184" spans="2:63" s="398" customFormat="1" ht="29.85" customHeight="1">
      <c r="B184" s="828"/>
      <c r="C184" s="829" t="s">
        <v>806</v>
      </c>
      <c r="D184" s="718"/>
      <c r="E184" s="767" t="s">
        <v>1082</v>
      </c>
      <c r="F184" s="954" t="s">
        <v>2226</v>
      </c>
      <c r="G184" s="954"/>
      <c r="H184" s="954"/>
      <c r="I184" s="954"/>
      <c r="J184" s="103" t="s">
        <v>2227</v>
      </c>
      <c r="K184" s="142">
        <v>1</v>
      </c>
      <c r="L184" s="131"/>
      <c r="M184" s="128"/>
      <c r="N184" s="1009">
        <f t="shared" si="21"/>
        <v>0</v>
      </c>
      <c r="O184" s="1009"/>
      <c r="P184" s="1009"/>
      <c r="Q184" s="1009"/>
      <c r="R184" s="181"/>
      <c r="S184" s="191"/>
      <c r="T184" s="401"/>
      <c r="U184" s="181"/>
      <c r="V184" s="181"/>
      <c r="W184" s="402"/>
      <c r="X184" s="181"/>
      <c r="Y184" s="402"/>
      <c r="Z184" s="181"/>
      <c r="AA184" s="403"/>
      <c r="AT184" s="405"/>
      <c r="AU184" s="405"/>
      <c r="AY184" s="404"/>
      <c r="BK184" s="406"/>
    </row>
    <row r="185" spans="2:65" s="249" customFormat="1" ht="22.5" customHeight="1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128"/>
      <c r="N185" s="87"/>
      <c r="O185" s="87"/>
      <c r="P185" s="87"/>
      <c r="Q185" s="87"/>
      <c r="R185" s="87"/>
      <c r="S185" s="191"/>
      <c r="T185" s="407" t="s">
        <v>5</v>
      </c>
      <c r="U185" s="221" t="s">
        <v>36</v>
      </c>
      <c r="V185" s="408">
        <v>0</v>
      </c>
      <c r="W185" s="408">
        <f aca="true" t="shared" si="22" ref="W185:W189">V185*K197</f>
        <v>0</v>
      </c>
      <c r="X185" s="408">
        <v>0</v>
      </c>
      <c r="Y185" s="408">
        <f aca="true" t="shared" si="23" ref="Y185:Y189">X185*K197</f>
        <v>0</v>
      </c>
      <c r="Z185" s="408">
        <v>0</v>
      </c>
      <c r="AA185" s="409">
        <f aca="true" t="shared" si="24" ref="AA185:AA189">Z185*K197</f>
        <v>0</v>
      </c>
      <c r="AC185" s="398"/>
      <c r="AD185" s="398"/>
      <c r="AE185" s="398"/>
      <c r="AT185" s="240" t="s">
        <v>126</v>
      </c>
      <c r="AU185" s="240" t="s">
        <v>80</v>
      </c>
      <c r="AY185" s="240" t="s">
        <v>125</v>
      </c>
      <c r="BE185" s="250">
        <f aca="true" t="shared" si="25" ref="BE185:BE189">IF(U185="základní",N197,0)</f>
        <v>0</v>
      </c>
      <c r="BF185" s="250">
        <f aca="true" t="shared" si="26" ref="BF185:BF189">IF(U185="snížená",N197,0)</f>
        <v>0</v>
      </c>
      <c r="BG185" s="250">
        <f aca="true" t="shared" si="27" ref="BG185:BG189">IF(U185="zákl. přenesená",N197,0)</f>
        <v>0</v>
      </c>
      <c r="BH185" s="250">
        <f aca="true" t="shared" si="28" ref="BH185:BH189">IF(U185="sníž. přenesená",N197,0)</f>
        <v>0</v>
      </c>
      <c r="BI185" s="250">
        <f aca="true" t="shared" si="29" ref="BI185:BI189">IF(U185="nulová",N197,0)</f>
        <v>0</v>
      </c>
      <c r="BJ185" s="240" t="s">
        <v>80</v>
      </c>
      <c r="BK185" s="250">
        <f aca="true" t="shared" si="30" ref="BK185:BK189">ROUND(L197*K197,2)</f>
        <v>0</v>
      </c>
      <c r="BL185" s="240" t="s">
        <v>128</v>
      </c>
      <c r="BM185" s="240" t="s">
        <v>193</v>
      </c>
    </row>
    <row r="186" spans="2:65" s="249" customFormat="1" ht="22.5" customHeight="1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128"/>
      <c r="N186" s="87"/>
      <c r="O186" s="87"/>
      <c r="P186" s="87"/>
      <c r="Q186" s="87"/>
      <c r="R186" s="87"/>
      <c r="S186" s="191"/>
      <c r="T186" s="407" t="s">
        <v>5</v>
      </c>
      <c r="U186" s="221" t="s">
        <v>36</v>
      </c>
      <c r="V186" s="408">
        <v>0</v>
      </c>
      <c r="W186" s="408">
        <f t="shared" si="22"/>
        <v>0</v>
      </c>
      <c r="X186" s="408">
        <v>0</v>
      </c>
      <c r="Y186" s="408">
        <f t="shared" si="23"/>
        <v>0</v>
      </c>
      <c r="Z186" s="408">
        <v>0</v>
      </c>
      <c r="AA186" s="409">
        <f t="shared" si="24"/>
        <v>0</v>
      </c>
      <c r="AC186" s="398"/>
      <c r="AD186" s="398"/>
      <c r="AE186" s="398"/>
      <c r="AT186" s="240" t="s">
        <v>126</v>
      </c>
      <c r="AU186" s="240" t="s">
        <v>80</v>
      </c>
      <c r="AY186" s="240" t="s">
        <v>125</v>
      </c>
      <c r="BE186" s="250">
        <f t="shared" si="25"/>
        <v>0</v>
      </c>
      <c r="BF186" s="250">
        <f t="shared" si="26"/>
        <v>0</v>
      </c>
      <c r="BG186" s="250">
        <f t="shared" si="27"/>
        <v>0</v>
      </c>
      <c r="BH186" s="250">
        <f t="shared" si="28"/>
        <v>0</v>
      </c>
      <c r="BI186" s="250">
        <f t="shared" si="29"/>
        <v>0</v>
      </c>
      <c r="BJ186" s="240" t="s">
        <v>80</v>
      </c>
      <c r="BK186" s="250">
        <f t="shared" si="30"/>
        <v>0</v>
      </c>
      <c r="BL186" s="240" t="s">
        <v>128</v>
      </c>
      <c r="BM186" s="240" t="s">
        <v>194</v>
      </c>
    </row>
    <row r="187" spans="2:65" s="249" customFormat="1" ht="22.5" customHeight="1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191"/>
      <c r="T187" s="407" t="s">
        <v>5</v>
      </c>
      <c r="U187" s="221" t="s">
        <v>36</v>
      </c>
      <c r="V187" s="408">
        <v>0</v>
      </c>
      <c r="W187" s="408">
        <f t="shared" si="22"/>
        <v>0</v>
      </c>
      <c r="X187" s="408">
        <v>0</v>
      </c>
      <c r="Y187" s="408">
        <f t="shared" si="23"/>
        <v>0</v>
      </c>
      <c r="Z187" s="408">
        <v>0</v>
      </c>
      <c r="AA187" s="409">
        <f t="shared" si="24"/>
        <v>0</v>
      </c>
      <c r="AC187" s="398"/>
      <c r="AD187" s="398"/>
      <c r="AE187" s="398"/>
      <c r="AT187" s="240" t="s">
        <v>126</v>
      </c>
      <c r="AU187" s="240" t="s">
        <v>80</v>
      </c>
      <c r="AY187" s="240" t="s">
        <v>125</v>
      </c>
      <c r="BE187" s="250">
        <f t="shared" si="25"/>
        <v>0</v>
      </c>
      <c r="BF187" s="250">
        <f t="shared" si="26"/>
        <v>0</v>
      </c>
      <c r="BG187" s="250">
        <f t="shared" si="27"/>
        <v>0</v>
      </c>
      <c r="BH187" s="250">
        <f t="shared" si="28"/>
        <v>0</v>
      </c>
      <c r="BI187" s="250">
        <f t="shared" si="29"/>
        <v>0</v>
      </c>
      <c r="BJ187" s="240" t="s">
        <v>80</v>
      </c>
      <c r="BK187" s="250">
        <f t="shared" si="30"/>
        <v>0</v>
      </c>
      <c r="BL187" s="240" t="s">
        <v>128</v>
      </c>
      <c r="BM187" s="240" t="s">
        <v>195</v>
      </c>
    </row>
    <row r="188" spans="2:65" s="249" customFormat="1" ht="22.5" customHeight="1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191"/>
      <c r="T188" s="407" t="s">
        <v>5</v>
      </c>
      <c r="U188" s="221" t="s">
        <v>36</v>
      </c>
      <c r="V188" s="408">
        <v>0</v>
      </c>
      <c r="W188" s="408">
        <f t="shared" si="22"/>
        <v>0</v>
      </c>
      <c r="X188" s="408">
        <v>0</v>
      </c>
      <c r="Y188" s="408">
        <f t="shared" si="23"/>
        <v>0</v>
      </c>
      <c r="Z188" s="408">
        <v>0</v>
      </c>
      <c r="AA188" s="409">
        <f t="shared" si="24"/>
        <v>0</v>
      </c>
      <c r="AC188" s="398"/>
      <c r="AD188" s="398"/>
      <c r="AE188" s="398"/>
      <c r="AR188" s="240" t="s">
        <v>128</v>
      </c>
      <c r="AT188" s="240" t="s">
        <v>126</v>
      </c>
      <c r="AU188" s="240" t="s">
        <v>80</v>
      </c>
      <c r="AY188" s="240" t="s">
        <v>125</v>
      </c>
      <c r="BE188" s="250">
        <f t="shared" si="25"/>
        <v>0</v>
      </c>
      <c r="BF188" s="250">
        <f t="shared" si="26"/>
        <v>0</v>
      </c>
      <c r="BG188" s="250">
        <f t="shared" si="27"/>
        <v>0</v>
      </c>
      <c r="BH188" s="250">
        <f t="shared" si="28"/>
        <v>0</v>
      </c>
      <c r="BI188" s="250">
        <f t="shared" si="29"/>
        <v>0</v>
      </c>
      <c r="BJ188" s="240" t="s">
        <v>80</v>
      </c>
      <c r="BK188" s="250">
        <f t="shared" si="30"/>
        <v>0</v>
      </c>
      <c r="BL188" s="240" t="s">
        <v>128</v>
      </c>
      <c r="BM188" s="240" t="s">
        <v>196</v>
      </c>
    </row>
    <row r="189" spans="2:65" s="249" customFormat="1" ht="22.5" customHeight="1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191"/>
      <c r="T189" s="407" t="s">
        <v>5</v>
      </c>
      <c r="U189" s="221" t="s">
        <v>36</v>
      </c>
      <c r="V189" s="408">
        <v>0</v>
      </c>
      <c r="W189" s="408">
        <f t="shared" si="22"/>
        <v>0</v>
      </c>
      <c r="X189" s="408">
        <v>0</v>
      </c>
      <c r="Y189" s="408">
        <f t="shared" si="23"/>
        <v>0</v>
      </c>
      <c r="Z189" s="408">
        <v>0</v>
      </c>
      <c r="AA189" s="409">
        <f t="shared" si="24"/>
        <v>0</v>
      </c>
      <c r="AC189" s="398"/>
      <c r="AD189" s="398"/>
      <c r="AE189" s="398"/>
      <c r="AR189" s="240" t="s">
        <v>128</v>
      </c>
      <c r="AT189" s="240" t="s">
        <v>126</v>
      </c>
      <c r="AU189" s="240" t="s">
        <v>80</v>
      </c>
      <c r="AY189" s="240" t="s">
        <v>125</v>
      </c>
      <c r="BE189" s="250">
        <f t="shared" si="25"/>
        <v>0</v>
      </c>
      <c r="BF189" s="250">
        <f t="shared" si="26"/>
        <v>0</v>
      </c>
      <c r="BG189" s="250">
        <f t="shared" si="27"/>
        <v>0</v>
      </c>
      <c r="BH189" s="250">
        <f t="shared" si="28"/>
        <v>0</v>
      </c>
      <c r="BI189" s="250">
        <f t="shared" si="29"/>
        <v>0</v>
      </c>
      <c r="BJ189" s="240" t="s">
        <v>80</v>
      </c>
      <c r="BK189" s="250">
        <f t="shared" si="30"/>
        <v>0</v>
      </c>
      <c r="BL189" s="240" t="s">
        <v>128</v>
      </c>
      <c r="BM189" s="240" t="s">
        <v>197</v>
      </c>
    </row>
    <row r="190" spans="1:65" s="162" customFormat="1" ht="31.5" customHeight="1">
      <c r="A190" s="58"/>
      <c r="B190" s="58"/>
      <c r="C190" s="58"/>
      <c r="D190" s="58"/>
      <c r="E190" s="58"/>
      <c r="F190" s="986"/>
      <c r="G190" s="973"/>
      <c r="H190" s="973"/>
      <c r="I190" s="973"/>
      <c r="J190" s="58"/>
      <c r="K190" s="58"/>
      <c r="L190" s="58"/>
      <c r="M190" s="58"/>
      <c r="N190" s="58"/>
      <c r="O190" s="58"/>
      <c r="P190" s="58"/>
      <c r="Q190" s="58"/>
      <c r="R190" s="58"/>
      <c r="S190" s="191"/>
      <c r="T190" s="483" t="s">
        <v>5</v>
      </c>
      <c r="U190" s="221" t="s">
        <v>36</v>
      </c>
      <c r="V190" s="408">
        <v>0</v>
      </c>
      <c r="W190" s="408">
        <f>V190*K220</f>
        <v>0</v>
      </c>
      <c r="X190" s="408">
        <v>0</v>
      </c>
      <c r="Y190" s="408">
        <f>X190*K220</f>
        <v>0</v>
      </c>
      <c r="Z190" s="408">
        <v>0</v>
      </c>
      <c r="AA190" s="409">
        <f>Z190*K220</f>
        <v>0</v>
      </c>
      <c r="AC190" s="398"/>
      <c r="AD190" s="398"/>
      <c r="AE190" s="398"/>
      <c r="AR190" s="448" t="s">
        <v>128</v>
      </c>
      <c r="AT190" s="448" t="s">
        <v>126</v>
      </c>
      <c r="AU190" s="448" t="s">
        <v>76</v>
      </c>
      <c r="AY190" s="448" t="s">
        <v>125</v>
      </c>
      <c r="BE190" s="484">
        <f>IF(U190="základní",N220,0)</f>
        <v>0</v>
      </c>
      <c r="BF190" s="484">
        <f>IF(U190="snížená",N220,0)</f>
        <v>0</v>
      </c>
      <c r="BG190" s="484">
        <f>IF(U190="zákl. přenesená",N220,0)</f>
        <v>0</v>
      </c>
      <c r="BH190" s="484">
        <f>IF(U190="sníž. přenesená",N220,0)</f>
        <v>0</v>
      </c>
      <c r="BI190" s="484">
        <f>IF(U190="nulová",N220,0)</f>
        <v>0</v>
      </c>
      <c r="BJ190" s="448" t="s">
        <v>80</v>
      </c>
      <c r="BK190" s="484">
        <f>ROUND(L220*K220,2)</f>
        <v>0</v>
      </c>
      <c r="BL190" s="448" t="s">
        <v>128</v>
      </c>
      <c r="BM190" s="448" t="s">
        <v>185</v>
      </c>
    </row>
    <row r="191" spans="1:65" s="162" customFormat="1" ht="31.5" customHeight="1">
      <c r="A191" s="58"/>
      <c r="B191" s="58"/>
      <c r="C191" s="522"/>
      <c r="D191" s="522"/>
      <c r="E191" s="524"/>
      <c r="F191" s="991"/>
      <c r="G191" s="991"/>
      <c r="H191" s="991"/>
      <c r="I191" s="991"/>
      <c r="J191" s="525"/>
      <c r="K191" s="531"/>
      <c r="L191" s="989"/>
      <c r="M191" s="989"/>
      <c r="N191" s="989"/>
      <c r="O191" s="989"/>
      <c r="P191" s="989"/>
      <c r="Q191" s="989"/>
      <c r="R191" s="58"/>
      <c r="S191" s="191"/>
      <c r="T191" s="483" t="s">
        <v>5</v>
      </c>
      <c r="U191" s="221" t="s">
        <v>36</v>
      </c>
      <c r="V191" s="408">
        <v>0</v>
      </c>
      <c r="W191" s="408">
        <f>V191*K221</f>
        <v>0</v>
      </c>
      <c r="X191" s="408">
        <v>0</v>
      </c>
      <c r="Y191" s="408">
        <f>X191*K221</f>
        <v>0</v>
      </c>
      <c r="Z191" s="408">
        <v>0</v>
      </c>
      <c r="AA191" s="409">
        <f>Z191*K221</f>
        <v>0</v>
      </c>
      <c r="AC191" s="398"/>
      <c r="AD191" s="398"/>
      <c r="AE191" s="398"/>
      <c r="AR191" s="448" t="s">
        <v>128</v>
      </c>
      <c r="AT191" s="448" t="s">
        <v>126</v>
      </c>
      <c r="AU191" s="448" t="s">
        <v>76</v>
      </c>
      <c r="AY191" s="448" t="s">
        <v>125</v>
      </c>
      <c r="BE191" s="484">
        <f>IF(U191="základní",N221,0)</f>
        <v>0</v>
      </c>
      <c r="BF191" s="484">
        <f>IF(U191="snížená",N221,0)</f>
        <v>0</v>
      </c>
      <c r="BG191" s="484">
        <f>IF(U191="zákl. přenesená",N221,0)</f>
        <v>0</v>
      </c>
      <c r="BH191" s="484">
        <f>IF(U191="sníž. přenesená",N221,0)</f>
        <v>0</v>
      </c>
      <c r="BI191" s="484">
        <f>IF(U191="nulová",N221,0)</f>
        <v>0</v>
      </c>
      <c r="BJ191" s="448" t="s">
        <v>80</v>
      </c>
      <c r="BK191" s="484">
        <f>ROUND(L221*K221,2)</f>
        <v>0</v>
      </c>
      <c r="BL191" s="448" t="s">
        <v>128</v>
      </c>
      <c r="BM191" s="448" t="s">
        <v>186</v>
      </c>
    </row>
    <row r="192" spans="1:65" s="162" customFormat="1" ht="31.5" customHeight="1">
      <c r="A192" s="58"/>
      <c r="B192" s="58"/>
      <c r="C192" s="58"/>
      <c r="D192" s="58"/>
      <c r="E192" s="58"/>
      <c r="F192" s="986"/>
      <c r="G192" s="973"/>
      <c r="H192" s="973"/>
      <c r="I192" s="973"/>
      <c r="J192" s="58"/>
      <c r="K192" s="58"/>
      <c r="L192" s="58"/>
      <c r="M192" s="58"/>
      <c r="N192" s="58"/>
      <c r="O192" s="58"/>
      <c r="P192" s="58"/>
      <c r="Q192" s="58"/>
      <c r="R192" s="58"/>
      <c r="S192" s="191"/>
      <c r="T192" s="483" t="s">
        <v>5</v>
      </c>
      <c r="U192" s="221" t="s">
        <v>36</v>
      </c>
      <c r="V192" s="408">
        <v>0</v>
      </c>
      <c r="W192" s="408">
        <f>V192*K222</f>
        <v>0</v>
      </c>
      <c r="X192" s="408">
        <v>0</v>
      </c>
      <c r="Y192" s="408">
        <f>X192*K222</f>
        <v>0</v>
      </c>
      <c r="Z192" s="408">
        <v>0</v>
      </c>
      <c r="AA192" s="409">
        <f>Z192*K222</f>
        <v>0</v>
      </c>
      <c r="AC192" s="398"/>
      <c r="AD192" s="398"/>
      <c r="AE192" s="398"/>
      <c r="AR192" s="448" t="s">
        <v>128</v>
      </c>
      <c r="AT192" s="448" t="s">
        <v>126</v>
      </c>
      <c r="AU192" s="448" t="s">
        <v>76</v>
      </c>
      <c r="AY192" s="448" t="s">
        <v>125</v>
      </c>
      <c r="BE192" s="484">
        <f>IF(U192="základní",N222,0)</f>
        <v>0</v>
      </c>
      <c r="BF192" s="484">
        <f>IF(U192="snížená",N222,0)</f>
        <v>0</v>
      </c>
      <c r="BG192" s="484">
        <f>IF(U192="zákl. přenesená",N222,0)</f>
        <v>0</v>
      </c>
      <c r="BH192" s="484">
        <f>IF(U192="sníž. přenesená",N222,0)</f>
        <v>0</v>
      </c>
      <c r="BI192" s="484">
        <f>IF(U192="nulová",N222,0)</f>
        <v>0</v>
      </c>
      <c r="BJ192" s="448" t="s">
        <v>80</v>
      </c>
      <c r="BK192" s="484">
        <f>ROUND(L222*K222,2)</f>
        <v>0</v>
      </c>
      <c r="BL192" s="448" t="s">
        <v>128</v>
      </c>
      <c r="BM192" s="448" t="s">
        <v>187</v>
      </c>
    </row>
    <row r="193" spans="1:65" s="162" customFormat="1" ht="31.5" customHeight="1">
      <c r="A193" s="58"/>
      <c r="B193" s="58"/>
      <c r="C193" s="522"/>
      <c r="D193" s="522"/>
      <c r="E193" s="524"/>
      <c r="F193" s="991"/>
      <c r="G193" s="991"/>
      <c r="H193" s="991"/>
      <c r="I193" s="991"/>
      <c r="J193" s="525"/>
      <c r="K193" s="531"/>
      <c r="L193" s="989"/>
      <c r="M193" s="989"/>
      <c r="N193" s="989"/>
      <c r="O193" s="989"/>
      <c r="P193" s="989"/>
      <c r="Q193" s="989"/>
      <c r="R193" s="58"/>
      <c r="S193" s="58"/>
      <c r="T193" s="483" t="s">
        <v>5</v>
      </c>
      <c r="U193" s="221" t="s">
        <v>36</v>
      </c>
      <c r="V193" s="408">
        <v>0</v>
      </c>
      <c r="W193" s="408">
        <f>V193*K223</f>
        <v>0</v>
      </c>
      <c r="X193" s="408">
        <v>0</v>
      </c>
      <c r="Y193" s="408">
        <f>X193*K223</f>
        <v>0</v>
      </c>
      <c r="Z193" s="408">
        <v>0</v>
      </c>
      <c r="AA193" s="409">
        <f>Z193*K223</f>
        <v>0</v>
      </c>
      <c r="AC193" s="398"/>
      <c r="AD193" s="398"/>
      <c r="AE193" s="398"/>
      <c r="AR193" s="448" t="s">
        <v>128</v>
      </c>
      <c r="AT193" s="448" t="s">
        <v>126</v>
      </c>
      <c r="AU193" s="448" t="s">
        <v>76</v>
      </c>
      <c r="AY193" s="448" t="s">
        <v>125</v>
      </c>
      <c r="BE193" s="484">
        <f>IF(U193="základní",N223,0)</f>
        <v>0</v>
      </c>
      <c r="BF193" s="484">
        <f>IF(U193="snížená",N223,0)</f>
        <v>0</v>
      </c>
      <c r="BG193" s="484">
        <f>IF(U193="zákl. přenesená",N223,0)</f>
        <v>0</v>
      </c>
      <c r="BH193" s="484">
        <f>IF(U193="sníž. přenesená",N223,0)</f>
        <v>0</v>
      </c>
      <c r="BI193" s="484">
        <f>IF(U193="nulová",N223,0)</f>
        <v>0</v>
      </c>
      <c r="BJ193" s="448" t="s">
        <v>80</v>
      </c>
      <c r="BK193" s="484">
        <f>ROUND(L223*K223,2)</f>
        <v>0</v>
      </c>
      <c r="BL193" s="448" t="s">
        <v>128</v>
      </c>
      <c r="BM193" s="448" t="s">
        <v>188</v>
      </c>
    </row>
    <row r="194" spans="1:65" s="162" customFormat="1" ht="44.25" customHeight="1">
      <c r="A194" s="58"/>
      <c r="B194" s="58"/>
      <c r="C194" s="58"/>
      <c r="D194" s="58"/>
      <c r="E194" s="58"/>
      <c r="F194" s="986"/>
      <c r="G194" s="973"/>
      <c r="H194" s="973"/>
      <c r="I194" s="973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483" t="s">
        <v>5</v>
      </c>
      <c r="U194" s="526" t="s">
        <v>36</v>
      </c>
      <c r="V194" s="527">
        <v>0</v>
      </c>
      <c r="W194" s="527">
        <f>V194*K224</f>
        <v>0</v>
      </c>
      <c r="X194" s="527">
        <v>0</v>
      </c>
      <c r="Y194" s="527">
        <f>X194*K224</f>
        <v>0</v>
      </c>
      <c r="Z194" s="527">
        <v>0</v>
      </c>
      <c r="AA194" s="528">
        <f>Z194*K224</f>
        <v>0</v>
      </c>
      <c r="AC194" s="398"/>
      <c r="AD194" s="398"/>
      <c r="AE194" s="398"/>
      <c r="AR194" s="448" t="s">
        <v>128</v>
      </c>
      <c r="AT194" s="448" t="s">
        <v>126</v>
      </c>
      <c r="AU194" s="448" t="s">
        <v>76</v>
      </c>
      <c r="AY194" s="448" t="s">
        <v>125</v>
      </c>
      <c r="BE194" s="484">
        <f>IF(U194="základní",N224,0)</f>
        <v>0</v>
      </c>
      <c r="BF194" s="484">
        <f>IF(U194="snížená",N224,0)</f>
        <v>0</v>
      </c>
      <c r="BG194" s="484">
        <f>IF(U194="zákl. přenesená",N224,0)</f>
        <v>0</v>
      </c>
      <c r="BH194" s="484">
        <f>IF(U194="sníž. přenesená",N224,0)</f>
        <v>0</v>
      </c>
      <c r="BI194" s="484">
        <f>IF(U194="nulová",N224,0)</f>
        <v>0</v>
      </c>
      <c r="BJ194" s="448" t="s">
        <v>80</v>
      </c>
      <c r="BK194" s="484">
        <f>ROUND(L224*K224,2)</f>
        <v>0</v>
      </c>
      <c r="BL194" s="448" t="s">
        <v>128</v>
      </c>
      <c r="BM194" s="448" t="s">
        <v>189</v>
      </c>
    </row>
    <row r="195" spans="1:31" s="162" customFormat="1" ht="6.95" customHeight="1">
      <c r="A195" s="58"/>
      <c r="B195" s="58"/>
      <c r="C195" s="522"/>
      <c r="D195" s="522"/>
      <c r="E195" s="524"/>
      <c r="F195" s="991"/>
      <c r="G195" s="991"/>
      <c r="H195" s="991"/>
      <c r="I195" s="991"/>
      <c r="J195" s="525"/>
      <c r="K195" s="531"/>
      <c r="L195" s="989"/>
      <c r="M195" s="989"/>
      <c r="N195" s="989"/>
      <c r="O195" s="989"/>
      <c r="P195" s="989"/>
      <c r="Q195" s="989"/>
      <c r="R195" s="58"/>
      <c r="S195" s="58"/>
      <c r="AC195" s="398"/>
      <c r="AD195" s="398"/>
      <c r="AE195" s="398"/>
    </row>
    <row r="196" spans="1:31" ht="13.5">
      <c r="A196" s="157"/>
      <c r="B196" s="157"/>
      <c r="C196" s="58"/>
      <c r="D196" s="58"/>
      <c r="E196" s="58"/>
      <c r="F196" s="986"/>
      <c r="G196" s="973"/>
      <c r="H196" s="973"/>
      <c r="I196" s="973"/>
      <c r="J196" s="58"/>
      <c r="K196" s="58"/>
      <c r="L196" s="58"/>
      <c r="M196" s="58"/>
      <c r="N196" s="58"/>
      <c r="O196" s="58"/>
      <c r="P196" s="58"/>
      <c r="Q196" s="58"/>
      <c r="R196" s="157"/>
      <c r="S196" s="157"/>
      <c r="AC196" s="398"/>
      <c r="AD196" s="398"/>
      <c r="AE196" s="398"/>
    </row>
    <row r="197" spans="1:31" ht="13.5">
      <c r="A197" s="157"/>
      <c r="B197" s="157"/>
      <c r="C197" s="522"/>
      <c r="D197" s="522"/>
      <c r="E197" s="524"/>
      <c r="F197" s="991"/>
      <c r="G197" s="991"/>
      <c r="H197" s="991"/>
      <c r="I197" s="991"/>
      <c r="J197" s="525"/>
      <c r="K197" s="531"/>
      <c r="L197" s="989"/>
      <c r="M197" s="989"/>
      <c r="N197" s="989"/>
      <c r="O197" s="989"/>
      <c r="P197" s="989"/>
      <c r="Q197" s="989"/>
      <c r="R197" s="157"/>
      <c r="S197" s="157"/>
      <c r="AC197" s="398"/>
      <c r="AD197" s="398"/>
      <c r="AE197" s="398"/>
    </row>
    <row r="198" spans="1:31" ht="13.5">
      <c r="A198" s="157"/>
      <c r="B198" s="157"/>
      <c r="C198" s="58"/>
      <c r="D198" s="58"/>
      <c r="E198" s="58"/>
      <c r="F198" s="986"/>
      <c r="G198" s="973"/>
      <c r="H198" s="973"/>
      <c r="I198" s="973"/>
      <c r="J198" s="58"/>
      <c r="K198" s="58"/>
      <c r="L198" s="58"/>
      <c r="M198" s="58"/>
      <c r="N198" s="58"/>
      <c r="O198" s="58"/>
      <c r="P198" s="58"/>
      <c r="Q198" s="58"/>
      <c r="R198" s="157"/>
      <c r="S198" s="157"/>
      <c r="AC198" s="398"/>
      <c r="AD198" s="398"/>
      <c r="AE198" s="398"/>
    </row>
    <row r="199" spans="1:31" ht="13.5">
      <c r="A199" s="157"/>
      <c r="B199" s="157"/>
      <c r="C199" s="522"/>
      <c r="D199" s="522"/>
      <c r="E199" s="524"/>
      <c r="F199" s="991"/>
      <c r="G199" s="991"/>
      <c r="H199" s="991"/>
      <c r="I199" s="991"/>
      <c r="J199" s="525"/>
      <c r="K199" s="531"/>
      <c r="L199" s="989"/>
      <c r="M199" s="989"/>
      <c r="N199" s="989"/>
      <c r="O199" s="989"/>
      <c r="P199" s="989"/>
      <c r="Q199" s="989"/>
      <c r="R199" s="157"/>
      <c r="S199" s="157"/>
      <c r="AC199" s="398"/>
      <c r="AD199" s="398"/>
      <c r="AE199" s="398"/>
    </row>
    <row r="200" spans="1:31" ht="13.5">
      <c r="A200" s="157"/>
      <c r="B200" s="157"/>
      <c r="C200" s="58"/>
      <c r="D200" s="58"/>
      <c r="E200" s="58"/>
      <c r="F200" s="986"/>
      <c r="G200" s="973"/>
      <c r="H200" s="973"/>
      <c r="I200" s="973"/>
      <c r="J200" s="58"/>
      <c r="K200" s="58"/>
      <c r="L200" s="58"/>
      <c r="M200" s="58"/>
      <c r="N200" s="58"/>
      <c r="O200" s="58"/>
      <c r="P200" s="58"/>
      <c r="Q200" s="58"/>
      <c r="R200" s="157"/>
      <c r="S200" s="157"/>
      <c r="AC200" s="398"/>
      <c r="AD200" s="398"/>
      <c r="AE200" s="398"/>
    </row>
    <row r="201" spans="1:31" ht="13.5">
      <c r="A201" s="157"/>
      <c r="B201" s="157"/>
      <c r="C201" s="522"/>
      <c r="D201" s="522"/>
      <c r="E201" s="524"/>
      <c r="F201" s="991"/>
      <c r="G201" s="991"/>
      <c r="H201" s="991"/>
      <c r="I201" s="991"/>
      <c r="J201" s="525"/>
      <c r="K201" s="531"/>
      <c r="L201" s="989"/>
      <c r="M201" s="989"/>
      <c r="N201" s="989"/>
      <c r="O201" s="989"/>
      <c r="P201" s="989"/>
      <c r="Q201" s="989"/>
      <c r="R201" s="157"/>
      <c r="S201" s="157"/>
      <c r="AC201" s="398"/>
      <c r="AD201" s="398"/>
      <c r="AE201" s="398"/>
    </row>
    <row r="202" spans="1:31" ht="13.5">
      <c r="A202" s="157"/>
      <c r="B202" s="157"/>
      <c r="C202" s="58"/>
      <c r="D202" s="58"/>
      <c r="E202" s="58"/>
      <c r="F202" s="986"/>
      <c r="G202" s="973"/>
      <c r="H202" s="973"/>
      <c r="I202" s="973"/>
      <c r="J202" s="58"/>
      <c r="K202" s="58"/>
      <c r="L202" s="58"/>
      <c r="M202" s="58"/>
      <c r="N202" s="58"/>
      <c r="O202" s="58"/>
      <c r="P202" s="58"/>
      <c r="Q202" s="58"/>
      <c r="R202" s="157"/>
      <c r="S202" s="157"/>
      <c r="AC202" s="398"/>
      <c r="AD202" s="398"/>
      <c r="AE202" s="398"/>
    </row>
    <row r="203" spans="1:31" ht="18">
      <c r="A203" s="157"/>
      <c r="B203" s="157"/>
      <c r="C203" s="181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971"/>
      <c r="O203" s="926"/>
      <c r="P203" s="926"/>
      <c r="Q203" s="926"/>
      <c r="R203" s="157"/>
      <c r="S203" s="157"/>
      <c r="AC203" s="398"/>
      <c r="AD203" s="398"/>
      <c r="AE203" s="398"/>
    </row>
    <row r="204" spans="1:19" ht="13.5">
      <c r="A204" s="157"/>
      <c r="B204" s="157"/>
      <c r="C204" s="522"/>
      <c r="D204" s="522"/>
      <c r="E204" s="524"/>
      <c r="F204" s="991"/>
      <c r="G204" s="991"/>
      <c r="H204" s="991"/>
      <c r="I204" s="991"/>
      <c r="J204" s="525"/>
      <c r="K204" s="531"/>
      <c r="L204" s="989"/>
      <c r="M204" s="989"/>
      <c r="N204" s="989"/>
      <c r="O204" s="989"/>
      <c r="P204" s="989"/>
      <c r="Q204" s="989"/>
      <c r="R204" s="157"/>
      <c r="S204" s="157"/>
    </row>
    <row r="205" spans="1:19" ht="13.5">
      <c r="A205" s="157"/>
      <c r="B205" s="157"/>
      <c r="C205" s="58"/>
      <c r="D205" s="58"/>
      <c r="E205" s="58"/>
      <c r="F205" s="986"/>
      <c r="G205" s="973"/>
      <c r="H205" s="973"/>
      <c r="I205" s="973"/>
      <c r="J205" s="58"/>
      <c r="K205" s="58"/>
      <c r="L205" s="58"/>
      <c r="M205" s="58"/>
      <c r="N205" s="58"/>
      <c r="O205" s="58"/>
      <c r="P205" s="58"/>
      <c r="Q205" s="58"/>
      <c r="R205" s="157"/>
      <c r="S205" s="157"/>
    </row>
    <row r="206" spans="1:19" ht="13.5">
      <c r="A206" s="157"/>
      <c r="B206" s="157"/>
      <c r="C206" s="522"/>
      <c r="D206" s="522"/>
      <c r="E206" s="524"/>
      <c r="F206" s="991"/>
      <c r="G206" s="991"/>
      <c r="H206" s="991"/>
      <c r="I206" s="991"/>
      <c r="J206" s="525"/>
      <c r="K206" s="531"/>
      <c r="L206" s="989"/>
      <c r="M206" s="989"/>
      <c r="N206" s="989"/>
      <c r="O206" s="989"/>
      <c r="P206" s="989"/>
      <c r="Q206" s="989"/>
      <c r="R206" s="157"/>
      <c r="S206" s="157"/>
    </row>
    <row r="207" spans="1:19" ht="13.5">
      <c r="A207" s="157"/>
      <c r="B207" s="157"/>
      <c r="C207" s="58"/>
      <c r="D207" s="58"/>
      <c r="E207" s="58"/>
      <c r="F207" s="986"/>
      <c r="G207" s="973"/>
      <c r="H207" s="973"/>
      <c r="I207" s="973"/>
      <c r="J207" s="58"/>
      <c r="K207" s="58"/>
      <c r="L207" s="58"/>
      <c r="M207" s="58"/>
      <c r="N207" s="58"/>
      <c r="O207" s="58"/>
      <c r="P207" s="58"/>
      <c r="Q207" s="58"/>
      <c r="R207" s="157"/>
      <c r="S207" s="157"/>
    </row>
    <row r="208" spans="1:19" ht="18">
      <c r="A208" s="157"/>
      <c r="B208" s="157"/>
      <c r="C208" s="181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971"/>
      <c r="O208" s="926"/>
      <c r="P208" s="926"/>
      <c r="Q208" s="926"/>
      <c r="R208" s="157"/>
      <c r="S208" s="157"/>
    </row>
    <row r="209" spans="1:19" ht="13.5">
      <c r="A209" s="157"/>
      <c r="B209" s="157"/>
      <c r="C209" s="522"/>
      <c r="D209" s="522"/>
      <c r="E209" s="524"/>
      <c r="F209" s="991"/>
      <c r="G209" s="991"/>
      <c r="H209" s="991"/>
      <c r="I209" s="991"/>
      <c r="J209" s="525"/>
      <c r="K209" s="531"/>
      <c r="L209" s="989"/>
      <c r="M209" s="989"/>
      <c r="N209" s="989"/>
      <c r="O209" s="989"/>
      <c r="P209" s="989"/>
      <c r="Q209" s="989"/>
      <c r="R209" s="157"/>
      <c r="S209" s="157"/>
    </row>
    <row r="210" spans="1:19" ht="13.5">
      <c r="A210" s="157"/>
      <c r="B210" s="157"/>
      <c r="C210" s="58"/>
      <c r="D210" s="58"/>
      <c r="E210" s="58"/>
      <c r="F210" s="986"/>
      <c r="G210" s="973"/>
      <c r="H210" s="973"/>
      <c r="I210" s="973"/>
      <c r="J210" s="58"/>
      <c r="K210" s="58"/>
      <c r="L210" s="58"/>
      <c r="M210" s="58"/>
      <c r="N210" s="58"/>
      <c r="O210" s="58"/>
      <c r="P210" s="58"/>
      <c r="Q210" s="58"/>
      <c r="R210" s="157"/>
      <c r="S210" s="157"/>
    </row>
    <row r="211" spans="1:19" ht="13.5">
      <c r="A211" s="157"/>
      <c r="B211" s="157"/>
      <c r="C211" s="522"/>
      <c r="D211" s="522"/>
      <c r="E211" s="524"/>
      <c r="F211" s="991"/>
      <c r="G211" s="991"/>
      <c r="H211" s="991"/>
      <c r="I211" s="991"/>
      <c r="J211" s="525"/>
      <c r="K211" s="531"/>
      <c r="L211" s="989"/>
      <c r="M211" s="989"/>
      <c r="N211" s="989"/>
      <c r="O211" s="989"/>
      <c r="P211" s="989"/>
      <c r="Q211" s="989"/>
      <c r="R211" s="157"/>
      <c r="S211" s="157"/>
    </row>
    <row r="212" spans="1:19" ht="13.5">
      <c r="A212" s="157"/>
      <c r="B212" s="157"/>
      <c r="C212" s="58"/>
      <c r="D212" s="58"/>
      <c r="E212" s="58"/>
      <c r="F212" s="986"/>
      <c r="G212" s="973"/>
      <c r="H212" s="973"/>
      <c r="I212" s="973"/>
      <c r="J212" s="58"/>
      <c r="K212" s="58"/>
      <c r="L212" s="58"/>
      <c r="M212" s="58"/>
      <c r="N212" s="58"/>
      <c r="O212" s="58"/>
      <c r="P212" s="58"/>
      <c r="Q212" s="58"/>
      <c r="R212" s="157"/>
      <c r="S212" s="157"/>
    </row>
    <row r="213" spans="1:19" ht="13.5">
      <c r="A213" s="157"/>
      <c r="B213" s="157"/>
      <c r="C213" s="522"/>
      <c r="D213" s="522"/>
      <c r="E213" s="524"/>
      <c r="F213" s="991"/>
      <c r="G213" s="991"/>
      <c r="H213" s="991"/>
      <c r="I213" s="991"/>
      <c r="J213" s="525"/>
      <c r="K213" s="531"/>
      <c r="L213" s="989"/>
      <c r="M213" s="989"/>
      <c r="N213" s="989"/>
      <c r="O213" s="989"/>
      <c r="P213" s="989"/>
      <c r="Q213" s="989"/>
      <c r="R213" s="157"/>
      <c r="S213" s="157"/>
    </row>
    <row r="214" spans="1:19" ht="13.5">
      <c r="A214" s="157"/>
      <c r="B214" s="157"/>
      <c r="C214" s="58"/>
      <c r="D214" s="58"/>
      <c r="E214" s="58"/>
      <c r="F214" s="986"/>
      <c r="G214" s="973"/>
      <c r="H214" s="973"/>
      <c r="I214" s="973"/>
      <c r="J214" s="58"/>
      <c r="K214" s="58"/>
      <c r="L214" s="58"/>
      <c r="M214" s="58"/>
      <c r="N214" s="58"/>
      <c r="O214" s="58"/>
      <c r="P214" s="58"/>
      <c r="Q214" s="58"/>
      <c r="R214" s="157"/>
      <c r="S214" s="157"/>
    </row>
    <row r="215" spans="1:19" ht="13.5">
      <c r="A215" s="157"/>
      <c r="B215" s="157"/>
      <c r="C215" s="522"/>
      <c r="D215" s="522"/>
      <c r="E215" s="524"/>
      <c r="F215" s="991"/>
      <c r="G215" s="991"/>
      <c r="H215" s="991"/>
      <c r="I215" s="991"/>
      <c r="J215" s="525"/>
      <c r="K215" s="531"/>
      <c r="L215" s="989"/>
      <c r="M215" s="989"/>
      <c r="N215" s="989"/>
      <c r="O215" s="989"/>
      <c r="P215" s="989"/>
      <c r="Q215" s="989"/>
      <c r="R215" s="157"/>
      <c r="S215" s="157"/>
    </row>
    <row r="216" spans="1:19" ht="13.5">
      <c r="A216" s="157"/>
      <c r="B216" s="157"/>
      <c r="C216" s="58"/>
      <c r="D216" s="58"/>
      <c r="E216" s="58"/>
      <c r="F216" s="986"/>
      <c r="G216" s="973"/>
      <c r="H216" s="973"/>
      <c r="I216" s="973"/>
      <c r="J216" s="58"/>
      <c r="K216" s="58"/>
      <c r="L216" s="58"/>
      <c r="M216" s="58"/>
      <c r="N216" s="58"/>
      <c r="O216" s="58"/>
      <c r="P216" s="58"/>
      <c r="Q216" s="58"/>
      <c r="R216" s="157"/>
      <c r="S216" s="157"/>
    </row>
    <row r="217" spans="1:19" ht="18">
      <c r="A217" s="157"/>
      <c r="B217" s="157"/>
      <c r="C217" s="181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971"/>
      <c r="O217" s="926"/>
      <c r="P217" s="926"/>
      <c r="Q217" s="926"/>
      <c r="R217" s="157"/>
      <c r="S217" s="157"/>
    </row>
    <row r="218" spans="1:19" ht="13.5">
      <c r="A218" s="157"/>
      <c r="B218" s="157"/>
      <c r="C218" s="522"/>
      <c r="D218" s="522"/>
      <c r="E218" s="524"/>
      <c r="F218" s="991"/>
      <c r="G218" s="991"/>
      <c r="H218" s="991"/>
      <c r="I218" s="991"/>
      <c r="J218" s="525"/>
      <c r="K218" s="531"/>
      <c r="L218" s="989"/>
      <c r="M218" s="989"/>
      <c r="N218" s="989"/>
      <c r="O218" s="989"/>
      <c r="P218" s="989"/>
      <c r="Q218" s="989"/>
      <c r="R218" s="157"/>
      <c r="S218" s="157"/>
    </row>
    <row r="219" spans="1:19" ht="13.5">
      <c r="A219" s="157"/>
      <c r="B219" s="157"/>
      <c r="C219" s="522"/>
      <c r="D219" s="522"/>
      <c r="E219" s="524"/>
      <c r="F219" s="991"/>
      <c r="G219" s="991"/>
      <c r="H219" s="991"/>
      <c r="I219" s="991"/>
      <c r="J219" s="525"/>
      <c r="K219" s="531"/>
      <c r="L219" s="989"/>
      <c r="M219" s="989"/>
      <c r="N219" s="989"/>
      <c r="O219" s="989"/>
      <c r="P219" s="989"/>
      <c r="Q219" s="989"/>
      <c r="R219" s="157"/>
      <c r="S219" s="157"/>
    </row>
    <row r="220" spans="1:19" ht="13.5">
      <c r="A220" s="157"/>
      <c r="B220" s="157"/>
      <c r="C220" s="522"/>
      <c r="D220" s="522"/>
      <c r="E220" s="524"/>
      <c r="F220" s="991"/>
      <c r="G220" s="991"/>
      <c r="H220" s="991"/>
      <c r="I220" s="991"/>
      <c r="J220" s="525"/>
      <c r="K220" s="531"/>
      <c r="L220" s="989"/>
      <c r="M220" s="989"/>
      <c r="N220" s="989"/>
      <c r="O220" s="989"/>
      <c r="P220" s="989"/>
      <c r="Q220" s="989"/>
      <c r="R220" s="157"/>
      <c r="S220" s="157"/>
    </row>
    <row r="221" spans="1:19" ht="13.5">
      <c r="A221" s="157"/>
      <c r="B221" s="157"/>
      <c r="C221" s="522"/>
      <c r="D221" s="522"/>
      <c r="E221" s="524"/>
      <c r="F221" s="991"/>
      <c r="G221" s="991"/>
      <c r="H221" s="991"/>
      <c r="I221" s="991"/>
      <c r="J221" s="525"/>
      <c r="K221" s="531"/>
      <c r="L221" s="989"/>
      <c r="M221" s="989"/>
      <c r="N221" s="989"/>
      <c r="O221" s="989"/>
      <c r="P221" s="989"/>
      <c r="Q221" s="989"/>
      <c r="R221" s="157"/>
      <c r="S221" s="157"/>
    </row>
    <row r="222" spans="1:19" ht="13.5">
      <c r="A222" s="157"/>
      <c r="B222" s="157"/>
      <c r="C222" s="522"/>
      <c r="D222" s="522"/>
      <c r="E222" s="524"/>
      <c r="F222" s="991"/>
      <c r="G222" s="991"/>
      <c r="H222" s="991"/>
      <c r="I222" s="991"/>
      <c r="J222" s="525"/>
      <c r="K222" s="531"/>
      <c r="L222" s="989"/>
      <c r="M222" s="989"/>
      <c r="N222" s="989"/>
      <c r="O222" s="989"/>
      <c r="P222" s="989"/>
      <c r="Q222" s="989"/>
      <c r="R222" s="157"/>
      <c r="S222" s="157"/>
    </row>
    <row r="223" spans="1:19" ht="13.5">
      <c r="A223" s="157"/>
      <c r="B223" s="157"/>
      <c r="C223" s="522"/>
      <c r="D223" s="522"/>
      <c r="E223" s="524"/>
      <c r="F223" s="991"/>
      <c r="G223" s="991"/>
      <c r="H223" s="991"/>
      <c r="I223" s="991"/>
      <c r="J223" s="525"/>
      <c r="K223" s="531"/>
      <c r="L223" s="989"/>
      <c r="M223" s="989"/>
      <c r="N223" s="989"/>
      <c r="O223" s="989"/>
      <c r="P223" s="989"/>
      <c r="Q223" s="989"/>
      <c r="R223" s="157"/>
      <c r="S223" s="157"/>
    </row>
    <row r="224" spans="1:19" ht="13.5">
      <c r="A224" s="157"/>
      <c r="B224" s="157"/>
      <c r="C224" s="522"/>
      <c r="D224" s="522"/>
      <c r="E224" s="524"/>
      <c r="F224" s="991"/>
      <c r="G224" s="991"/>
      <c r="H224" s="991"/>
      <c r="I224" s="991"/>
      <c r="J224" s="525"/>
      <c r="K224" s="531"/>
      <c r="L224" s="989"/>
      <c r="M224" s="989"/>
      <c r="N224" s="989"/>
      <c r="O224" s="989"/>
      <c r="P224" s="989"/>
      <c r="Q224" s="989"/>
      <c r="R224" s="157"/>
      <c r="S224" s="157"/>
    </row>
    <row r="225" spans="1:19" ht="13.5">
      <c r="A225" s="157"/>
      <c r="B225" s="1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157"/>
      <c r="S225" s="157"/>
    </row>
    <row r="226" spans="1:19" ht="13.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</sheetData>
  <sheetProtection sheet="1" objects="1" scenarios="1"/>
  <mergeCells count="266">
    <mergeCell ref="F177:I177"/>
    <mergeCell ref="N177:Q177"/>
    <mergeCell ref="F183:I183"/>
    <mergeCell ref="N183:Q183"/>
    <mergeCell ref="F184:I184"/>
    <mergeCell ref="N184:Q184"/>
    <mergeCell ref="F174:I174"/>
    <mergeCell ref="N174:Q174"/>
    <mergeCell ref="F175:I175"/>
    <mergeCell ref="N175:Q175"/>
    <mergeCell ref="F179:I179"/>
    <mergeCell ref="N179:Q179"/>
    <mergeCell ref="F180:I180"/>
    <mergeCell ref="N180:Q180"/>
    <mergeCell ref="F181:I181"/>
    <mergeCell ref="N181:Q181"/>
    <mergeCell ref="F182:I182"/>
    <mergeCell ref="N182:Q182"/>
    <mergeCell ref="F170:I170"/>
    <mergeCell ref="N170:Q170"/>
    <mergeCell ref="F171:I171"/>
    <mergeCell ref="N171:Q171"/>
    <mergeCell ref="F172:I172"/>
    <mergeCell ref="N172:Q172"/>
    <mergeCell ref="F173:I173"/>
    <mergeCell ref="N173:Q173"/>
    <mergeCell ref="F176:I176"/>
    <mergeCell ref="N176:Q176"/>
    <mergeCell ref="F165:I165"/>
    <mergeCell ref="N165:Q165"/>
    <mergeCell ref="F166:I166"/>
    <mergeCell ref="N166:Q166"/>
    <mergeCell ref="F167:I167"/>
    <mergeCell ref="N167:Q167"/>
    <mergeCell ref="F168:I168"/>
    <mergeCell ref="N168:Q168"/>
    <mergeCell ref="F169:I169"/>
    <mergeCell ref="N169:Q169"/>
    <mergeCell ref="N147:Q147"/>
    <mergeCell ref="N148:Q148"/>
    <mergeCell ref="F144:I144"/>
    <mergeCell ref="F145:I145"/>
    <mergeCell ref="F161:I161"/>
    <mergeCell ref="N161:Q161"/>
    <mergeCell ref="F162:I162"/>
    <mergeCell ref="N162:Q162"/>
    <mergeCell ref="F164:I164"/>
    <mergeCell ref="N164:Q164"/>
    <mergeCell ref="F156:I156"/>
    <mergeCell ref="N156:Q156"/>
    <mergeCell ref="F157:I157"/>
    <mergeCell ref="N157:Q157"/>
    <mergeCell ref="F158:I158"/>
    <mergeCell ref="N158:Q158"/>
    <mergeCell ref="F159:I159"/>
    <mergeCell ref="N159:Q159"/>
    <mergeCell ref="F160:I160"/>
    <mergeCell ref="N160:Q160"/>
    <mergeCell ref="F151:I151"/>
    <mergeCell ref="N151:Q151"/>
    <mergeCell ref="F152:I152"/>
    <mergeCell ref="N152:Q152"/>
    <mergeCell ref="L221:M221"/>
    <mergeCell ref="N224:Q224"/>
    <mergeCell ref="F223:I223"/>
    <mergeCell ref="L223:M223"/>
    <mergeCell ref="N223:Q223"/>
    <mergeCell ref="F214:I214"/>
    <mergeCell ref="F215:I215"/>
    <mergeCell ref="F224:I224"/>
    <mergeCell ref="L224:M224"/>
    <mergeCell ref="F218:I218"/>
    <mergeCell ref="N217:Q217"/>
    <mergeCell ref="N222:Q222"/>
    <mergeCell ref="F221:I221"/>
    <mergeCell ref="N220:Q220"/>
    <mergeCell ref="N221:Q221"/>
    <mergeCell ref="L222:M222"/>
    <mergeCell ref="F220:I220"/>
    <mergeCell ref="L220:M220"/>
    <mergeCell ref="F222:I222"/>
    <mergeCell ref="N219:Q219"/>
    <mergeCell ref="L218:M218"/>
    <mergeCell ref="N218:Q218"/>
    <mergeCell ref="L215:M215"/>
    <mergeCell ref="F216:I216"/>
    <mergeCell ref="F219:I219"/>
    <mergeCell ref="L219:M219"/>
    <mergeCell ref="N199:Q199"/>
    <mergeCell ref="F201:I201"/>
    <mergeCell ref="L201:M201"/>
    <mergeCell ref="F206:I206"/>
    <mergeCell ref="L206:M206"/>
    <mergeCell ref="N203:Q203"/>
    <mergeCell ref="N213:Q213"/>
    <mergeCell ref="F211:I211"/>
    <mergeCell ref="F212:I212"/>
    <mergeCell ref="F213:I213"/>
    <mergeCell ref="L213:M213"/>
    <mergeCell ref="L211:M211"/>
    <mergeCell ref="N211:Q211"/>
    <mergeCell ref="F207:I207"/>
    <mergeCell ref="N208:Q208"/>
    <mergeCell ref="N206:Q206"/>
    <mergeCell ref="F200:I200"/>
    <mergeCell ref="N204:Q204"/>
    <mergeCell ref="F205:I205"/>
    <mergeCell ref="N215:Q215"/>
    <mergeCell ref="F209:I209"/>
    <mergeCell ref="L209:M209"/>
    <mergeCell ref="N209:Q209"/>
    <mergeCell ref="F210:I210"/>
    <mergeCell ref="F194:I194"/>
    <mergeCell ref="F204:I204"/>
    <mergeCell ref="L204:M204"/>
    <mergeCell ref="L197:M197"/>
    <mergeCell ref="N197:Q197"/>
    <mergeCell ref="F198:I198"/>
    <mergeCell ref="F199:I199"/>
    <mergeCell ref="L199:M199"/>
    <mergeCell ref="F202:I202"/>
    <mergeCell ref="N201:Q201"/>
    <mergeCell ref="F190:I190"/>
    <mergeCell ref="F191:I191"/>
    <mergeCell ref="L191:M191"/>
    <mergeCell ref="N191:Q191"/>
    <mergeCell ref="F195:I195"/>
    <mergeCell ref="L195:M195"/>
    <mergeCell ref="N195:Q195"/>
    <mergeCell ref="F196:I196"/>
    <mergeCell ref="F197:I197"/>
    <mergeCell ref="F192:I192"/>
    <mergeCell ref="F193:I193"/>
    <mergeCell ref="L193:M193"/>
    <mergeCell ref="N193:Q193"/>
    <mergeCell ref="N136:Q136"/>
    <mergeCell ref="F136:I136"/>
    <mergeCell ref="F138:I138"/>
    <mergeCell ref="N138:Q138"/>
    <mergeCell ref="F149:I149"/>
    <mergeCell ref="N149:Q149"/>
    <mergeCell ref="N140:Q140"/>
    <mergeCell ref="F137:I137"/>
    <mergeCell ref="N137:Q137"/>
    <mergeCell ref="F139:I139"/>
    <mergeCell ref="N139:Q139"/>
    <mergeCell ref="F140:I140"/>
    <mergeCell ref="F141:I141"/>
    <mergeCell ref="F142:I142"/>
    <mergeCell ref="F143:I143"/>
    <mergeCell ref="F146:I146"/>
    <mergeCell ref="F147:I147"/>
    <mergeCell ref="F148:I148"/>
    <mergeCell ref="N141:Q141"/>
    <mergeCell ref="N142:Q142"/>
    <mergeCell ref="N143:Q143"/>
    <mergeCell ref="N144:Q144"/>
    <mergeCell ref="N145:Q145"/>
    <mergeCell ref="N146:Q146"/>
    <mergeCell ref="F134:I134"/>
    <mergeCell ref="F135:I135"/>
    <mergeCell ref="N135:Q135"/>
    <mergeCell ref="N134:Q134"/>
    <mergeCell ref="F131:I131"/>
    <mergeCell ref="F132:I132"/>
    <mergeCell ref="N131:Q131"/>
    <mergeCell ref="N132:Q132"/>
    <mergeCell ref="N128:Q128"/>
    <mergeCell ref="N130:Q130"/>
    <mergeCell ref="F128:I128"/>
    <mergeCell ref="F129:I129"/>
    <mergeCell ref="N129:Q129"/>
    <mergeCell ref="F130:I130"/>
    <mergeCell ref="F127:I127"/>
    <mergeCell ref="N127:Q127"/>
    <mergeCell ref="F133:I133"/>
    <mergeCell ref="N133:Q133"/>
    <mergeCell ref="F121:I121"/>
    <mergeCell ref="N121:Q121"/>
    <mergeCell ref="N122:Q122"/>
    <mergeCell ref="F123:I123"/>
    <mergeCell ref="N123:Q123"/>
    <mergeCell ref="F124:I124"/>
    <mergeCell ref="F126:I126"/>
    <mergeCell ref="N126:Q126"/>
    <mergeCell ref="F125:I125"/>
    <mergeCell ref="N125:Q125"/>
    <mergeCell ref="F122:I122"/>
    <mergeCell ref="N124:Q124"/>
    <mergeCell ref="N113:Q113"/>
    <mergeCell ref="F116:I116"/>
    <mergeCell ref="N116:Q116"/>
    <mergeCell ref="M109:Q109"/>
    <mergeCell ref="F111:I111"/>
    <mergeCell ref="F120:I120"/>
    <mergeCell ref="N120:Q120"/>
    <mergeCell ref="F118:I118"/>
    <mergeCell ref="N118:Q118"/>
    <mergeCell ref="F117:I117"/>
    <mergeCell ref="F119:I119"/>
    <mergeCell ref="N119:Q119"/>
    <mergeCell ref="S2:AC2"/>
    <mergeCell ref="C4:Q4"/>
    <mergeCell ref="F6:P6"/>
    <mergeCell ref="F7:P7"/>
    <mergeCell ref="H33:J33"/>
    <mergeCell ref="M84:Q84"/>
    <mergeCell ref="M85:Q85"/>
    <mergeCell ref="C87:G87"/>
    <mergeCell ref="F102:P102"/>
    <mergeCell ref="C100:Q100"/>
    <mergeCell ref="H36:J36"/>
    <mergeCell ref="M36:P36"/>
    <mergeCell ref="H37:J37"/>
    <mergeCell ref="F78:P78"/>
    <mergeCell ref="N90:Q90"/>
    <mergeCell ref="N92:Q92"/>
    <mergeCell ref="L94:Q94"/>
    <mergeCell ref="N87:Q87"/>
    <mergeCell ref="M37:P37"/>
    <mergeCell ref="N89:Q89"/>
    <mergeCell ref="F80:P80"/>
    <mergeCell ref="F82:J82"/>
    <mergeCell ref="M82:P82"/>
    <mergeCell ref="F79:P79"/>
    <mergeCell ref="H1:K1"/>
    <mergeCell ref="C2:Q2"/>
    <mergeCell ref="F8:P8"/>
    <mergeCell ref="O10:P10"/>
    <mergeCell ref="M33:P33"/>
    <mergeCell ref="O12:P12"/>
    <mergeCell ref="O13:P13"/>
    <mergeCell ref="O15:P15"/>
    <mergeCell ref="O16:P16"/>
    <mergeCell ref="O18:P18"/>
    <mergeCell ref="O19:P19"/>
    <mergeCell ref="M29:P29"/>
    <mergeCell ref="M31:P31"/>
    <mergeCell ref="O21:P21"/>
    <mergeCell ref="O22:P22"/>
    <mergeCell ref="E25:P25"/>
    <mergeCell ref="M28:P28"/>
    <mergeCell ref="F153:I153"/>
    <mergeCell ref="N153:Q153"/>
    <mergeCell ref="F154:I154"/>
    <mergeCell ref="N154:Q154"/>
    <mergeCell ref="F155:I155"/>
    <mergeCell ref="N155:Q155"/>
    <mergeCell ref="M35:P35"/>
    <mergeCell ref="H35:J35"/>
    <mergeCell ref="H34:J34"/>
    <mergeCell ref="M34:P34"/>
    <mergeCell ref="L39:P39"/>
    <mergeCell ref="F84:J84"/>
    <mergeCell ref="C76:Q76"/>
    <mergeCell ref="N114:Q114"/>
    <mergeCell ref="F115:I115"/>
    <mergeCell ref="F103:P103"/>
    <mergeCell ref="L111:M111"/>
    <mergeCell ref="N111:Q111"/>
    <mergeCell ref="N115:Q115"/>
    <mergeCell ref="M108:Q108"/>
    <mergeCell ref="F104:P104"/>
    <mergeCell ref="M106:P106"/>
    <mergeCell ref="N117:Q117"/>
    <mergeCell ref="N112:Q11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DESKTOP-NRDNLTQ\Building Plzeň</dc:creator>
  <cp:keywords/>
  <dc:description/>
  <cp:lastModifiedBy>vlada</cp:lastModifiedBy>
  <cp:lastPrinted>2018-10-25T09:16:50Z</cp:lastPrinted>
  <dcterms:created xsi:type="dcterms:W3CDTF">2017-04-13T05:44:36Z</dcterms:created>
  <dcterms:modified xsi:type="dcterms:W3CDTF">2019-01-15T12:42:38Z</dcterms:modified>
  <cp:category/>
  <cp:version/>
  <cp:contentType/>
  <cp:contentStatus/>
</cp:coreProperties>
</file>