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431"/>
  <workbookPr/>
  <bookViews>
    <workbookView xWindow="0" yWindow="0" windowWidth="14280" windowHeight="12015" tabRatio="905" firstSheet="9" activeTab="14"/>
  </bookViews>
  <sheets>
    <sheet name="Rekapitulace stavby" sheetId="1" r:id="rId1"/>
    <sheet name="SO.1.01 - Objekt ČOV - hr..." sheetId="2" r:id="rId2"/>
    <sheet name="SO.1.02 - Objekt ČOV - ná..." sheetId="3" r:id="rId3"/>
    <sheet name="SO.1.03 - Objekt ČOV - do..." sheetId="4" r:id="rId4"/>
    <sheet name="SO.1.04 - Objekt ČOV - ná..." sheetId="5" r:id="rId5"/>
    <sheet name="SO.1.05 - Objekt ČOV - ka..." sheetId="6" r:id="rId6"/>
    <sheet name="SO.1.06 - Objekt ČOV - pr..." sheetId="7" r:id="rId7"/>
    <sheet name="SO.1.07 - Objekt ČOV - pr..." sheetId="8" r:id="rId8"/>
    <sheet name="SO.1.08 - Objekt ČOV - op..." sheetId="9" r:id="rId9"/>
    <sheet name="SO.1.08a - Objekt ČOV - k..." sheetId="10" r:id="rId10"/>
    <sheet name="SO.1.09 - Objekt ČOV - ze..." sheetId="11" r:id="rId11"/>
    <sheet name="SO.1.10 - Objekt ČOV - os..." sheetId="12" r:id="rId12"/>
    <sheet name="SO.2.01 - Kanalizace - čá..." sheetId="13" r:id="rId13"/>
    <sheet name="SO.2.02 - Kanalizace - čá..." sheetId="14" r:id="rId14"/>
    <sheet name="SO.2.03 - Kanalizace - čá..." sheetId="15" r:id="rId15"/>
    <sheet name="List2" sheetId="17" r:id="rId16"/>
  </sheets>
  <definedNames>
    <definedName name="_xlnm.Print_Area" localSheetId="0">'Rekapitulace stavby'!$C$4:$AP$70,'Rekapitulace stavby'!$C$76:$AP$105</definedName>
    <definedName name="_xlnm.Print_Area" localSheetId="1">'SO.1.01 - Objekt ČOV - hr...'!$C$4:$Q$70,'SO.1.01 - Objekt ČOV - hr...'!$C$76:$Q$97,'SO.1.01 - Objekt ČOV - hr...'!$C$103:$Q$147</definedName>
    <definedName name="_xlnm.Print_Area" localSheetId="2">'SO.1.02 - Objekt ČOV - ná...'!$C$4:$Q$70,'SO.1.02 - Objekt ČOV - ná...'!$C$76:$Q$100,'SO.1.02 - Objekt ČOV - ná...'!$C$106:$Q$203</definedName>
    <definedName name="_xlnm.Print_Area" localSheetId="3">'SO.1.03 - Objekt ČOV - do...'!$C$4:$Q$70,'SO.1.03 - Objekt ČOV - do...'!$C$76:$Q$99,'SO.1.03 - Objekt ČOV - do...'!$C$105:$Q$185</definedName>
    <definedName name="_xlnm.Print_Area" localSheetId="4">'SO.1.04 - Objekt ČOV - ná...'!$C$4:$Q$70,'SO.1.04 - Objekt ČOV - ná...'!$C$76:$Q$100,'SO.1.04 - Objekt ČOV - ná...'!$C$106:$Q$163</definedName>
    <definedName name="_xlnm.Print_Area" localSheetId="5">'SO.1.05 - Objekt ČOV - ka...'!$C$4:$Q$70,'SO.1.05 - Objekt ČOV - ka...'!$C$76:$Q$101,'SO.1.05 - Objekt ČOV - ka...'!$C$107:$Q$189</definedName>
    <definedName name="_xlnm.Print_Area" localSheetId="6">'SO.1.06 - Objekt ČOV - pr...'!$C$4:$Q$70,'SO.1.06 - Objekt ČOV - pr...'!$C$76:$Q$100,'SO.1.06 - Objekt ČOV - pr...'!$C$106:$Q$219</definedName>
    <definedName name="_xlnm.Print_Area" localSheetId="7">'SO.1.07 - Objekt ČOV - pr...'!$C$4:$Q$70,'SO.1.07 - Objekt ČOV - pr...'!$C$76:$Q$116,'SO.1.07 - Objekt ČOV - pr...'!$C$122:$Q$326</definedName>
    <definedName name="_xlnm.Print_Area" localSheetId="8">'SO.1.08 - Objekt ČOV - op...'!$C$4:$Q$70,'SO.1.08 - Objekt ČOV - op...'!$C$76:$Q$97,'SO.1.08 - Objekt ČOV - op...'!$C$103:$Q$137</definedName>
    <definedName name="_xlnm.Print_Area" localSheetId="9">'SO.1.08a - Objekt ČOV - k...'!$C$4:$Q$70,'SO.1.08a - Objekt ČOV - k...'!$C$76:$Q$96,'SO.1.08a - Objekt ČOV - k...'!$C$102:$Q$135</definedName>
    <definedName name="_xlnm.Print_Area" localSheetId="10">'SO.1.09 - Objekt ČOV - ze...'!$C$4:$Q$70,'SO.1.09 - Objekt ČOV - ze...'!$C$76:$Q$95,'SO.1.09 - Objekt ČOV - ze...'!$C$101:$Q$139</definedName>
    <definedName name="_xlnm.Print_Area" localSheetId="11">'SO.1.10 - Objekt ČOV - os...'!$C$4:$Q$70,'SO.1.10 - Objekt ČOV - os...'!$C$76:$Q$96,'SO.1.10 - Objekt ČOV - os...'!$C$102:$Q$162</definedName>
    <definedName name="_xlnm.Print_Area" localSheetId="12">'SO.2.01 - Kanalizace - čá...'!$C$4:$Q$70,'SO.2.01 - Kanalizace - čá...'!$C$76:$Q$102,'SO.2.01 - Kanalizace - čá...'!$C$108:$Q$520</definedName>
    <definedName name="_xlnm.Print_Area" localSheetId="13">'SO.2.02 - Kanalizace - čá...'!$C$4:$Q$70,'SO.2.02 - Kanalizace - čá...'!$C$76:$Q$101,'SO.2.02 - Kanalizace - čá...'!$C$107:$Q$589</definedName>
    <definedName name="_xlnm.Print_Area" localSheetId="14">'SO.2.03 - Kanalizace - čá...'!$C$4:$Q$70,'SO.2.03 - Kanalizace - čá...'!$C$76:$Q$102,'SO.2.03 - Kanalizace - čá...'!$C$108:$Q$544</definedName>
    <definedName name="_xlnm.Print_Titles" localSheetId="0">'Rekapitulace stavby'!$85:$85</definedName>
    <definedName name="_xlnm.Print_Titles" localSheetId="1">'SO.1.01 - Objekt ČOV - hr...'!$113:$113</definedName>
    <definedName name="_xlnm.Print_Titles" localSheetId="2">'SO.1.02 - Objekt ČOV - ná...'!$116:$116</definedName>
    <definedName name="_xlnm.Print_Titles" localSheetId="3">'SO.1.03 - Objekt ČOV - do...'!$115:$115</definedName>
    <definedName name="_xlnm.Print_Titles" localSheetId="4">'SO.1.04 - Objekt ČOV - ná...'!$116:$116</definedName>
    <definedName name="_xlnm.Print_Titles" localSheetId="5">'SO.1.05 - Objekt ČOV - ka...'!$117:$117</definedName>
    <definedName name="_xlnm.Print_Titles" localSheetId="6">'SO.1.06 - Objekt ČOV - pr...'!$116:$116</definedName>
    <definedName name="_xlnm.Print_Titles" localSheetId="7">'SO.1.07 - Objekt ČOV - pr...'!$132:$132</definedName>
    <definedName name="_xlnm.Print_Titles" localSheetId="8">'SO.1.08 - Objekt ČOV - op...'!$113:$113</definedName>
    <definedName name="_xlnm.Print_Titles" localSheetId="9">'SO.1.08a - Objekt ČOV - k...'!$112:$112</definedName>
    <definedName name="_xlnm.Print_Titles" localSheetId="10">'SO.1.09 - Objekt ČOV - ze...'!$111:$111</definedName>
    <definedName name="_xlnm.Print_Titles" localSheetId="11">'SO.1.10 - Objekt ČOV - os...'!$112:$112</definedName>
    <definedName name="_xlnm.Print_Titles" localSheetId="12">'SO.2.01 - Kanalizace - čá...'!$118:$118</definedName>
    <definedName name="_xlnm.Print_Titles" localSheetId="13">'SO.2.02 - Kanalizace - čá...'!$117:$117</definedName>
    <definedName name="_xlnm.Print_Titles" localSheetId="14">'SO.2.03 - Kanalizace - čá...'!$118:$118</definedName>
  </definedNames>
  <calcPr calcId="171027"/>
</workbook>
</file>

<file path=xl/sharedStrings.xml><?xml version="1.0" encoding="utf-8"?>
<sst xmlns="http://schemas.openxmlformats.org/spreadsheetml/2006/main" count="21899" uniqueCount="2228">
  <si>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</si>
  <si>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</si>
  <si>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</si>
  <si>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</si>
  <si>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</si>
  <si>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</si>
  <si>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</si>
  <si>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</si>
  <si>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</si>
  <si>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</si>
  <si>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</si>
  <si>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</si>
  <si>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</si>
  <si>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</si>
  <si>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</si>
  <si>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</si>
  <si>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</si>
  <si>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ČOV a splašková kanalizace Žinkovy</t>
  </si>
  <si>
    <t>0,1</t>
  </si>
  <si>
    <t>JKSO:</t>
  </si>
  <si>
    <t>CC-CZ:</t>
  </si>
  <si>
    <t>1</t>
  </si>
  <si>
    <t>Místo:</t>
  </si>
  <si>
    <t>Žinkovy</t>
  </si>
  <si>
    <t>Datum:</t>
  </si>
  <si>
    <t>10</t>
  </si>
  <si>
    <t>100</t>
  </si>
  <si>
    <t>Objednatel:</t>
  </si>
  <si>
    <t>IČ:</t>
  </si>
  <si>
    <t>Obec Žinkovy</t>
  </si>
  <si>
    <t>DIČ:</t>
  </si>
  <si>
    <t>Zhotovitel:</t>
  </si>
  <si>
    <t xml:space="preserve"> </t>
  </si>
  <si>
    <t>Projektant:</t>
  </si>
  <si>
    <t>PIK Vítek</t>
  </si>
  <si>
    <t>True</t>
  </si>
  <si>
    <t>Zpracovatel:</t>
  </si>
  <si>
    <t>Acrone s.r.o.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</si>
  <si>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</si>
  <si>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</si>
  <si>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</si>
  <si>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</si>
  <si>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</si>
  <si>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</si>
  <si>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</si>
  <si>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</si>
  <si>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</si>
  <si>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</si>
  <si>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</si>
  <si>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</si>
  <si>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</si>
  <si>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</si>
  <si>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</si>
  <si>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</si>
  <si>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</si>
  <si>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</si>
  <si>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</si>
  <si>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</si>
  <si>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</si>
  <si>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</si>
  <si>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</si>
  <si>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</si>
  <si>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</si>
  <si>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</si>
  <si>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</si>
  <si>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</si>
  <si>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</si>
  <si>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</si>
  <si>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</si>
  <si>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</si>
  <si>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</si>
  <si>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</si>
  <si>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</si>
  <si>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</si>
  <si>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</si>
  <si>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</si>
  <si>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</si>
  <si>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</si>
  <si>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</si>
  <si>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</si>
  <si>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</si>
  <si>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{183a4454-30e9-4ded-a5a3-ab86747cb755}</t>
  </si>
  <si>
    <t>{00000000-0000-0000-0000-000000000000}</t>
  </si>
  <si>
    <t>/</t>
  </si>
  <si>
    <t>SO.1.01</t>
  </si>
  <si>
    <t>Objekt ČOV - hrubé předčištění  a měření průtoku</t>
  </si>
  <si>
    <t>{f23966de-157b-498a-a6cf-d077617627f9}</t>
  </si>
  <si>
    <t>SO.1.02</t>
  </si>
  <si>
    <t>Objekt ČOV - nádrž oběhové aktivace</t>
  </si>
  <si>
    <t>{1a89c483-5622-41cd-8c5e-13bbd22396e6}</t>
  </si>
  <si>
    <t>SO.1.03</t>
  </si>
  <si>
    <t>Objekt ČOV - dosazovací nádrže</t>
  </si>
  <si>
    <t>{6d90de63-894b-45ff-b9da-7d421557986f}</t>
  </si>
  <si>
    <t>SO.1.04</t>
  </si>
  <si>
    <t>Objekt ČOV - nádrž regenerace kalu</t>
  </si>
  <si>
    <t>{b60cecac-214d-4719-b75d-0c1b2b4f496a}</t>
  </si>
  <si>
    <t>SO.1.05</t>
  </si>
  <si>
    <t>Objekt ČOV - kalová uskladňovací nádrž</t>
  </si>
  <si>
    <t>{351f3123-9541-4cfd-bc7a-ce13013c7f95}</t>
  </si>
  <si>
    <t>SO.1.06</t>
  </si>
  <si>
    <t xml:space="preserve">Objekt ČOV - propojovací potrubí </t>
  </si>
  <si>
    <t>{0e05cf66-2822-4cef-b9c6-4e8a9e356e3e}</t>
  </si>
  <si>
    <t>SO.1.07</t>
  </si>
  <si>
    <t>Objekt ČOV - provozní objekt</t>
  </si>
  <si>
    <t>{c6c273ff-3026-4c0e-a6bc-1b6031326fff}</t>
  </si>
  <si>
    <t>SO.1.08</t>
  </si>
  <si>
    <t xml:space="preserve">Objekt ČOV - oplocení </t>
  </si>
  <si>
    <t>{b7ad1b36-cf29-4273-afb1-86626ff15be3}</t>
  </si>
  <si>
    <t>SO.1.08a</t>
  </si>
  <si>
    <t>Objekt ČOV - komunikace</t>
  </si>
  <si>
    <t>{5c293552-261b-4e15-a3b9-d495dc005067}</t>
  </si>
  <si>
    <t>SO.1.09</t>
  </si>
  <si>
    <t>Objekt ČOV - zemní práce a terénní úpravy</t>
  </si>
  <si>
    <t>{23100e95-2013-4562-93b9-532c7da3d31b}</t>
  </si>
  <si>
    <t>SO.1.10</t>
  </si>
  <si>
    <t xml:space="preserve">Objekt ČOV - ostatní </t>
  </si>
  <si>
    <t>{fe2ad1cb-c447-4f85-9657-2d45500b07f0}</t>
  </si>
  <si>
    <t>SO.2.01</t>
  </si>
  <si>
    <t>Kanalizace - část 1 včetně ČS4</t>
  </si>
  <si>
    <t>{a46b65d7-d1b3-4228-a0ec-38f534886021}</t>
  </si>
  <si>
    <t>SO.2.02</t>
  </si>
  <si>
    <t>Kanalizace - část 2 včetně ČS2</t>
  </si>
  <si>
    <t>{d08809b6-2f65-4c82-95f1-036a997f4439}</t>
  </si>
  <si>
    <t>SO.2.03</t>
  </si>
  <si>
    <t>Kanalizace - část 3 včetně ČS1</t>
  </si>
  <si>
    <t>{3896db2d-e298-4799-a320-0ebff6543fca}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</si>
  <si>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</si>
  <si>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</si>
  <si>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</si>
  <si>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</si>
  <si>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</si>
  <si>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</si>
  <si>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</si>
  <si>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</si>
  <si>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</si>
  <si>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</si>
  <si>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</si>
  <si>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</si>
  <si>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SO.1.01 - Objekt ČOV - hrubé předčištění  a měření průtoku</t>
  </si>
  <si>
    <t>PIK Vítek s.r.o.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</si>
  <si>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</si>
  <si>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</si>
  <si>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</si>
  <si>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</si>
  <si>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</si>
  <si>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</si>
  <si>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</si>
  <si>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</si>
  <si>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</si>
  <si>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</si>
  <si>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8 - Trubní vedení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</si>
  <si>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</si>
  <si>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</si>
  <si>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</si>
  <si>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</si>
  <si>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</si>
  <si>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</si>
  <si>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</si>
  <si>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</si>
  <si>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</si>
  <si>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</si>
  <si>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</si>
  <si>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</si>
  <si>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</si>
  <si>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</si>
  <si>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</si>
  <si>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</si>
  <si>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</si>
  <si>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</si>
  <si>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1001</t>
  </si>
  <si>
    <t>Zemní práce obsaženy v SO.1.09 - terénní úpravy</t>
  </si>
  <si>
    <t>kpl</t>
  </si>
  <si>
    <t>4</t>
  </si>
  <si>
    <t>-1310219076</t>
  </si>
  <si>
    <t>451575111</t>
  </si>
  <si>
    <t>Podkladní vrstva  ze štěrkopísku hutněného</t>
  </si>
  <si>
    <t>m3</t>
  </si>
  <si>
    <t>1313631755</t>
  </si>
  <si>
    <t>"objekt hrubého předčištění"</t>
  </si>
  <si>
    <t>VV</t>
  </si>
  <si>
    <t>(3,5*1,4)*0,15</t>
  </si>
  <si>
    <t>"objekt měření"</t>
  </si>
  <si>
    <t>1,5*1,0*0,15</t>
  </si>
  <si>
    <t>Součet</t>
  </si>
  <si>
    <t>3</t>
  </si>
  <si>
    <t>272311124R1</t>
  </si>
  <si>
    <t>Podkladní beton C12/15 XC0</t>
  </si>
  <si>
    <t>-139967396</t>
  </si>
  <si>
    <t>(3,3*1,2)*0,1</t>
  </si>
  <si>
    <t>273326241</t>
  </si>
  <si>
    <t>Základové desky ze ŽB pro prostředí s mrazovými cykly tř. C 30/37 XC4, XA1</t>
  </si>
  <si>
    <t>1204897089</t>
  </si>
  <si>
    <t>"deska"</t>
  </si>
  <si>
    <t>(0,9*0,4*0,4+1,6*0,6*0,38+0,2*0,4*0,2)</t>
  </si>
  <si>
    <t>"stěny"</t>
  </si>
  <si>
    <t>(0,8*2+2,7*2)*0,8*0,2</t>
  </si>
  <si>
    <t>5</t>
  </si>
  <si>
    <t>273356021</t>
  </si>
  <si>
    <t>Bednění základových desek ploch rovinných zřízení</t>
  </si>
  <si>
    <t>m2</t>
  </si>
  <si>
    <t>706678651</t>
  </si>
  <si>
    <t>(3,1*2+0,8*2)*0,4</t>
  </si>
  <si>
    <t>(0,8*2+0,4*2+2,7*2+3,1*2)*0,8</t>
  </si>
  <si>
    <t>6</t>
  </si>
  <si>
    <t>273356022</t>
  </si>
  <si>
    <t>Bednění základových desek ploch rovinných odstranění</t>
  </si>
  <si>
    <t>449833899</t>
  </si>
  <si>
    <t>7</t>
  </si>
  <si>
    <t>273366006</t>
  </si>
  <si>
    <t>Výztuž základových desek z betonářské oceli 10 505</t>
  </si>
  <si>
    <t>t</t>
  </si>
  <si>
    <t>-530927369</t>
  </si>
  <si>
    <t>(1,645*100)/1000</t>
  </si>
  <si>
    <t>8</t>
  </si>
  <si>
    <t>895971R1</t>
  </si>
  <si>
    <t>Šachta plastová pro Parsh.  žlab - svařenec z desek PE tr 10 mm rozměr 1200/750/950 mm s poklopem</t>
  </si>
  <si>
    <t>soubor</t>
  </si>
  <si>
    <t>186037390</t>
  </si>
  <si>
    <t>9</t>
  </si>
  <si>
    <t>895971R2</t>
  </si>
  <si>
    <t>Parshalův žlab P2 775/353/264 mm</t>
  </si>
  <si>
    <t>522130553</t>
  </si>
  <si>
    <t>998021021</t>
  </si>
  <si>
    <t>Přesun hmot pro HSV</t>
  </si>
  <si>
    <t>1688337509</t>
  </si>
  <si>
    <t>SO.1.02 - Objekt ČOV - nádrž oběhové aktivace</t>
  </si>
  <si>
    <t xml:space="preserve">    3 - Svislé a kompletní konstrukce</t>
  </si>
  <si>
    <t xml:space="preserve">    4 - Vodorovné konstrukce</t>
  </si>
  <si>
    <t xml:space="preserve">    9 - Ostatní konstrukce a práce-bourání</t>
  </si>
  <si>
    <t>115101R1</t>
  </si>
  <si>
    <t>Čerpací studně</t>
  </si>
  <si>
    <t>KPL</t>
  </si>
  <si>
    <t>-796454880</t>
  </si>
  <si>
    <t>115101201</t>
  </si>
  <si>
    <t>Čerpání vody na dopravní výšku do 10 m průměrný přítok do 500 l/min</t>
  </si>
  <si>
    <t>hod</t>
  </si>
  <si>
    <t>1080280573</t>
  </si>
  <si>
    <t>"3 měsíce"</t>
  </si>
  <si>
    <t>10*30*3</t>
  </si>
  <si>
    <t>131201102</t>
  </si>
  <si>
    <t>Hloubení jam nezapažených v hornině tř. 3 objemu do 1000 m3</t>
  </si>
  <si>
    <t>1694512175</t>
  </si>
  <si>
    <t>25*5*2,0</t>
  </si>
  <si>
    <t>(1,5*1,5)*20</t>
  </si>
  <si>
    <t>(1,5*1,5)*4,5</t>
  </si>
  <si>
    <t>131201109</t>
  </si>
  <si>
    <t>Příplatek za lepivost u hloubení jam nezapažených v hornině tř. 3</t>
  </si>
  <si>
    <t>873384639</t>
  </si>
  <si>
    <t>167101102</t>
  </si>
  <si>
    <t>Nakládání výkopku z hornin tř. 1 až 4 přes 100 m3</t>
  </si>
  <si>
    <t>262231292</t>
  </si>
  <si>
    <t>162301101</t>
  </si>
  <si>
    <t>Vodorovné přemístění do 500 m výkopku z horniny tř. 1 až 4 - mezideponie včetně nakládání a složení</t>
  </si>
  <si>
    <t>731909307</t>
  </si>
  <si>
    <t>174101R1</t>
  </si>
  <si>
    <t>Zásyp nad úroveň RT - v SO.1.09 terenní úpravy</t>
  </si>
  <si>
    <t>1408069218</t>
  </si>
  <si>
    <t>212752113</t>
  </si>
  <si>
    <t>Trativod z drenážních trubek otevřený výkop DN 100 mm + štěrkový zásyp</t>
  </si>
  <si>
    <t>m</t>
  </si>
  <si>
    <t>520943644</t>
  </si>
  <si>
    <t>75</t>
  </si>
  <si>
    <t>919726122</t>
  </si>
  <si>
    <t>Geotextilie pro ochranu, separaci a filtraci netkaná měrná hmotnost do 300 g/m2</t>
  </si>
  <si>
    <t>-2082267696</t>
  </si>
  <si>
    <t>"dno"</t>
  </si>
  <si>
    <t>5,0*25,0</t>
  </si>
  <si>
    <t>(4,0*32*2)*1,1</t>
  </si>
  <si>
    <t>5*25,0*0,5</t>
  </si>
  <si>
    <t>(4,0*32*2)*0,2</t>
  </si>
  <si>
    <t>11</t>
  </si>
  <si>
    <t>5,0*25,0*0,1</t>
  </si>
  <si>
    <t>(4,0*32*2)*0,1</t>
  </si>
  <si>
    <t>12</t>
  </si>
  <si>
    <t>Základové desky ze ŽB tř. C 30/37 XC4, XA2, XF3</t>
  </si>
  <si>
    <t>5,0*25*0,3</t>
  </si>
  <si>
    <t>13</t>
  </si>
  <si>
    <t>(5,0*2+25*2)*0,4</t>
  </si>
  <si>
    <t>14</t>
  </si>
  <si>
    <t>"2x kari síť"</t>
  </si>
  <si>
    <t>(25*5,0*7*2)/1000</t>
  </si>
  <si>
    <t>16</t>
  </si>
  <si>
    <t>311322611</t>
  </si>
  <si>
    <t>Nosná zeď ze ŽB tř. C 30/37 XC4, XA2, XF3  s vložením těsnění spar bentonitovými pásy</t>
  </si>
  <si>
    <t>1992096519</t>
  </si>
  <si>
    <t>(20,0*2+12,0*2)*3,5*0,3</t>
  </si>
  <si>
    <t>(20,0*2+12,0*2)*0,75*0,3</t>
  </si>
  <si>
    <t>20,0*2,5*0,25</t>
  </si>
  <si>
    <t>17</t>
  </si>
  <si>
    <t>311351101</t>
  </si>
  <si>
    <t>Zřízení jednostranného bednění zdí nosných</t>
  </si>
  <si>
    <t>-924356970</t>
  </si>
  <si>
    <t>(20,0*2+12,0*2)*3,5</t>
  </si>
  <si>
    <t>(20,0*2+12,0*2)*0,75*2</t>
  </si>
  <si>
    <t>20,0*2,5*2</t>
  </si>
  <si>
    <t>18</t>
  </si>
  <si>
    <t>311351101R1</t>
  </si>
  <si>
    <t>Příplatek za oblouk</t>
  </si>
  <si>
    <t>-504651986</t>
  </si>
  <si>
    <t>(12,0*2)*3,5</t>
  </si>
  <si>
    <t>(12,0*2)*0,75*2</t>
  </si>
  <si>
    <t>19</t>
  </si>
  <si>
    <t>311351102</t>
  </si>
  <si>
    <t>Odstranění jednostranného bednění zdí nosných</t>
  </si>
  <si>
    <t>-2134628150</t>
  </si>
  <si>
    <t>20</t>
  </si>
  <si>
    <t>311361821</t>
  </si>
  <si>
    <t>Výztuž betonovýcj konstrukcí betonářskou ocelí B500B</t>
  </si>
  <si>
    <t>-1819780709</t>
  </si>
  <si>
    <t>(20,0*2+12,0*2)*0,75</t>
  </si>
  <si>
    <t>20,0*2,5</t>
  </si>
  <si>
    <t>(322*7*2)/1000*2</t>
  </si>
  <si>
    <t>317941121R1</t>
  </si>
  <si>
    <t>Osazování ocelových válcovaných nosníků středové stěny</t>
  </si>
  <si>
    <t>-1922899076</t>
  </si>
  <si>
    <t>((2,3*2*7+1,0*2*7)*28)/1000</t>
  </si>
  <si>
    <t>22</t>
  </si>
  <si>
    <t>M</t>
  </si>
  <si>
    <t>130107520R1</t>
  </si>
  <si>
    <t>ocel profilová I, IPE, U apod.</t>
  </si>
  <si>
    <t>1183650478</t>
  </si>
  <si>
    <t>23</t>
  </si>
  <si>
    <t>417321616</t>
  </si>
  <si>
    <t>Ztužující pásy a věnce ze ŽB tř. C 25/30 X0</t>
  </si>
  <si>
    <t>-602070714</t>
  </si>
  <si>
    <t>20,0*0,25*0,25</t>
  </si>
  <si>
    <t>24</t>
  </si>
  <si>
    <t>417351115</t>
  </si>
  <si>
    <t>Zřízení bednění ztužujících věnců</t>
  </si>
  <si>
    <t>-2029999078</t>
  </si>
  <si>
    <t>20,0*0,3*2</t>
  </si>
  <si>
    <t>25</t>
  </si>
  <si>
    <t>417351116</t>
  </si>
  <si>
    <t>Odstranění bednění ztužujících věnců</t>
  </si>
  <si>
    <t>-1529806753</t>
  </si>
  <si>
    <t>26</t>
  </si>
  <si>
    <t>417361821</t>
  </si>
  <si>
    <t>Výztuž ztužujících pásů a věnců betonářskou ocelí B500B</t>
  </si>
  <si>
    <t>1728982080</t>
  </si>
  <si>
    <t>(1,25*80)/1000</t>
  </si>
  <si>
    <t>27</t>
  </si>
  <si>
    <t>894111R1</t>
  </si>
  <si>
    <t>Propojovací potrubí PVC DN300 SN12</t>
  </si>
  <si>
    <t>988197888</t>
  </si>
  <si>
    <t>28</t>
  </si>
  <si>
    <t>949101112</t>
  </si>
  <si>
    <t>Lešení pomocné pro objekty pozemních staveb s lešeňovou podlahou v do 3,5 m zatížení do 150 kg/m2</t>
  </si>
  <si>
    <t>1428469108</t>
  </si>
  <si>
    <t>125</t>
  </si>
  <si>
    <t>29</t>
  </si>
  <si>
    <t>-332134608</t>
  </si>
  <si>
    <t>SO.1.03 - Objekt ČOV - dosazovací nádrže</t>
  </si>
  <si>
    <t>Čerpací studna</t>
  </si>
  <si>
    <t>-1461326883</t>
  </si>
  <si>
    <t>30*10*3</t>
  </si>
  <si>
    <t>2,5*6,0*3,25</t>
  </si>
  <si>
    <t>(6,0*3,25*6)</t>
  </si>
  <si>
    <t>(6,0*3,25*2,5)</t>
  </si>
  <si>
    <t xml:space="preserve">Zásyp štěrkopískem </t>
  </si>
  <si>
    <t>"do úrovně RT"</t>
  </si>
  <si>
    <t>239,5</t>
  </si>
  <si>
    <t>"objem nádrží k RT"</t>
  </si>
  <si>
    <t>-27,506*2</t>
  </si>
  <si>
    <t>2,5*6,0*1,1</t>
  </si>
  <si>
    <t>2,5*6,0*0,5</t>
  </si>
  <si>
    <t>2,5*6,0*0,1</t>
  </si>
  <si>
    <t>0,75*0,75*0,25*2</t>
  </si>
  <si>
    <t>0,75*4*0,3*2</t>
  </si>
  <si>
    <t>(0,75*0,75*7*2)/1000</t>
  </si>
  <si>
    <t>"stěny šikmé jehlanu"</t>
  </si>
  <si>
    <t>(34,184*0,25)*2</t>
  </si>
  <si>
    <t>"stěny nad terénem"</t>
  </si>
  <si>
    <t>(3,3*2+7,6*2+3,3)*1,5*0,25</t>
  </si>
  <si>
    <t>(3,3*2+7,6*2)*1,0*0,25</t>
  </si>
  <si>
    <t>2733R1</t>
  </si>
  <si>
    <t>Konický svařenec z plechu pro bednění dna šachet</t>
  </si>
  <si>
    <t>-1668146902</t>
  </si>
  <si>
    <t>(34,184*2)*2-28,0*2</t>
  </si>
  <si>
    <t>(3,3*2+7,6*2+3,3)*1,5*2</t>
  </si>
  <si>
    <t>(3,3*2+7,6*2)*1,0*2</t>
  </si>
  <si>
    <t>34,184*2</t>
  </si>
  <si>
    <t>(3,3*2+7,6*2+3,3)*1,5</t>
  </si>
  <si>
    <t>(3,3*2+7,6*2)*1,0</t>
  </si>
  <si>
    <t>"kari 2x"</t>
  </si>
  <si>
    <t>(127,818*7,0*2)/1000</t>
  </si>
  <si>
    <t>Propojovací potrubí DN300 SN 12</t>
  </si>
  <si>
    <t>SO.1.04 - Objekt ČOV - nádrž regenerace kalu</t>
  </si>
  <si>
    <t>PSV - Práce a dodávky PSV</t>
  </si>
  <si>
    <t xml:space="preserve">    767 - Konstrukce zámečnické</t>
  </si>
  <si>
    <t>(3,0*2,5)*0,8</t>
  </si>
  <si>
    <t>(0,8*0,8*2,5)</t>
  </si>
  <si>
    <t>(0,8*0,8*3,0)</t>
  </si>
  <si>
    <t>9,52-(1,5*2,5*0,8)</t>
  </si>
  <si>
    <t>2,5*3,0</t>
  </si>
  <si>
    <t>2,5*3,0*0,3</t>
  </si>
  <si>
    <t>2,7*2,2*0,1</t>
  </si>
  <si>
    <t>2,0*2,5*0,25</t>
  </si>
  <si>
    <t>(2,5*2+2,0*2)*0,3</t>
  </si>
  <si>
    <t>(1,25*100)/1000</t>
  </si>
  <si>
    <t>(2,0*2+2,0*2)*1,9*0,25</t>
  </si>
  <si>
    <t>(2,5*2+2,0*2+2,0*2+1,5*2)*1,9</t>
  </si>
  <si>
    <t>(3,8*100)/1000</t>
  </si>
  <si>
    <t>7661R200</t>
  </si>
  <si>
    <t>Pororošt kompozit</t>
  </si>
  <si>
    <t>994090292</t>
  </si>
  <si>
    <t>2*1,5</t>
  </si>
  <si>
    <t>998767201</t>
  </si>
  <si>
    <t>Přesun hmot pro zámečnické konstrukce v objektech v do 6  m</t>
  </si>
  <si>
    <t>%</t>
  </si>
  <si>
    <t>778043837</t>
  </si>
  <si>
    <t>SO.1.05 - Objekt ČOV - kalová uskladňovací nádrž</t>
  </si>
  <si>
    <t xml:space="preserve">    6 - Úpravy povrchu, podlahy, osazení</t>
  </si>
  <si>
    <t xml:space="preserve">    764 - Konstrukce klempířské</t>
  </si>
  <si>
    <t>(12*5,0)*1,2</t>
  </si>
  <si>
    <t>(1,2*1,2)*12</t>
  </si>
  <si>
    <t>(1,2*1,2)*5,0</t>
  </si>
  <si>
    <t>Zásyp štěrkopískem</t>
  </si>
  <si>
    <t>96,48-(10*4)*1,2</t>
  </si>
  <si>
    <t>7*2+7*2</t>
  </si>
  <si>
    <t>10,0*4,0</t>
  </si>
  <si>
    <t>12*5*0,3</t>
  </si>
  <si>
    <t>12*5*0,1</t>
  </si>
  <si>
    <t>10*4*0,25</t>
  </si>
  <si>
    <t>(7*2+6,6*2)*0,3</t>
  </si>
  <si>
    <t>(10*150)/1000</t>
  </si>
  <si>
    <t>(7,0*2+6,6*2)*4,25*0,25</t>
  </si>
  <si>
    <t>(7,0*2+6,6*2)*4,25*2</t>
  </si>
  <si>
    <t>(6,6*2)*4,25*2</t>
  </si>
  <si>
    <t>Výztuž betonových konstrukcí betonářskou ocelí B500B</t>
  </si>
  <si>
    <t>(28,9*150)/1000</t>
  </si>
  <si>
    <t>622142001</t>
  </si>
  <si>
    <t>Potažení vnějších stěn sklovláknitým pletivem vtlačeným do tenkovrstvé hmoty</t>
  </si>
  <si>
    <t>595174080</t>
  </si>
  <si>
    <t>(7,0*2+6,6*2)*2,25</t>
  </si>
  <si>
    <t>622143001</t>
  </si>
  <si>
    <t>Montáž omítkových plastových nebo pozinkovaných soklových profilů</t>
  </si>
  <si>
    <t>1747644307</t>
  </si>
  <si>
    <t>(7,0*2+6,6*2)</t>
  </si>
  <si>
    <t>553430100</t>
  </si>
  <si>
    <t>profil omítkový soklový CATNIC č. 6225 pro omítky venkovní 14 mm</t>
  </si>
  <si>
    <t>1953730989</t>
  </si>
  <si>
    <t>622143003</t>
  </si>
  <si>
    <t>Montáž omítkových plastových nebo pozinkovaných rohových profilů s tkaninou</t>
  </si>
  <si>
    <t>91390512</t>
  </si>
  <si>
    <t>590514800</t>
  </si>
  <si>
    <t>lišta rohová Al 10/10 cm s tkaninou bal. 2,5 m</t>
  </si>
  <si>
    <t>-1611755489</t>
  </si>
  <si>
    <t>622211021</t>
  </si>
  <si>
    <t>Montáž zateplení vnějších stěn z polystyrénových desek tl do 120 mm</t>
  </si>
  <si>
    <t>2088307085</t>
  </si>
  <si>
    <t>"nad terénem"</t>
  </si>
  <si>
    <t>"pod terénem"</t>
  </si>
  <si>
    <t>(7,0*2+6,6*2)*1,0</t>
  </si>
  <si>
    <t>283759380</t>
  </si>
  <si>
    <t>deska fasádní polystyrénová EPS 70 F 1000 x 500 x 100 mm</t>
  </si>
  <si>
    <t>130299778</t>
  </si>
  <si>
    <t>61,2*1,01</t>
  </si>
  <si>
    <t>283763540</t>
  </si>
  <si>
    <t>deska fasádní polystyrénová izolační Perimeter N PER 30 (EPS P) 1250 x 600 x 100 mm</t>
  </si>
  <si>
    <t>-1860515200</t>
  </si>
  <si>
    <t>27,2*1,1</t>
  </si>
  <si>
    <t>622381021</t>
  </si>
  <si>
    <t>Tenkovrstvá minerální zrnitá omítka tl. 2,0 mm včetně penetrace vnějších stěn</t>
  </si>
  <si>
    <t>1182843679</t>
  </si>
  <si>
    <t>941121111</t>
  </si>
  <si>
    <t>Montáž lešení řadového trubkového těžkého s podlahami zatížení do 300 kg/m2 š do 1,5 m v do 10 m</t>
  </si>
  <si>
    <t>-516620904</t>
  </si>
  <si>
    <t>(7,0*2+6,0*2)*3,5</t>
  </si>
  <si>
    <t>941121211</t>
  </si>
  <si>
    <t>Příplatek k lešení řadovému trubkovému těžkému s podlahami š 1,5 m v 10 m za první a ZKD den použití</t>
  </si>
  <si>
    <t>1724183706</t>
  </si>
  <si>
    <t>91*30</t>
  </si>
  <si>
    <t>30</t>
  </si>
  <si>
    <t>941121811</t>
  </si>
  <si>
    <t>Demontáž lešení řadového trubkového těžkého s podlahami zatížení do 300 kg/m2 š do 1,5 m v do 10 m</t>
  </si>
  <si>
    <t>2108971250</t>
  </si>
  <si>
    <t>31</t>
  </si>
  <si>
    <t>32</t>
  </si>
  <si>
    <t>33</t>
  </si>
  <si>
    <t>7640R1</t>
  </si>
  <si>
    <t>Oplechování horní hrany nádrží rš 500 mm nerez plech</t>
  </si>
  <si>
    <t>1750746766</t>
  </si>
  <si>
    <t xml:space="preserve">SO.1.06 - Objekt ČOV - propojovací potrubí </t>
  </si>
  <si>
    <t xml:space="preserve">    4 - Podkladní vrstvy</t>
  </si>
  <si>
    <t xml:space="preserve">      99 - Přesun hmot</t>
  </si>
  <si>
    <t xml:space="preserve">    782 - Dokončovací práce - obklady z kamene</t>
  </si>
  <si>
    <t>131201101</t>
  </si>
  <si>
    <t>Hloubení jam nezapažených v hornině tř. 3 objemu do 100 m3</t>
  </si>
  <si>
    <t>-86341107</t>
  </si>
  <si>
    <t>"výustní objekt"  51</t>
  </si>
  <si>
    <t>1828383828</t>
  </si>
  <si>
    <t>132201201</t>
  </si>
  <si>
    <t>Hloubení rýh š do 2000 mm v hornině tř. 3 objemu do 100 m3</t>
  </si>
  <si>
    <t>-980700662</t>
  </si>
  <si>
    <t>"počítán k UT 451,0"</t>
  </si>
  <si>
    <t xml:space="preserve">"obtok a odtok" </t>
  </si>
  <si>
    <t>(78,4*0,8*0,9)</t>
  </si>
  <si>
    <t>"ad"</t>
  </si>
  <si>
    <t>(9+6)*0,8*0,5</t>
  </si>
  <si>
    <t>"kv"</t>
  </si>
  <si>
    <t>4,7*0,8*0,9</t>
  </si>
  <si>
    <t>"pk"</t>
  </si>
  <si>
    <t>8,5*0,8*0,9</t>
  </si>
  <si>
    <t>"vk"</t>
  </si>
  <si>
    <t>16,9*0,8*0,9</t>
  </si>
  <si>
    <t>132201209</t>
  </si>
  <si>
    <t>Příplatek za lepivost k hloubení rýh š do 2000 mm v hornině tř. 3</t>
  </si>
  <si>
    <t>-361527827</t>
  </si>
  <si>
    <t>133201101</t>
  </si>
  <si>
    <t>Hloubení šachet v hornině tř. 3 objemu do 100 m3</t>
  </si>
  <si>
    <t>334278945</t>
  </si>
  <si>
    <t>6*1,5*1,5*2,0</t>
  </si>
  <si>
    <t>133201109</t>
  </si>
  <si>
    <t>Příplatek za lepivost u hloubení šachet v hornině tř. 3</t>
  </si>
  <si>
    <t>414959782</t>
  </si>
  <si>
    <t>Vodorovné přemístění do 500 m výkopku/sypaniny z horniny tř. 1 až 4</t>
  </si>
  <si>
    <t>-2105709662</t>
  </si>
  <si>
    <t>"odvoz výkopku na mezideponii"</t>
  </si>
  <si>
    <t>84,12+27+51</t>
  </si>
  <si>
    <t>"odvoz zpět na zásyp"</t>
  </si>
  <si>
    <t>6+28,448</t>
  </si>
  <si>
    <t>986393321</t>
  </si>
  <si>
    <t>174101101</t>
  </si>
  <si>
    <t>Zásyp šachet sypaninou se zhutněním</t>
  </si>
  <si>
    <t>489951682</t>
  </si>
  <si>
    <t>175101101</t>
  </si>
  <si>
    <t>Obsyp potrubí vhodnou zeminou z výkopu</t>
  </si>
  <si>
    <t>-1905220331</t>
  </si>
  <si>
    <t>84,12-45,792-9,88</t>
  </si>
  <si>
    <t>175101101a</t>
  </si>
  <si>
    <t>Obsyp potrubí hutněným štěrkopískem</t>
  </si>
  <si>
    <t>-1984295881</t>
  </si>
  <si>
    <t>78,4*0,8*0,5</t>
  </si>
  <si>
    <t>(9+6)*0,8*0,4</t>
  </si>
  <si>
    <t>4,7*0,8*0,4</t>
  </si>
  <si>
    <t>8,5*0,8*0,4</t>
  </si>
  <si>
    <t>16,9*0,8*0,4</t>
  </si>
  <si>
    <t>451573111</t>
  </si>
  <si>
    <t>Lože pod potrubí otevřený výkop z písku a štěrkopísku</t>
  </si>
  <si>
    <t>-320761638</t>
  </si>
  <si>
    <t>78,4*0,8*0,1</t>
  </si>
  <si>
    <t>(9+6)*0,8*0,1</t>
  </si>
  <si>
    <t>4,7*0,8*0,1</t>
  </si>
  <si>
    <t>8,5*0,8*0,1</t>
  </si>
  <si>
    <t>16,9*0,8*0,1</t>
  </si>
  <si>
    <t>871R1</t>
  </si>
  <si>
    <t>Nerezové potrubí rozvodů vzduchu DN100</t>
  </si>
  <si>
    <t>379326113</t>
  </si>
  <si>
    <t>871254301</t>
  </si>
  <si>
    <t>Montáž kanalizačního potrubí z PE SDR17 otevřený výkop sklon do 20 % svařovaných na tupo D 90x5,4 mm</t>
  </si>
  <si>
    <t>1752680397</t>
  </si>
  <si>
    <t>"pk" 8,5</t>
  </si>
  <si>
    <t>"vk"  4,6+3,2</t>
  </si>
  <si>
    <t>286134150</t>
  </si>
  <si>
    <t>potrubí kanalizační tlakové PE100 SDR 17, návin se signalizační vrstvou, 90 x 5,4 mm</t>
  </si>
  <si>
    <t>1003377841</t>
  </si>
  <si>
    <t>871264301</t>
  </si>
  <si>
    <t>Montáž kanalizačního potrubí z PE SDR17 otevřený výkop sklon do 20 % svařovaných na tupo D 110x6,6</t>
  </si>
  <si>
    <t>967302104</t>
  </si>
  <si>
    <t>"ad"  4,5+1+1</t>
  </si>
  <si>
    <t>"kv" 4,7</t>
  </si>
  <si>
    <t>286134160</t>
  </si>
  <si>
    <t>potrubí kanalizační tlakové PE100 SDR 17, návin se signalizační vrstvou, 110 x 6,6 mm</t>
  </si>
  <si>
    <t>-223703128</t>
  </si>
  <si>
    <t>871324301</t>
  </si>
  <si>
    <t>Montáž kanalizačního potrubí z PE SDR17 otevřený výkop sklon do 20 % svařovaných na tupo D 160x9,5</t>
  </si>
  <si>
    <t>479585455</t>
  </si>
  <si>
    <t>"ad"  9</t>
  </si>
  <si>
    <t>"vk" 9,1</t>
  </si>
  <si>
    <t>286134190</t>
  </si>
  <si>
    <t>potrubí kanalizační tlakové PE100 SDR 17, návin se signalizační vrstvou, 160 x 9,5 mm</t>
  </si>
  <si>
    <t>1557917386</t>
  </si>
  <si>
    <t>871360310</t>
  </si>
  <si>
    <t>Montáž kanalizačního potrubí hladkého plnostěnného SN 12  z polypropylenu DN 250</t>
  </si>
  <si>
    <t>-792740160</t>
  </si>
  <si>
    <t>"obtok a odtok"  78,4</t>
  </si>
  <si>
    <t>286171040</t>
  </si>
  <si>
    <t>trubka kanalizační PP MASTER SN 10, dl. 1m, DN 250</t>
  </si>
  <si>
    <t>kus</t>
  </si>
  <si>
    <t>-962502319</t>
  </si>
  <si>
    <t>871365299</t>
  </si>
  <si>
    <t>Spojovací armatury, kolena a příslušenství</t>
  </si>
  <si>
    <t>-1180097350</t>
  </si>
  <si>
    <t>460490011</t>
  </si>
  <si>
    <t>Výstražná folie</t>
  </si>
  <si>
    <t>64</t>
  </si>
  <si>
    <t>491432465</t>
  </si>
  <si>
    <t>460490011a</t>
  </si>
  <si>
    <t>Indikační vodič</t>
  </si>
  <si>
    <t>-1071017897</t>
  </si>
  <si>
    <t>871365393</t>
  </si>
  <si>
    <t>Zkoušky těsnosti</t>
  </si>
  <si>
    <t>1206321256</t>
  </si>
  <si>
    <t>989200R1</t>
  </si>
  <si>
    <t>Kanalizační šachta vypínací</t>
  </si>
  <si>
    <t>ks</t>
  </si>
  <si>
    <t>-296675009</t>
  </si>
  <si>
    <t>989200R4</t>
  </si>
  <si>
    <t>Betonová typová kanalizační šachta pr. 1000 mm hl. 1,8-2,2 m včetně stupadel</t>
  </si>
  <si>
    <t>-81858927</t>
  </si>
  <si>
    <t>989200R2</t>
  </si>
  <si>
    <t>Zemní záklopová souprava a šoupátko DN80</t>
  </si>
  <si>
    <t>1451496949</t>
  </si>
  <si>
    <t>953941210</t>
  </si>
  <si>
    <t>Osazování kovových poklopů s rámy pl do 1 m2</t>
  </si>
  <si>
    <t>380699619</t>
  </si>
  <si>
    <t>552410150</t>
  </si>
  <si>
    <t>poklop šachtový třída D 400, kruhový rám 785, vstup 600 mm, plný</t>
  </si>
  <si>
    <t>345255085</t>
  </si>
  <si>
    <t>95394121R1</t>
  </si>
  <si>
    <t>Pryžová zpětná klapka</t>
  </si>
  <si>
    <t>521364071</t>
  </si>
  <si>
    <t>998276101</t>
  </si>
  <si>
    <t>Přesun hmot pro trubní vedení z trub z plastických hmot otevřený výkop</t>
  </si>
  <si>
    <t>-1127670729</t>
  </si>
  <si>
    <t>782131113R1</t>
  </si>
  <si>
    <t>Montáž obkladu stěn z tvrdého kamene  do betonu</t>
  </si>
  <si>
    <t>394433938</t>
  </si>
  <si>
    <t>2,6*3,5</t>
  </si>
  <si>
    <t>34</t>
  </si>
  <si>
    <t>583821650R1</t>
  </si>
  <si>
    <t>Kamenný obklad</t>
  </si>
  <si>
    <t>-303258165</t>
  </si>
  <si>
    <t>35</t>
  </si>
  <si>
    <t>782131113R3</t>
  </si>
  <si>
    <t xml:space="preserve">Těžký kamenný pohoz tl 200 mm </t>
  </si>
  <si>
    <t>2111467637</t>
  </si>
  <si>
    <t>3,0*3,5+1,5*3,5</t>
  </si>
  <si>
    <t>36</t>
  </si>
  <si>
    <t>782131113R4</t>
  </si>
  <si>
    <t>Kamenná opěrná patka zalitá betonem</t>
  </si>
  <si>
    <t>230102001</t>
  </si>
  <si>
    <t>2,6*0,45*0,65</t>
  </si>
  <si>
    <t>37</t>
  </si>
  <si>
    <t>782131113R5</t>
  </si>
  <si>
    <t>Betonový blok</t>
  </si>
  <si>
    <t>-699367042</t>
  </si>
  <si>
    <t>(0,85*1,2)/2*2,6</t>
  </si>
  <si>
    <t>38</t>
  </si>
  <si>
    <t>998782201</t>
  </si>
  <si>
    <t>Přesun hmot procentní pro obklady kamenné v objektech v do 6 m</t>
  </si>
  <si>
    <t>2001505270</t>
  </si>
  <si>
    <t>SO.1.07 - Objekt ČOV - provozní objekt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</si>
  <si>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</si>
  <si>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</si>
  <si>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</si>
  <si>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</si>
  <si>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</si>
  <si>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762 - Konstrukce tesařské</t>
  </si>
  <si>
    <t xml:space="preserve">    763 - Montované konstrukce – dřevostavby, sádrokartony</t>
  </si>
  <si>
    <t xml:space="preserve">    765 - Krytiny tvrdé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</si>
  <si>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</si>
  <si>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</si>
  <si>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</si>
  <si>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</si>
  <si>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784 - Dokončovací práce - malby</t>
  </si>
  <si>
    <t>1100R1</t>
  </si>
  <si>
    <t>Zemní práce - násypy - obsaženy v souboru SO.1.09 terénní úpravy</t>
  </si>
  <si>
    <t>1348275415</t>
  </si>
  <si>
    <t>132201101</t>
  </si>
  <si>
    <t>Hloubení rýh š do 600 mm v hornině tř. 3 objemu do 100 m3</t>
  </si>
  <si>
    <t>496770798</t>
  </si>
  <si>
    <t>(5,9*2+6,55*2)*0,6*0,7</t>
  </si>
  <si>
    <t>132201109</t>
  </si>
  <si>
    <t>Příplatek za lepivost k hloubení rýh š do 600 mm v hornině tř. 3</t>
  </si>
  <si>
    <t>-974889287</t>
  </si>
  <si>
    <t>279113136</t>
  </si>
  <si>
    <t>Základová zeď tl do 500 mm z tvárnic ztraceného bednění včetně výplně z betonu tř. C 16/20</t>
  </si>
  <si>
    <t>-1391404644</t>
  </si>
  <si>
    <t>(5,9*2+6,55*2)*0,7</t>
  </si>
  <si>
    <t>7,35*5,9*0,25</t>
  </si>
  <si>
    <t>7,35*5,9*0,1</t>
  </si>
  <si>
    <t>3112331R1</t>
  </si>
  <si>
    <t>Zdivo nosné tl 400 mm POROTHERM, P10 na maltu MVC</t>
  </si>
  <si>
    <t>1418085763</t>
  </si>
  <si>
    <t>(7,35*2+5,1*2)*2,85*0,4</t>
  </si>
  <si>
    <t>-(1,2*1,2+0,9*2,0+0,6*0,4+0,6*0,4)*0,4</t>
  </si>
  <si>
    <t>(3,7*1,6)*2*0,4</t>
  </si>
  <si>
    <t>342248112</t>
  </si>
  <si>
    <t>Příčky POROTHERM tl 115 mm pevnosti P 10 na MVC</t>
  </si>
  <si>
    <t>2141967800</t>
  </si>
  <si>
    <t>(1,1+0,9+2,8)*2,85-1,1-1,8</t>
  </si>
  <si>
    <t>342248113</t>
  </si>
  <si>
    <t>Příčky POROTHERM tl 140 mm pevnosti P 10 na MVC</t>
  </si>
  <si>
    <t>-902643529</t>
  </si>
  <si>
    <t>5,1*2,85-0,9*2,0</t>
  </si>
  <si>
    <t>346244381</t>
  </si>
  <si>
    <t>Plentování jednostranné v do 200 mm válcovaných nosníků cihlami</t>
  </si>
  <si>
    <t>-1599333121</t>
  </si>
  <si>
    <t>(1,2+0,9+1,2+0,9*2+0,9*2)*0,2*2</t>
  </si>
  <si>
    <t>(1,5*2+1,5*2)*0,2*2</t>
  </si>
  <si>
    <t>413941121</t>
  </si>
  <si>
    <t>Osazování ocelových válcovaných nosníků stropů I, IE, U, UE nebo L do č.12</t>
  </si>
  <si>
    <t>-517394010</t>
  </si>
  <si>
    <t>((1,2+0,9+1,2+0,9*2+0,9*2)*8,1)/1000</t>
  </si>
  <si>
    <t>((1,5*2+1,5*2)*10,4)/1000</t>
  </si>
  <si>
    <t>130107440R1</t>
  </si>
  <si>
    <t>ocel profilová I</t>
  </si>
  <si>
    <t>1731149861</t>
  </si>
  <si>
    <t>(7,35*2+5,1*2)*0,4*0,2</t>
  </si>
  <si>
    <t>(7,35*2+5,1*2)*0,2*2</t>
  </si>
  <si>
    <t>(1,992*100)/1000</t>
  </si>
  <si>
    <t>612421432</t>
  </si>
  <si>
    <t>Vnitřní omítka stěn vápenná nebo vápenocementová štuková s vyztužením rohů a přechodů tkaninou</t>
  </si>
  <si>
    <t>-778637526</t>
  </si>
  <si>
    <t>(2,8*2+1,0*2)*2,85-1,8</t>
  </si>
  <si>
    <t>(4,0*2+2,8*2)*2,85-1,8*2-1,2*1,2</t>
  </si>
  <si>
    <t>(5,1*2+3,6*2)*2,85-1,8*2-1,2-0,6*0,4</t>
  </si>
  <si>
    <t>(1,0*2+0,9*2)*2,85-1,2-0,6*0,4-6,8</t>
  </si>
  <si>
    <t>612421432R1</t>
  </si>
  <si>
    <t>Vnitřní omítka stěn jádrová pod obklad</t>
  </si>
  <si>
    <t>723477388</t>
  </si>
  <si>
    <t>620471811</t>
  </si>
  <si>
    <t xml:space="preserve">Nátěr základní penetrační </t>
  </si>
  <si>
    <t>-1856987221</t>
  </si>
  <si>
    <t>(5,9*2+7,35*2)*2,85-(1,2*1,2+0,9*2,0+0,6*0,4*2)</t>
  </si>
  <si>
    <t>(3,7*1,6)*2</t>
  </si>
  <si>
    <t>620991121</t>
  </si>
  <si>
    <t xml:space="preserve">Zakrývání výplní venkovních otvorů </t>
  </si>
  <si>
    <t>-1797084292</t>
  </si>
  <si>
    <t>1,2*1,2+0,9*2,0+0,6*0,4*2</t>
  </si>
  <si>
    <t>622323111R1</t>
  </si>
  <si>
    <t>Vnější omítka hlazená probarvená štuková o zrnitosti 2,0 mm</t>
  </si>
  <si>
    <t>484601023</t>
  </si>
  <si>
    <t>83,645-20,48</t>
  </si>
  <si>
    <t>622323111R2</t>
  </si>
  <si>
    <t>Dekorační soklová omítka na bázi pryskyřice</t>
  </si>
  <si>
    <t>-595479898</t>
  </si>
  <si>
    <t>(5,9*2+7,35*2)*0,8-0,9*0,8</t>
  </si>
  <si>
    <t>631311127</t>
  </si>
  <si>
    <t>Mazanina tl do 120 mm z betonu prostého tř. C 30/37</t>
  </si>
  <si>
    <t>-1281815960</t>
  </si>
  <si>
    <t>7,35*5,1*0,1</t>
  </si>
  <si>
    <t>631319173</t>
  </si>
  <si>
    <t>Příplatek k mazanině tl do 120 mm za stržení povrchu spodní vrstvy před vložením výztuže</t>
  </si>
  <si>
    <t>1701147584</t>
  </si>
  <si>
    <t>631362021</t>
  </si>
  <si>
    <t>Výztuž mazanin svařovanými sítěmi Kari</t>
  </si>
  <si>
    <t>159011615</t>
  </si>
  <si>
    <t>(6,55*5,1*7)/1000</t>
  </si>
  <si>
    <t>941955001</t>
  </si>
  <si>
    <t>Lešení lehké pomocné v podlah do 1,2 m</t>
  </si>
  <si>
    <t>-1686468581</t>
  </si>
  <si>
    <t>942941021</t>
  </si>
  <si>
    <t>Montáž lešení těžkého řadového s podlahami š do 2,5 v do 10 m</t>
  </si>
  <si>
    <t>-1203154196</t>
  </si>
  <si>
    <t>942941191</t>
  </si>
  <si>
    <t>Příplatek k lešení těžkému řadovému s podlahami š do 2,5 v do 10 za první a ZKD měsíc použití</t>
  </si>
  <si>
    <t>-823974566</t>
  </si>
  <si>
    <t>942944821</t>
  </si>
  <si>
    <t>Demontáž lešení těžkého řadového š do 2,5 m v do 10 m pro zatížení do 300 kg/m2</t>
  </si>
  <si>
    <t>-2045902029</t>
  </si>
  <si>
    <t>952901221</t>
  </si>
  <si>
    <t>Vyčištění budov průmyslových objektů při jakékoliv výšce podlaží</t>
  </si>
  <si>
    <t>786327997</t>
  </si>
  <si>
    <t>33,405</t>
  </si>
  <si>
    <t>1397115790</t>
  </si>
  <si>
    <t>711111001</t>
  </si>
  <si>
    <t>Provedení izolace proti zemní vlhkosti vodorovné za studena nátěrem penetračním</t>
  </si>
  <si>
    <t>-1589076741</t>
  </si>
  <si>
    <t>7,35*5,9</t>
  </si>
  <si>
    <t>111631500</t>
  </si>
  <si>
    <t>lak asfaltový ALP/9 bal 9 kg</t>
  </si>
  <si>
    <t>922779910</t>
  </si>
  <si>
    <t>711131101</t>
  </si>
  <si>
    <t>Provedení izolace proti zemní vlhkosti pásy na sucho vodorovné AIP nebo tkaninou</t>
  </si>
  <si>
    <t>1020959188</t>
  </si>
  <si>
    <t>"zakrytí izolace stropu"</t>
  </si>
  <si>
    <t>6,55*5,1</t>
  </si>
  <si>
    <t>628111200</t>
  </si>
  <si>
    <t>pás asfaltovaný A330</t>
  </si>
  <si>
    <t>1930612741</t>
  </si>
  <si>
    <t>711141559</t>
  </si>
  <si>
    <t>Provedení izolace proti zemní vlhkosti pásy přitavením vodorovné NAIP</t>
  </si>
  <si>
    <t>1791735251</t>
  </si>
  <si>
    <t>39</t>
  </si>
  <si>
    <t>628331590</t>
  </si>
  <si>
    <t>pás těžký asfaltovaný SKLOBIT 40 MINERAL G 200 S40</t>
  </si>
  <si>
    <t>926849982</t>
  </si>
  <si>
    <t>40</t>
  </si>
  <si>
    <t>998711101</t>
  </si>
  <si>
    <t>Přesun hmot tonážní pro izolace proti vodě, vlhkosti a plynům v objektech výšky do 6 m</t>
  </si>
  <si>
    <t>1445821242</t>
  </si>
  <si>
    <t>41</t>
  </si>
  <si>
    <t>711131R1</t>
  </si>
  <si>
    <t xml:space="preserve">Separační vrstva </t>
  </si>
  <si>
    <t>1733041366</t>
  </si>
  <si>
    <t>42</t>
  </si>
  <si>
    <t>713121111</t>
  </si>
  <si>
    <t>Montáž izolace tepelné podlah volně kladenými rohožemi, pásy, dílci, deskami 1 vrstva</t>
  </si>
  <si>
    <t>-148326853</t>
  </si>
  <si>
    <t>43</t>
  </si>
  <si>
    <t>283758610</t>
  </si>
  <si>
    <t>deska z pěnového polystyrenu EPS 50 Z 1000 x 500 x 100 mm</t>
  </si>
  <si>
    <t>19904071</t>
  </si>
  <si>
    <t>44</t>
  </si>
  <si>
    <t>713111111</t>
  </si>
  <si>
    <t>Montáž izolace tepelné vrchem stropů volně kladenými rohožemi, pásy, dílci, deskami</t>
  </si>
  <si>
    <t>1533834212</t>
  </si>
  <si>
    <t>6,55*5,1*2</t>
  </si>
  <si>
    <t>45</t>
  </si>
  <si>
    <t>631481120R2</t>
  </si>
  <si>
    <t>deska minerální izolační  tl.80 mm</t>
  </si>
  <si>
    <t>1835656654</t>
  </si>
  <si>
    <t>46</t>
  </si>
  <si>
    <t>713131111</t>
  </si>
  <si>
    <t>Montáž izolace tepelné věnců</t>
  </si>
  <si>
    <t>-1378961943</t>
  </si>
  <si>
    <t>(7,35*2+5,9*2)*0,2</t>
  </si>
  <si>
    <t>47</t>
  </si>
  <si>
    <t>283722040</t>
  </si>
  <si>
    <t>deska EPS 100  tl. 100 mm</t>
  </si>
  <si>
    <t>441809132</t>
  </si>
  <si>
    <t>48</t>
  </si>
  <si>
    <t>998713101</t>
  </si>
  <si>
    <t>Přesun hmot pro izolace tepelné v objektech v do 6 m</t>
  </si>
  <si>
    <t>66920839</t>
  </si>
  <si>
    <t>49</t>
  </si>
  <si>
    <t>721173606</t>
  </si>
  <si>
    <t>Rozvod kanalizace</t>
  </si>
  <si>
    <t>-71711071</t>
  </si>
  <si>
    <t>50</t>
  </si>
  <si>
    <t>722173R1</t>
  </si>
  <si>
    <t>Rozvod vody vnitřní</t>
  </si>
  <si>
    <t>374492331</t>
  </si>
  <si>
    <t>51</t>
  </si>
  <si>
    <t>722173R2</t>
  </si>
  <si>
    <t>VODÁRNA DOMÁCÍ</t>
  </si>
  <si>
    <t>-1188398195</t>
  </si>
  <si>
    <t>52</t>
  </si>
  <si>
    <t>7251R1</t>
  </si>
  <si>
    <t>Klozet keramický závěsný bílý, sedátko PVC bílá, ovládací tlačítko, závěsná kce Geberit</t>
  </si>
  <si>
    <t>1938028179</t>
  </si>
  <si>
    <t>53</t>
  </si>
  <si>
    <t>725211614</t>
  </si>
  <si>
    <t>Umyvadlo keramické připevněné na stěnu šrouby barevné bez krytu na sifon 650 mm</t>
  </si>
  <si>
    <t>2037507974</t>
  </si>
  <si>
    <t>54</t>
  </si>
  <si>
    <t>725532111</t>
  </si>
  <si>
    <t>Elektrický ohřívač zásobníkový akumulační závěsný svislý 30 l / 2 kW</t>
  </si>
  <si>
    <t>-1229171422</t>
  </si>
  <si>
    <t>55</t>
  </si>
  <si>
    <t>725822612</t>
  </si>
  <si>
    <t>Baterie umyvadlové stojánkové pákové s výpustí</t>
  </si>
  <si>
    <t>650065373</t>
  </si>
  <si>
    <t>56</t>
  </si>
  <si>
    <t>998725101</t>
  </si>
  <si>
    <t>Přesun hmot tonážní pro zařizovací předměty v objektech v do 6 m</t>
  </si>
  <si>
    <t>-678619651</t>
  </si>
  <si>
    <t>57</t>
  </si>
  <si>
    <t>7623321R1</t>
  </si>
  <si>
    <t>Montáž sbíjených vazníků</t>
  </si>
  <si>
    <t>501230268</t>
  </si>
  <si>
    <t>(3,9*2+1,6+1,0*4+2,5*2+2,0*2)*6</t>
  </si>
  <si>
    <t>58</t>
  </si>
  <si>
    <t>605121R1</t>
  </si>
  <si>
    <t>sbíjené vazníky</t>
  </si>
  <si>
    <t>85841540</t>
  </si>
  <si>
    <t>134,4*0,14*0,1</t>
  </si>
  <si>
    <t>59</t>
  </si>
  <si>
    <t>762341012</t>
  </si>
  <si>
    <t>Bednění střech rovných z desek OSB tl 12 mm na sraz šroubovaných na krokve</t>
  </si>
  <si>
    <t>-1598691658</t>
  </si>
  <si>
    <t>3,9*5,9*2</t>
  </si>
  <si>
    <t>60</t>
  </si>
  <si>
    <t>762395000</t>
  </si>
  <si>
    <t>Spojovací prostředky pro montáž krovu, bednění, laťování, světlíky, klíny</t>
  </si>
  <si>
    <t>-952036587</t>
  </si>
  <si>
    <t>61</t>
  </si>
  <si>
    <t>76239500R1</t>
  </si>
  <si>
    <t>Ošetření krovu a všech prvků ochranným nátěrem proti dřevokazným houbám tř odolnosti 3</t>
  </si>
  <si>
    <t>-125860131</t>
  </si>
  <si>
    <t>134*0,12*4</t>
  </si>
  <si>
    <t>62</t>
  </si>
  <si>
    <t>76239500R2</t>
  </si>
  <si>
    <t>Ošetření krovu a všech prvků impregnačním prostředkem</t>
  </si>
  <si>
    <t>487591362</t>
  </si>
  <si>
    <t>63</t>
  </si>
  <si>
    <t>998762202</t>
  </si>
  <si>
    <t>Přesun hmot pro konstrukce tesařské v objektech v do 12 m</t>
  </si>
  <si>
    <t>-1493847082</t>
  </si>
  <si>
    <t>7631324101</t>
  </si>
  <si>
    <t>SDK podhled impregnované desky 12,5 mm, nosná kce ocelovým rastrem zavešená k kci krovu s požární odolností</t>
  </si>
  <si>
    <t>-749560804</t>
  </si>
  <si>
    <t>65</t>
  </si>
  <si>
    <t>763132410R1</t>
  </si>
  <si>
    <t>Parotěsná folie</t>
  </si>
  <si>
    <t>1739930549</t>
  </si>
  <si>
    <t>66</t>
  </si>
  <si>
    <t>998763201</t>
  </si>
  <si>
    <t>Přesun hmot pro dřevostavby v objektech v do 12 m</t>
  </si>
  <si>
    <t>103857328</t>
  </si>
  <si>
    <t>67</t>
  </si>
  <si>
    <t>R764231540</t>
  </si>
  <si>
    <t>Lemování Zn-Ti plech střechy rš 400 mm včetně nátěru barvou</t>
  </si>
  <si>
    <t>-1963865746</t>
  </si>
  <si>
    <t>3,9*2*2</t>
  </si>
  <si>
    <t>5,1*2</t>
  </si>
  <si>
    <t>68</t>
  </si>
  <si>
    <t>R764251501</t>
  </si>
  <si>
    <t>Okapový žlab Titanzinek  pr. 160 včetně nátěru barvou + odtokový kotlík vč čela, hrdla,háku</t>
  </si>
  <si>
    <t>117385926</t>
  </si>
  <si>
    <t>69</t>
  </si>
  <si>
    <t>R764510530</t>
  </si>
  <si>
    <t>Oplechování parapetů Zn-Ti rš 200 mm včetně nátěru barvou</t>
  </si>
  <si>
    <t>-793273883</t>
  </si>
  <si>
    <t>0,6*2+1,2</t>
  </si>
  <si>
    <t>70</t>
  </si>
  <si>
    <t>R764551503</t>
  </si>
  <si>
    <t>Odpadní trouby Titanzinek pr. 100 mm včetně nátěru barvou + úchyty do fasády</t>
  </si>
  <si>
    <t>-419277957</t>
  </si>
  <si>
    <t>2,9*2</t>
  </si>
  <si>
    <t>71</t>
  </si>
  <si>
    <t>998764201</t>
  </si>
  <si>
    <t>Přesun hmot pro konstrukce klempířské v objektech v do 6 m</t>
  </si>
  <si>
    <t>-891601092</t>
  </si>
  <si>
    <t>72</t>
  </si>
  <si>
    <t>765151002</t>
  </si>
  <si>
    <t>Montáž krytiny bitumenové ze šindelů na bednění sklonu přes 20° do 30°</t>
  </si>
  <si>
    <t>-1522100698</t>
  </si>
  <si>
    <t>73</t>
  </si>
  <si>
    <t>628650010</t>
  </si>
  <si>
    <t>šindel asfaltový Topik Hexagonál</t>
  </si>
  <si>
    <t>-1226183922</t>
  </si>
  <si>
    <t>74</t>
  </si>
  <si>
    <t>765151021</t>
  </si>
  <si>
    <t>Montáž krytiny bitumenové okapová hrana ze šindelů</t>
  </si>
  <si>
    <t>689706730</t>
  </si>
  <si>
    <t>765191001</t>
  </si>
  <si>
    <t>Montáž pojistné hydroizolační fólie kladené ve sklonu do 20° lepením na bednění nebo izolaci</t>
  </si>
  <si>
    <t>-2059004629</t>
  </si>
  <si>
    <t>76</t>
  </si>
  <si>
    <t>283292500</t>
  </si>
  <si>
    <t>fólie podstřešní difúzní JUTAFOL D Standard 110 g/m2</t>
  </si>
  <si>
    <t>-938422018</t>
  </si>
  <si>
    <t>77</t>
  </si>
  <si>
    <t>76531R1</t>
  </si>
  <si>
    <t>Příslušenstcí k střešní krytině</t>
  </si>
  <si>
    <t>922863130</t>
  </si>
  <si>
    <t>78</t>
  </si>
  <si>
    <t>998765201</t>
  </si>
  <si>
    <t>Přesun hmot pro krytiny tvrdé v objektech v do 6 m</t>
  </si>
  <si>
    <t>223197941</t>
  </si>
  <si>
    <t>79</t>
  </si>
  <si>
    <t>7661R303a</t>
  </si>
  <si>
    <t>Vstupní dveře 900/1970 mm - plastové vyztužené, zateplené, plné 1,3W/m2K, kování bezp, vč rámu</t>
  </si>
  <si>
    <t>-1346171449</t>
  </si>
  <si>
    <t>80</t>
  </si>
  <si>
    <t>7661R304</t>
  </si>
  <si>
    <t xml:space="preserve">Vnitřní dveře 900/1970 mm - plastové plné, zámek, kování, včetně kovové zárubně </t>
  </si>
  <si>
    <t>-678086870</t>
  </si>
  <si>
    <t>81</t>
  </si>
  <si>
    <t>7661R305</t>
  </si>
  <si>
    <t xml:space="preserve">Vnitřní dveře 600/1970 mm - plastové plné, zámek, kování, včetně kovové zárubně </t>
  </si>
  <si>
    <t>484668756</t>
  </si>
  <si>
    <t>82</t>
  </si>
  <si>
    <t>7661R308</t>
  </si>
  <si>
    <t xml:space="preserve">Okno plastové 600/400 mm, O/S, dvojsklo, 1,1 W/m2K, bílé + síť proti hmyzu + parapet bílý </t>
  </si>
  <si>
    <t>698569783</t>
  </si>
  <si>
    <t>83</t>
  </si>
  <si>
    <t>7661R3081</t>
  </si>
  <si>
    <t xml:space="preserve">Okno plastové 1200/1200 mm, O/S, dvojsklo, 1,1 W/m2K, bílé + síť proti hmyzu + parapet bílý </t>
  </si>
  <si>
    <t>1590959803</t>
  </si>
  <si>
    <t>84</t>
  </si>
  <si>
    <t>998766201</t>
  </si>
  <si>
    <t>Přesun hmot pro konstrukce truhlářské v objektech v do 6 m</t>
  </si>
  <si>
    <t>1449731801</t>
  </si>
  <si>
    <t>85</t>
  </si>
  <si>
    <t>767R206</t>
  </si>
  <si>
    <t>Ocelová mříž pevná oken 600x400 mm včetně nátěru</t>
  </si>
  <si>
    <t>802321788</t>
  </si>
  <si>
    <t>86</t>
  </si>
  <si>
    <t>767R2061</t>
  </si>
  <si>
    <t>Ocelová mříž pevná oken 1200x1200 mm včetně nátěru</t>
  </si>
  <si>
    <t>-794701605</t>
  </si>
  <si>
    <t>87</t>
  </si>
  <si>
    <t>767R207</t>
  </si>
  <si>
    <t>Přenosný sněhový RHP typ S5 hasicí přístroj</t>
  </si>
  <si>
    <t>-1115619159</t>
  </si>
  <si>
    <t>88</t>
  </si>
  <si>
    <t>89</t>
  </si>
  <si>
    <t>771471113</t>
  </si>
  <si>
    <t>Montáž soklíků z dlaždic keramických rovných do malty v do 120 mm</t>
  </si>
  <si>
    <t>937491787</t>
  </si>
  <si>
    <t>(5,1*2+3,6*2)-0,9</t>
  </si>
  <si>
    <t>(1,1*2+0,9*2)-0,6</t>
  </si>
  <si>
    <t>(2,8*2+1,0*2)-0,9</t>
  </si>
  <si>
    <t>90</t>
  </si>
  <si>
    <t>771571133</t>
  </si>
  <si>
    <t xml:space="preserve">Montáž podlah z keramických dlaždic protiskluzných  včetně lepidla </t>
  </si>
  <si>
    <t>-505159587</t>
  </si>
  <si>
    <t>13,77+2,8+1,1*0,9</t>
  </si>
  <si>
    <t>91</t>
  </si>
  <si>
    <t>597614300</t>
  </si>
  <si>
    <t>dlaždice keramické dle výběru investora</t>
  </si>
  <si>
    <t>-512573870</t>
  </si>
  <si>
    <t>17,56*1,1+26,6*0,1*1,15</t>
  </si>
  <si>
    <t>92</t>
  </si>
  <si>
    <t>771591111</t>
  </si>
  <si>
    <t>Podlahy penetrace podkladu</t>
  </si>
  <si>
    <t>-173403939</t>
  </si>
  <si>
    <t>93</t>
  </si>
  <si>
    <t>998771201</t>
  </si>
  <si>
    <t>Přesun hmot pro podlahy z dlaždic v objektech v do 6 m</t>
  </si>
  <si>
    <t>1703169838</t>
  </si>
  <si>
    <t>94</t>
  </si>
  <si>
    <t>776421100</t>
  </si>
  <si>
    <t>Lepení obvodových soklíků nebo lišt z měkčených plastů</t>
  </si>
  <si>
    <t>-377039545</t>
  </si>
  <si>
    <t>(2,8*2+4,0*2)-0,9*2</t>
  </si>
  <si>
    <t>95</t>
  </si>
  <si>
    <t>284110060</t>
  </si>
  <si>
    <t>lišta speciální soklová PVC 10224 samolepící 15 x 50 mm role 50 m</t>
  </si>
  <si>
    <t>-2091886830</t>
  </si>
  <si>
    <t>96</t>
  </si>
  <si>
    <t>776521100</t>
  </si>
  <si>
    <t>Lepení pásů povlakových podlah plastových</t>
  </si>
  <si>
    <t>-1178293555</t>
  </si>
  <si>
    <t>11,2</t>
  </si>
  <si>
    <t>97</t>
  </si>
  <si>
    <t>284102420</t>
  </si>
  <si>
    <t>krytina podlahová homogenní Elektrostatik tl 2,0 mm 608 x 608 mm</t>
  </si>
  <si>
    <t>1348788941</t>
  </si>
  <si>
    <t>98</t>
  </si>
  <si>
    <t>776990111</t>
  </si>
  <si>
    <t>Vyrovnání podkladu samonivelační stěrkou tl 3 mm pevnosti 15 Mpa</t>
  </si>
  <si>
    <t>1525494270</t>
  </si>
  <si>
    <t>99</t>
  </si>
  <si>
    <t>998776201</t>
  </si>
  <si>
    <t>Přesun hmot procentní pro podlahy povlakové v objektech v do 6 m</t>
  </si>
  <si>
    <t>-332247235</t>
  </si>
  <si>
    <t>781471114</t>
  </si>
  <si>
    <t xml:space="preserve">Montáž obkladů keramických včetně spárovací hmoty </t>
  </si>
  <si>
    <t>441988240</t>
  </si>
  <si>
    <t>(0,9*2+1,1*2)*2,0-1,2</t>
  </si>
  <si>
    <t>101</t>
  </si>
  <si>
    <t>5976143R1</t>
  </si>
  <si>
    <t>obklad keramický dle výběru investora</t>
  </si>
  <si>
    <t>-1529275400</t>
  </si>
  <si>
    <t>102</t>
  </si>
  <si>
    <t>781495111</t>
  </si>
  <si>
    <t>Penetrace podkladu obkladů</t>
  </si>
  <si>
    <t>-353341991</t>
  </si>
  <si>
    <t>103</t>
  </si>
  <si>
    <t>998781201</t>
  </si>
  <si>
    <t>Přesun hmot pro obklady keramické v objektech v do 6 m</t>
  </si>
  <si>
    <t>-125359255</t>
  </si>
  <si>
    <t>104</t>
  </si>
  <si>
    <t>784453601</t>
  </si>
  <si>
    <t>Malby směsi bílé dvojnásobné otěruvzdorné</t>
  </si>
  <si>
    <t>-1848239514</t>
  </si>
  <si>
    <t>"omítky"</t>
  </si>
  <si>
    <t>100,72</t>
  </si>
  <si>
    <t>"sdk"</t>
  </si>
  <si>
    <t xml:space="preserve">SO.1.08 - Objekt ČOV - oplocení </t>
  </si>
  <si>
    <t>-478013927</t>
  </si>
  <si>
    <t>0,6*0,6*0,8*31</t>
  </si>
  <si>
    <t>-1428998199</t>
  </si>
  <si>
    <t>167101101</t>
  </si>
  <si>
    <t>Nakládání výkopku z hornin 1 až 4 do 100 m3</t>
  </si>
  <si>
    <t>-438214209</t>
  </si>
  <si>
    <t>2723133R2</t>
  </si>
  <si>
    <t>Betonové základy C16/20 XC1  litý do výkopu bez bednění</t>
  </si>
  <si>
    <t>64863427</t>
  </si>
  <si>
    <t>767911130</t>
  </si>
  <si>
    <t>Montáž oplocení do 15° sklonu svahu, strojové pletivo s napínacími dráty, výšky do 2,0 m</t>
  </si>
  <si>
    <t>-939144269</t>
  </si>
  <si>
    <t>115</t>
  </si>
  <si>
    <t>313275030</t>
  </si>
  <si>
    <t>pletivo poplastované v 180 cm vč napínacích drátů a vazacích drátů a příslušenství</t>
  </si>
  <si>
    <t>1387831579</t>
  </si>
  <si>
    <t>76792011R0</t>
  </si>
  <si>
    <t>Montáž sloupků a vzpěr</t>
  </si>
  <si>
    <t>615655063</t>
  </si>
  <si>
    <t>5923112R01</t>
  </si>
  <si>
    <t>sloupek plotový řadový pro drátěné pletivo ocelový poplastovaný 2600 pr 48</t>
  </si>
  <si>
    <t>-1759037390</t>
  </si>
  <si>
    <t>5923112R02</t>
  </si>
  <si>
    <t>sloupek plotový rohový pro drátěné pletivo ocelový poplastovaný 2600 pr 48</t>
  </si>
  <si>
    <t>-931300767</t>
  </si>
  <si>
    <t>5923112R03</t>
  </si>
  <si>
    <t>vzpěra pro pletivo ocelová poplastovaná 1500 pr 38</t>
  </si>
  <si>
    <t>-2103411972</t>
  </si>
  <si>
    <t>76792011R1</t>
  </si>
  <si>
    <t>Montáž a dodávka betonových desek TBM 50/30/10 podhrabových včetně držáků</t>
  </si>
  <si>
    <t>-341162645</t>
  </si>
  <si>
    <t>76792011R2</t>
  </si>
  <si>
    <t>Vjezdová brána dvoukřídlá ocelová žárově zinkovaná včetně nátěru PUR - uzamykatelná - š. 3500 mm</t>
  </si>
  <si>
    <t>-1373199216</t>
  </si>
  <si>
    <t>76792011R3</t>
  </si>
  <si>
    <t>Vrátka ocelová žárově zinkovaná včetně nátěru PUR - š. 900 mm</t>
  </si>
  <si>
    <t>972104797</t>
  </si>
  <si>
    <t>-584758978</t>
  </si>
  <si>
    <t>SO.1.08a - Objekt ČOV - komunikace</t>
  </si>
  <si>
    <t xml:space="preserve">    5 - Komunikace</t>
  </si>
  <si>
    <t>13120R1</t>
  </si>
  <si>
    <t xml:space="preserve">Pláň pod komunikaci je provedena násypem  - v souboru SO.1.09 </t>
  </si>
  <si>
    <t>-1609742884</t>
  </si>
  <si>
    <t>181111300</t>
  </si>
  <si>
    <t>Úprava pláně srovnáním a zhutněním 98% PS</t>
  </si>
  <si>
    <t>714218729</t>
  </si>
  <si>
    <t>"komunikace zpevněná"  30+120</t>
  </si>
  <si>
    <t>"vegetační tvárnice" 30,0</t>
  </si>
  <si>
    <t>"zpevněná prach" 35</t>
  </si>
  <si>
    <t>564871111</t>
  </si>
  <si>
    <t>Podklad ze štěrkodrtě ŠD tl 250 mm</t>
  </si>
  <si>
    <t>-1577915278</t>
  </si>
  <si>
    <t>"prach" 35</t>
  </si>
  <si>
    <t>564251111</t>
  </si>
  <si>
    <t>Podklad nebo podsyp ze štěrkopísku ŠP tl 150 mm</t>
  </si>
  <si>
    <t>1083282029</t>
  </si>
  <si>
    <t>5648711167</t>
  </si>
  <si>
    <t>Podklad ze štěrkodrtě ŠD tl. 350 mm</t>
  </si>
  <si>
    <t>-1157519387</t>
  </si>
  <si>
    <t>30+120</t>
  </si>
  <si>
    <t>-2004440508</t>
  </si>
  <si>
    <t>564261111</t>
  </si>
  <si>
    <t>Podklad nebo podsyp ze štěrkopísku ŠP tl 200 mm</t>
  </si>
  <si>
    <t>1403815317</t>
  </si>
  <si>
    <t>"tvárnice"  30</t>
  </si>
  <si>
    <t>564571111</t>
  </si>
  <si>
    <t>Kladecí vrstva frakce 4-7 mm tl. 60 mm</t>
  </si>
  <si>
    <t>-1923324689</t>
  </si>
  <si>
    <t>593531111</t>
  </si>
  <si>
    <t>Kladení dlažby z plastových vegetačních tvárnic pro pěší se zámkem tl do 30 mm plochy do 50 m2</t>
  </si>
  <si>
    <t>-263870275</t>
  </si>
  <si>
    <t>562451430</t>
  </si>
  <si>
    <t>dlažba zatravňovací puruplast IG 30, 50 x 50 x 3 cmnosnost 240 t/m2</t>
  </si>
  <si>
    <t>-558028164</t>
  </si>
  <si>
    <t>998225111</t>
  </si>
  <si>
    <t>Přesun hmot pro pozemní komunikace a letiště s krytem živičným</t>
  </si>
  <si>
    <t>-1064566988</t>
  </si>
  <si>
    <t>SO.1.09 - Objekt ČOV - zemní práce a terénní úpravy</t>
  </si>
  <si>
    <t>171101131</t>
  </si>
  <si>
    <t>Uložení sypaniny z hornin nesoudržných a soudržných střídavě do násypů zhutněných</t>
  </si>
  <si>
    <t>-74419719</t>
  </si>
  <si>
    <t>181951102R1</t>
  </si>
  <si>
    <t>Zhutnění násypu po mocnosti 30 cm</t>
  </si>
  <si>
    <t>1824771771</t>
  </si>
  <si>
    <t>700</t>
  </si>
  <si>
    <t>121101103</t>
  </si>
  <si>
    <t>Sejmutí ornice s přemístěním na vzdálenost do 250 m</t>
  </si>
  <si>
    <t>-462458853</t>
  </si>
  <si>
    <t>1200*0,15</t>
  </si>
  <si>
    <t>741818997</t>
  </si>
  <si>
    <t>"zásyp"</t>
  </si>
  <si>
    <t>700*1,5</t>
  </si>
  <si>
    <t>-887404792</t>
  </si>
  <si>
    <t>181301112</t>
  </si>
  <si>
    <t>Rozprostření ornice tl vrstvy do 150 mm pl přes 500 m2 v rovině nebo ve svahu do 1:5</t>
  </si>
  <si>
    <t>2144401263</t>
  </si>
  <si>
    <t>850</t>
  </si>
  <si>
    <t>181111111</t>
  </si>
  <si>
    <t>Plošná úprava terénu do 500 m2 zemina tř 1 až 4 nerovnosti do +/- 100 mm v rovinně a svahu do 1:5</t>
  </si>
  <si>
    <t>1520437386</t>
  </si>
  <si>
    <t>181411131</t>
  </si>
  <si>
    <t>Založení parkového trávníku výsevem plochy do 1000 m2 v rovině a ve svahu do 1:5</t>
  </si>
  <si>
    <t>566968628</t>
  </si>
  <si>
    <t>005724100</t>
  </si>
  <si>
    <t>osivo směs travní parková</t>
  </si>
  <si>
    <t>kg</t>
  </si>
  <si>
    <t>1093519179</t>
  </si>
  <si>
    <t>184802111</t>
  </si>
  <si>
    <t>Chemické odplevelení před založením kultury nad 20 m2 postřikem na široko v rovině a svahu do 1:5</t>
  </si>
  <si>
    <t>-762262905</t>
  </si>
  <si>
    <t>183105314</t>
  </si>
  <si>
    <t>Hloubení jamek s výměnou 100 % půdy zeminy tř 1 až 4 objem do 0,125 m3 ve svahu do 1:1</t>
  </si>
  <si>
    <t>-1436022717</t>
  </si>
  <si>
    <t>184201121</t>
  </si>
  <si>
    <t>Výsadba stromu bez balu do jamky výška kmene do 1,8 m ve svahu do 1:2</t>
  </si>
  <si>
    <t>-1988929973</t>
  </si>
  <si>
    <t>026503R1</t>
  </si>
  <si>
    <t>jehličnan</t>
  </si>
  <si>
    <t>-1130675812</t>
  </si>
  <si>
    <t>327122R1</t>
  </si>
  <si>
    <t>Zemní práce včetně odvozu zeminy do 500 m na mezideponii</t>
  </si>
  <si>
    <t>918348729</t>
  </si>
  <si>
    <t>13*0,6*1,0</t>
  </si>
  <si>
    <t>327122R2</t>
  </si>
  <si>
    <t>Opěrná zeď ŽB vč výztuže, bednění a odbednění v 1,2 m + 0,6 m základ</t>
  </si>
  <si>
    <t>864828392</t>
  </si>
  <si>
    <t xml:space="preserve">SO.1.10 - Objekt ČOV - ostatní </t>
  </si>
  <si>
    <t>132201202</t>
  </si>
  <si>
    <t>Hloubení rýh š do 2000 mm v hornině tř. 3 objemu do 1000 m3</t>
  </si>
  <si>
    <t>1647903289</t>
  </si>
  <si>
    <t>"vodovodní přípojka"</t>
  </si>
  <si>
    <t>7,0*0,8*1,0</t>
  </si>
  <si>
    <t>"splašková přípojka"</t>
  </si>
  <si>
    <t>11,5*0,8*1,0</t>
  </si>
  <si>
    <t>"odtok žlabu!</t>
  </si>
  <si>
    <t>15*0,8*1,0</t>
  </si>
  <si>
    <t>-302123041</t>
  </si>
  <si>
    <t>134702103</t>
  </si>
  <si>
    <t>Vykopávky do 4 m2 pro studny nespouštěné v hornině tř. 1 - 4 s příložným pažením hl přes 5 do 10 m</t>
  </si>
  <si>
    <t>-1315779304</t>
  </si>
  <si>
    <t>1,5*1,5*7</t>
  </si>
  <si>
    <t>1437780788</t>
  </si>
  <si>
    <t>26,8-13,4</t>
  </si>
  <si>
    <t>-362259465</t>
  </si>
  <si>
    <t>Zásyp jam, šachet rýh nebo kolem objektů sypaninou se zhutněním</t>
  </si>
  <si>
    <t>-1556901925</t>
  </si>
  <si>
    <t>26,8-10,72-2,68</t>
  </si>
  <si>
    <t>175111101</t>
  </si>
  <si>
    <t>Obsypání potrubí ručně sypaninou bez prohození, uloženou do 3 m</t>
  </si>
  <si>
    <t>-352454254</t>
  </si>
  <si>
    <t>"vp" 7,0*0,8*0,4</t>
  </si>
  <si>
    <t>"sp" 11,5*0,8*0,4</t>
  </si>
  <si>
    <t>"žlab" 15*0,8*0,4</t>
  </si>
  <si>
    <t>583313400R1</t>
  </si>
  <si>
    <t>hutněný obsyp - štěrkopísek max  20 mm</t>
  </si>
  <si>
    <t>-246380563</t>
  </si>
  <si>
    <t>10,72*1,52</t>
  </si>
  <si>
    <t>175111101R1</t>
  </si>
  <si>
    <t>Vyrovnávací vrstva - pískové lože</t>
  </si>
  <si>
    <t>-1291639903</t>
  </si>
  <si>
    <t>"vp" 7,0*0,8*0,1</t>
  </si>
  <si>
    <t>"sp" 11,5*0,8*0,1</t>
  </si>
  <si>
    <t>"žlab" 15*0,8*0,1</t>
  </si>
  <si>
    <t>11100R</t>
  </si>
  <si>
    <t>Vrt pro studni vč odvozu výkopku</t>
  </si>
  <si>
    <t>-1501559355</t>
  </si>
  <si>
    <t>242811161</t>
  </si>
  <si>
    <t>Zapuštění zárubnice z trub ocelových se spoji svařovanými hl do 50 m vnější D do 229 mm</t>
  </si>
  <si>
    <t>-726930974</t>
  </si>
  <si>
    <t>242111115</t>
  </si>
  <si>
    <t>Osazení pláště kopané studny z betonových skruží celokruhových DN 1,5 m</t>
  </si>
  <si>
    <t>1685304033</t>
  </si>
  <si>
    <t>592253350r1</t>
  </si>
  <si>
    <t>skruž betonová studňová kruhová pr.1500 mm v 1000 mm</t>
  </si>
  <si>
    <t>-2028629740</t>
  </si>
  <si>
    <t>592257130R1</t>
  </si>
  <si>
    <t>deska betonová zákrytová pro studny pr 1500 mm</t>
  </si>
  <si>
    <t>-1965745444</t>
  </si>
  <si>
    <t>98611R2</t>
  </si>
  <si>
    <t>Tvarovka plassi, unifit koleno 90</t>
  </si>
  <si>
    <t>-1298259386</t>
  </si>
  <si>
    <t>98611R3</t>
  </si>
  <si>
    <t xml:space="preserve">Přechodový kus s vnějším závitem 32x11/4" </t>
  </si>
  <si>
    <t>-1356145100</t>
  </si>
  <si>
    <t>871161R1</t>
  </si>
  <si>
    <t>Potrubí vodovodní vnější PE 32/2 SDR17</t>
  </si>
  <si>
    <t>-973759705</t>
  </si>
  <si>
    <t>871315221</t>
  </si>
  <si>
    <t>Kanalizační potrubí z tvrdého PVC-systém KG tuhost třídy SN8 DN150</t>
  </si>
  <si>
    <t>-1009201803</t>
  </si>
  <si>
    <t>11,5+15</t>
  </si>
  <si>
    <t>877260310R1</t>
  </si>
  <si>
    <t>Montáž a dodávka kolen, odboček, tvarovek, elektrospojek</t>
  </si>
  <si>
    <t>-1870866553</t>
  </si>
  <si>
    <t>26+13</t>
  </si>
  <si>
    <t>892241111</t>
  </si>
  <si>
    <t>Tlaková zkouška vodou potrubí do 80</t>
  </si>
  <si>
    <t>-171285619</t>
  </si>
  <si>
    <t>899721111</t>
  </si>
  <si>
    <t>Signalizační vodič DN do 150 mm na potrubí PVC</t>
  </si>
  <si>
    <t>975544638</t>
  </si>
  <si>
    <t>26+7</t>
  </si>
  <si>
    <t>899722114</t>
  </si>
  <si>
    <t>Krytí potrubí z plastů výstražnou fólií z PVC 40 cm</t>
  </si>
  <si>
    <t>-933744963</t>
  </si>
  <si>
    <t>8938R1</t>
  </si>
  <si>
    <t>Vodoměrná sestava umístěná v ČOV</t>
  </si>
  <si>
    <t>179466226</t>
  </si>
  <si>
    <t>Zelen</t>
  </si>
  <si>
    <t>Asfalt</t>
  </si>
  <si>
    <t>2577,97</t>
  </si>
  <si>
    <t>SO.2.01 - Kanalizace - část 1 včetně ČS4</t>
  </si>
  <si>
    <t xml:space="preserve">    0 - Výměry</t>
  </si>
  <si>
    <t xml:space="preserve">    402 - Podchod vodního toku</t>
  </si>
  <si>
    <t xml:space="preserve">    802 - Čerpací šachta </t>
  </si>
  <si>
    <t xml:space="preserve">    997 - Přesun sutě</t>
  </si>
  <si>
    <t>Povrchy_běžné metry</t>
  </si>
  <si>
    <t>-468048358</t>
  </si>
  <si>
    <t xml:space="preserve">"zeleň" </t>
  </si>
  <si>
    <t>"A-5"  7+10</t>
  </si>
  <si>
    <t>"E"      4</t>
  </si>
  <si>
    <t>"F"      6+10</t>
  </si>
  <si>
    <t>"A výtlak"  7</t>
  </si>
  <si>
    <t>Mezisoučet</t>
  </si>
  <si>
    <t>"potok"</t>
  </si>
  <si>
    <t>"A-5" 4,0</t>
  </si>
  <si>
    <t>"A výtlak"  4</t>
  </si>
  <si>
    <t>Potok</t>
  </si>
  <si>
    <t xml:space="preserve">"komunikace - asfalt" </t>
  </si>
  <si>
    <t>"A-5" 103</t>
  </si>
  <si>
    <t>"E"      557,82</t>
  </si>
  <si>
    <t>"E-2"  267,8</t>
  </si>
  <si>
    <t>"F"      489</t>
  </si>
  <si>
    <t>"F1"   96</t>
  </si>
  <si>
    <t>"G"     167</t>
  </si>
  <si>
    <t>"G-1" 184</t>
  </si>
  <si>
    <t>"A výtlak"  110,35</t>
  </si>
  <si>
    <t>1002</t>
  </si>
  <si>
    <t>Výkop rýh_výměry</t>
  </si>
  <si>
    <t>-61879012</t>
  </si>
  <si>
    <t>"A-5"</t>
  </si>
  <si>
    <t>7,0*1,1*2,9</t>
  </si>
  <si>
    <t>117*1,1*2,3</t>
  </si>
  <si>
    <t>"E"</t>
  </si>
  <si>
    <t>93,0*1,1*3,2</t>
  </si>
  <si>
    <t>90,0*1,1*2,5</t>
  </si>
  <si>
    <t>45,0*1,1*2,1</t>
  </si>
  <si>
    <t>333,82*1,1*2,2</t>
  </si>
  <si>
    <t>"E-1"</t>
  </si>
  <si>
    <t>180*1,1*3,2</t>
  </si>
  <si>
    <t>180*1,1*2,8</t>
  </si>
  <si>
    <t>"E-2"</t>
  </si>
  <si>
    <t>267,8*1,1*2,0</t>
  </si>
  <si>
    <t>"F"</t>
  </si>
  <si>
    <t>13,0*1,1*3,4</t>
  </si>
  <si>
    <t>45*1,1*2,8</t>
  </si>
  <si>
    <t>90*1,1*2,2</t>
  </si>
  <si>
    <t>347*1,1*2,0</t>
  </si>
  <si>
    <t>"F1"</t>
  </si>
  <si>
    <t>96*1,1*1,95</t>
  </si>
  <si>
    <t>"G"</t>
  </si>
  <si>
    <t>45,5*1,1*3,1</t>
  </si>
  <si>
    <t>45,5*1,1*3,7</t>
  </si>
  <si>
    <t>38*1,1*3,0</t>
  </si>
  <si>
    <t>38*1,1*2,3</t>
  </si>
  <si>
    <t>"G-1"</t>
  </si>
  <si>
    <t>45*1,1*2,6</t>
  </si>
  <si>
    <t>139*1,1*2,0</t>
  </si>
  <si>
    <t>"A - výtlak"</t>
  </si>
  <si>
    <t>31,71*1,0*2,4</t>
  </si>
  <si>
    <t>33,13*1,0*2,3</t>
  </si>
  <si>
    <t>8,68*1,0*2,0</t>
  </si>
  <si>
    <t>49,8*1,0*1,9</t>
  </si>
  <si>
    <t>7,03*1,0*1,7</t>
  </si>
  <si>
    <t>1002a</t>
  </si>
  <si>
    <t>Výkop šachet_výměry</t>
  </si>
  <si>
    <t>-1191675364</t>
  </si>
  <si>
    <t>0,6*1,6*2,6</t>
  </si>
  <si>
    <t>0,6*1,6*2,2</t>
  </si>
  <si>
    <t>0,6*1,6*2,0*3</t>
  </si>
  <si>
    <t>0,6*1,6*3,9</t>
  </si>
  <si>
    <t>0,6*1,6*3,4</t>
  </si>
  <si>
    <t>0,6*1,6*3,0</t>
  </si>
  <si>
    <t>0,6*1,6*2,5*5</t>
  </si>
  <si>
    <t>0,6*1,6*2,1*6</t>
  </si>
  <si>
    <t>0,6*1,6*1,8</t>
  </si>
  <si>
    <t>0,6*1,6*3,4*3</t>
  </si>
  <si>
    <t>0,6*1,6*2,8*3</t>
  </si>
  <si>
    <t>0,6*1,6*2,5*2</t>
  </si>
  <si>
    <t>0,6*1,6*2,0</t>
  </si>
  <si>
    <t>0,6*1,6*2,0*6</t>
  </si>
  <si>
    <t>0,6*1,6*2,3</t>
  </si>
  <si>
    <t>0,6*1,6*3,2</t>
  </si>
  <si>
    <t>0,6*1,6*2,4</t>
  </si>
  <si>
    <t>0,6*1,6*2,0*11</t>
  </si>
  <si>
    <t>0,6*1,6*4,1</t>
  </si>
  <si>
    <t>0,6*1,6*2,8</t>
  </si>
  <si>
    <t>0,6*1,6*1,9</t>
  </si>
  <si>
    <t>0,6*1,6*2,0*4</t>
  </si>
  <si>
    <t>1003</t>
  </si>
  <si>
    <t>Dimenze potrubí-výměry</t>
  </si>
  <si>
    <t>1983016000</t>
  </si>
  <si>
    <t xml:space="preserve">"PVC, SN12 - DN250" </t>
  </si>
  <si>
    <t>"A-5"  124</t>
  </si>
  <si>
    <t>"E"  561,82</t>
  </si>
  <si>
    <t>"E-2" 267,8</t>
  </si>
  <si>
    <t>"F"      495</t>
  </si>
  <si>
    <t>"F1"    96</t>
  </si>
  <si>
    <t>"G"      167</t>
  </si>
  <si>
    <t>"G-1"  184</t>
  </si>
  <si>
    <t>"PE100 SDR11 d90 - DN80"</t>
  </si>
  <si>
    <t>"A - výtlak"  130,35</t>
  </si>
  <si>
    <t>1004</t>
  </si>
  <si>
    <t>Šachty_výměry</t>
  </si>
  <si>
    <t>1851850594</t>
  </si>
  <si>
    <t>"ŠA5-1 až ŠA5-5"  5</t>
  </si>
  <si>
    <t>"ŠE1-1 až ŠE1-14" 14</t>
  </si>
  <si>
    <t>"ŠE2-1 až ŠE2-7" 7</t>
  </si>
  <si>
    <t>"ŠF-1 až ŠF14"     14</t>
  </si>
  <si>
    <t>"ŠF1-1 až ŠF1-3"  3</t>
  </si>
  <si>
    <t>"ŠG-1 až ŠG4"       4</t>
  </si>
  <si>
    <t>"ŠG1-1 až ŠG1-4"  4</t>
  </si>
  <si>
    <t>113154332</t>
  </si>
  <si>
    <t>Frézování živičného krytu tl 40 mm pruh š 2 m pl do 10000 m2 bez překážek v trase</t>
  </si>
  <si>
    <t>-1120650051</t>
  </si>
  <si>
    <t>113107182R1</t>
  </si>
  <si>
    <t>Odstranění podkladu pl přes do 200 m2 asfaltobetonu tl 70 mm</t>
  </si>
  <si>
    <t>-785968543</t>
  </si>
  <si>
    <t>Asfalt*1,1</t>
  </si>
  <si>
    <t>113107222R1</t>
  </si>
  <si>
    <t>Odstranění podkladu pl přes 200 m2 z obalovaného kameniva tl 120 mm</t>
  </si>
  <si>
    <t>2049180486</t>
  </si>
  <si>
    <t>113107223R1</t>
  </si>
  <si>
    <t>Odstranění podkladu pl přes 200 m2 z štěrkodrti tl 300 mm</t>
  </si>
  <si>
    <t>1077917022</t>
  </si>
  <si>
    <t>570209452</t>
  </si>
  <si>
    <t>zelen*2,1*0,15</t>
  </si>
  <si>
    <t>132201203</t>
  </si>
  <si>
    <t>Hloubení rýh š do 2000 mm v hornině tř. 3 objemu do 5000 m3</t>
  </si>
  <si>
    <t>2043010956</t>
  </si>
  <si>
    <t>"výkop rýh"</t>
  </si>
  <si>
    <t xml:space="preserve">"odpočet odstraněné skladby komunikace" </t>
  </si>
  <si>
    <t>-asfalt*1,1*0,5</t>
  </si>
  <si>
    <t>"výkop v tř. 3 - 30%"</t>
  </si>
  <si>
    <t>132301203</t>
  </si>
  <si>
    <t>Hloubení rýh š do 2000 mm v hornině tř. 4 objemu do 5000 m3</t>
  </si>
  <si>
    <t>1412233881</t>
  </si>
  <si>
    <t>"výkop v tř. 4 - 40%"</t>
  </si>
  <si>
    <t>132301209</t>
  </si>
  <si>
    <t>Příplatek za lepivost k hloubení rýh š do 2000 mm v hornině tř. 4</t>
  </si>
  <si>
    <t>708588010</t>
  </si>
  <si>
    <t>132401201</t>
  </si>
  <si>
    <t>Hloubení rýh š do 2000 mm v hornině tř. 5</t>
  </si>
  <si>
    <t>581806476</t>
  </si>
  <si>
    <t>"výkop v tř. 5 - 30%"</t>
  </si>
  <si>
    <t>-1979601961</t>
  </si>
  <si>
    <t>"výkop šachet - tř 3 - 30%"</t>
  </si>
  <si>
    <t>1575252377</t>
  </si>
  <si>
    <t>133301101</t>
  </si>
  <si>
    <t>Hloubení šachet v hornině tř. 4 objemu do 100 m3</t>
  </si>
  <si>
    <t>116020138</t>
  </si>
  <si>
    <t>"výkop šachet - tř 4 - 40%"</t>
  </si>
  <si>
    <t>133301109</t>
  </si>
  <si>
    <t>Příplatek za lepivost u hloubení šachet v hornině tř. 4</t>
  </si>
  <si>
    <t>1806954009</t>
  </si>
  <si>
    <t>133401101</t>
  </si>
  <si>
    <t>Hloubení šachet v hornině tř. 5</t>
  </si>
  <si>
    <t>-903050522</t>
  </si>
  <si>
    <t>"výkop šachet - tř 5 - 30%"</t>
  </si>
  <si>
    <t>133302011R1</t>
  </si>
  <si>
    <t>Hloubení šachet v soudržných horninách tř. 4 - v prostoru štětovnicového pažení</t>
  </si>
  <si>
    <t>-1499752293</t>
  </si>
  <si>
    <t>4,7*4,7*5,8</t>
  </si>
  <si>
    <t>-78871540</t>
  </si>
  <si>
    <t>"výkop šachty ČS" 128,122</t>
  </si>
  <si>
    <t>"zásyp rýh" -3843,68</t>
  </si>
  <si>
    <t>"zásyp ČS" -99,651</t>
  </si>
  <si>
    <t>162701105</t>
  </si>
  <si>
    <t>Vodorovné přemístění do 10000 m výkopku/sypaniny z horniny tř. 1 až 4</t>
  </si>
  <si>
    <t>-1662791862</t>
  </si>
  <si>
    <t>167101102R1</t>
  </si>
  <si>
    <t>Poplatek za skládku zeminy</t>
  </si>
  <si>
    <t>1130225144</t>
  </si>
  <si>
    <t>151101101</t>
  </si>
  <si>
    <t>Zřízení příložného pažení a rozepření stěn rýh hl do 2 m</t>
  </si>
  <si>
    <t>-1609941909</t>
  </si>
  <si>
    <t>7,0*2,9*2</t>
  </si>
  <si>
    <t>117*2,3*2</t>
  </si>
  <si>
    <t>93,0*3,2*2</t>
  </si>
  <si>
    <t>90,0*2,5*2</t>
  </si>
  <si>
    <t>45,0*2,1*2</t>
  </si>
  <si>
    <t>333,82*2,2*2</t>
  </si>
  <si>
    <t>180*3,2*2</t>
  </si>
  <si>
    <t>180*2,8*2</t>
  </si>
  <si>
    <t>267,8*2,0*2</t>
  </si>
  <si>
    <t>13,0*3,4*2</t>
  </si>
  <si>
    <t>45*2,8*2</t>
  </si>
  <si>
    <t>90*2,2*2</t>
  </si>
  <si>
    <t>347*2,0*2</t>
  </si>
  <si>
    <t>96*1,95*2</t>
  </si>
  <si>
    <t>45,5*3,1*2</t>
  </si>
  <si>
    <t>45,5*3,7*2</t>
  </si>
  <si>
    <t>38*3,0*2</t>
  </si>
  <si>
    <t>38*2,3*2</t>
  </si>
  <si>
    <t>45*2,6*2</t>
  </si>
  <si>
    <t>139*2,0*2</t>
  </si>
  <si>
    <t>31,71*2,4*2</t>
  </si>
  <si>
    <t>33,13*2,3*2</t>
  </si>
  <si>
    <t>8,68*2,0*2</t>
  </si>
  <si>
    <t>49,8*1,9*2</t>
  </si>
  <si>
    <t>7,03*1,7*2</t>
  </si>
  <si>
    <t>151101111</t>
  </si>
  <si>
    <t>Odstranění příložného pažení a rozepření stěn rýh hl do 2 m</t>
  </si>
  <si>
    <t>-33065658</t>
  </si>
  <si>
    <t>153112123R1</t>
  </si>
  <si>
    <t>Zaberanění ocelové štětovnicové stěny na dl do 12 m ve standardních podmínkách z terénu vč dodávky</t>
  </si>
  <si>
    <t>176984404</t>
  </si>
  <si>
    <t>"čerpací šachta 4"</t>
  </si>
  <si>
    <t>4,7*8,7*4</t>
  </si>
  <si>
    <t>167101102R2</t>
  </si>
  <si>
    <t>Nakládání výkopku z hornin tř. 1 až 4 přes 100 m3 - na mezideponii a zpět pro zásyp</t>
  </si>
  <si>
    <t>-126176499</t>
  </si>
  <si>
    <t>162301102</t>
  </si>
  <si>
    <t>Vodorovné přemístění do 1000 m výkopku/sypaniny z horniny tř. 1 až 4</t>
  </si>
  <si>
    <t>1784945191</t>
  </si>
  <si>
    <t>451572111R1</t>
  </si>
  <si>
    <t>Lože pod potrubí otevřený výkop z písku fr 8-16</t>
  </si>
  <si>
    <t>1646717363</t>
  </si>
  <si>
    <t>"potrubí"</t>
  </si>
  <si>
    <t>175111101R2</t>
  </si>
  <si>
    <t xml:space="preserve">Obsypání potrubí ručně vytěženou zeminou </t>
  </si>
  <si>
    <t>943597727</t>
  </si>
  <si>
    <t>"zásyp zeminou"</t>
  </si>
  <si>
    <t>174101102</t>
  </si>
  <si>
    <t>Zásyp v uzavřených prostorech sypaninou se zhutněním</t>
  </si>
  <si>
    <t>-1615897774</t>
  </si>
  <si>
    <t>"ČS4"</t>
  </si>
  <si>
    <t>128,122-(PI*1,25*1,25*5,8)</t>
  </si>
  <si>
    <t>1145464471</t>
  </si>
  <si>
    <t>zelen</t>
  </si>
  <si>
    <t>181411121</t>
  </si>
  <si>
    <t>Založení lučního trávníku výsevem plochy do 1000 m2 v rovině a ve svahu do 1:5</t>
  </si>
  <si>
    <t>1785264700</t>
  </si>
  <si>
    <t>005724700</t>
  </si>
  <si>
    <t>osivo směs travní univerzál</t>
  </si>
  <si>
    <t>262510525</t>
  </si>
  <si>
    <t>153112123R2</t>
  </si>
  <si>
    <t>Čerpací šachta - ocelová perforovaná trouba DN400 hl. 1,0 m</t>
  </si>
  <si>
    <t>-1348773322</t>
  </si>
  <si>
    <t>212755114</t>
  </si>
  <si>
    <t>Trativody z drenážních trubek pálených vnitřního průměru 100 mm bez lože</t>
  </si>
  <si>
    <t>-581598733</t>
  </si>
  <si>
    <t>"trativody v místech výskytu podzemní vody - odhad 40%"</t>
  </si>
  <si>
    <t>-1965119004</t>
  </si>
  <si>
    <t>"drenáže jen v místě výskytu podzemní vody - odhad 40%"</t>
  </si>
  <si>
    <t>775290157</t>
  </si>
  <si>
    <t>451315114</t>
  </si>
  <si>
    <t>Podkladní nebo výplňová vrstva z betonu C 12/15 tl do 100 mm</t>
  </si>
  <si>
    <t>-898828480</t>
  </si>
  <si>
    <t>"šachty průběžné"</t>
  </si>
  <si>
    <t>451576121R1</t>
  </si>
  <si>
    <t>Podkladní a výplňová vrstva ze štěrkopísku tl 100 mm</t>
  </si>
  <si>
    <t>-1214864164</t>
  </si>
  <si>
    <t>"CS4"  3,927</t>
  </si>
  <si>
    <t>171201R1</t>
  </si>
  <si>
    <t>Vytvoření jílových násypů hutněných</t>
  </si>
  <si>
    <t>1484750721</t>
  </si>
  <si>
    <t>6,0*2</t>
  </si>
  <si>
    <t>581232800</t>
  </si>
  <si>
    <t>zemina jílovinová kameninová surová kusová BH</t>
  </si>
  <si>
    <t>1150204212</t>
  </si>
  <si>
    <t>12*1,8</t>
  </si>
  <si>
    <t>-46349361</t>
  </si>
  <si>
    <t>404353195</t>
  </si>
  <si>
    <t>871425211</t>
  </si>
  <si>
    <t>Kanalizační potrubí z tvrdého PVC-systém KG tuhost třídy SN4 DN500</t>
  </si>
  <si>
    <t>419354662</t>
  </si>
  <si>
    <t>871425R1</t>
  </si>
  <si>
    <t>Chránička PE100 SDR11 d 160 + distanční objímka "B" pro potrubí pr 86-106 mm</t>
  </si>
  <si>
    <t>-1420413909</t>
  </si>
  <si>
    <t>871425R2</t>
  </si>
  <si>
    <t>Orientační sloupky v betonových blocích</t>
  </si>
  <si>
    <t>-907588157</t>
  </si>
  <si>
    <t>564231111</t>
  </si>
  <si>
    <t>Podklad nebo podsyp ze štěrkopísku ŠP tl 100 mm</t>
  </si>
  <si>
    <t>386389665</t>
  </si>
  <si>
    <t>7,0*3,1</t>
  </si>
  <si>
    <t>564231R1</t>
  </si>
  <si>
    <t>Oprava opevnněí břehu kamennou rovnaninou 80-200 kg</t>
  </si>
  <si>
    <t>537928236</t>
  </si>
  <si>
    <t>871425R3</t>
  </si>
  <si>
    <t>Distanční objímka "B" pro potrubí pr 86-106 mm</t>
  </si>
  <si>
    <t>1654370185</t>
  </si>
  <si>
    <t>871425R4</t>
  </si>
  <si>
    <t>Manžeta "N" pro potrubí pr 80-106 mm</t>
  </si>
  <si>
    <t>1890518559</t>
  </si>
  <si>
    <t>564871116</t>
  </si>
  <si>
    <t>Podklad ze štěrkodrtě ŠD tl. 300 mm</t>
  </si>
  <si>
    <t>57286039</t>
  </si>
  <si>
    <t>asfalt*1,1</t>
  </si>
  <si>
    <t>565175113</t>
  </si>
  <si>
    <t>Asfaltový beton vrstva podkladní ACP 16 (obalované kamenivo OKS) tl 120 mm š do 3 m</t>
  </si>
  <si>
    <t>-781402386</t>
  </si>
  <si>
    <t>577166111</t>
  </si>
  <si>
    <t>Asfaltový beton vrstva ložní ACL 22 (ABVH) tl 70 mm š do 3 m z nemodifikovaného asfaltu</t>
  </si>
  <si>
    <t>2531511</t>
  </si>
  <si>
    <t>577134111</t>
  </si>
  <si>
    <t>Asfaltový beton vrstva obrusná ACO 11 (ABS) tř. I tl 40 mm š do 3 m z nemodifikovaného asfaltu</t>
  </si>
  <si>
    <t>627050546</t>
  </si>
  <si>
    <t>asfalt*2,1</t>
  </si>
  <si>
    <t>573231111</t>
  </si>
  <si>
    <t>Postřik živičný spojovací ze silniční emulze v množství do 0,7 kg/m2</t>
  </si>
  <si>
    <t>-1168002218</t>
  </si>
  <si>
    <t>871255202</t>
  </si>
  <si>
    <t>Montáž kanalizačního potrubí z PE SDR11 otevřený výkop svařovaných elektrotvarovkou D 90 x 8,2 mm</t>
  </si>
  <si>
    <t>-979689021</t>
  </si>
  <si>
    <t>286133840</t>
  </si>
  <si>
    <t>potrubí kanalizační tlakové PE100 SDR 11, návin se signalizační vrstvou  90 x 8,2 mm</t>
  </si>
  <si>
    <t>712565618</t>
  </si>
  <si>
    <t>213571638</t>
  </si>
  <si>
    <t>286173120R1</t>
  </si>
  <si>
    <t>1537661132</t>
  </si>
  <si>
    <t>892381111</t>
  </si>
  <si>
    <t>Tlaková zkouška vodou potrubí DN 250, DN 300 nebo 350</t>
  </si>
  <si>
    <t>1090334251</t>
  </si>
  <si>
    <t>7221731R2</t>
  </si>
  <si>
    <t xml:space="preserve">Výstražná folie </t>
  </si>
  <si>
    <t>-1045225265</t>
  </si>
  <si>
    <t>7221731R3</t>
  </si>
  <si>
    <t>signalizační vodič Cu 4,0 mm2</t>
  </si>
  <si>
    <t>-1271865109</t>
  </si>
  <si>
    <t>894411311R1</t>
  </si>
  <si>
    <t xml:space="preserve">Osazení poklopu </t>
  </si>
  <si>
    <t>1357367525</t>
  </si>
  <si>
    <t>286619350R1</t>
  </si>
  <si>
    <t>poklop těžký kruhový  litinový s rámem  D400 plný</t>
  </si>
  <si>
    <t>-1198150885</t>
  </si>
  <si>
    <t>894411R20</t>
  </si>
  <si>
    <t>Montáž a dodávka prefabrikované šachty D1000 mm průběžné vč stupadel</t>
  </si>
  <si>
    <t>2009039707</t>
  </si>
  <si>
    <t>894411R40</t>
  </si>
  <si>
    <t>Odbočka pro kanalizační přípojku DN150</t>
  </si>
  <si>
    <t>1531746212</t>
  </si>
  <si>
    <t>894411R41</t>
  </si>
  <si>
    <t>Zaslepení odbočky DN150</t>
  </si>
  <si>
    <t>1404048067</t>
  </si>
  <si>
    <t>8944111R1</t>
  </si>
  <si>
    <t>Šachta čerpací železobetonová prefabrikovaná pr 2,2 m hlouka 5,3 m (betonové skruže, dno, zákrytová deska, šachtové vložky s těsněním)</t>
  </si>
  <si>
    <t>-1385340324</t>
  </si>
  <si>
    <t>8944111R2</t>
  </si>
  <si>
    <t>Nerez žebřík dl 5,2 m</t>
  </si>
  <si>
    <t>-430066485</t>
  </si>
  <si>
    <t>1551328449</t>
  </si>
  <si>
    <t>286619350R2</t>
  </si>
  <si>
    <t>poklop těžký litinový s rámem 600/600 mm uzamykatelný</t>
  </si>
  <si>
    <t>-2038364074</t>
  </si>
  <si>
    <t>899620151R1</t>
  </si>
  <si>
    <t>Obetonování šachty betonem prostým tř. C 25/30 XA1</t>
  </si>
  <si>
    <t>1382047739</t>
  </si>
  <si>
    <t>"obetonování šachty "CS4"</t>
  </si>
  <si>
    <t>7,973</t>
  </si>
  <si>
    <t>"podkladní beton šachty CS4"</t>
  </si>
  <si>
    <t>3,927</t>
  </si>
  <si>
    <t>899620151R2</t>
  </si>
  <si>
    <t>Spádový beton C25/30 XA1</t>
  </si>
  <si>
    <t>438144581</t>
  </si>
  <si>
    <t>"CS4"</t>
  </si>
  <si>
    <t>4,2</t>
  </si>
  <si>
    <t>3502100R1</t>
  </si>
  <si>
    <t>Montáž čerpadlo kalové ponorné</t>
  </si>
  <si>
    <t>1780101785</t>
  </si>
  <si>
    <t>426110990R1</t>
  </si>
  <si>
    <t>čerpadlo ponorné kalové Q=3-4,7l/s, H=16-11 mv.sl., P=2,5kW,400V s mělnícím a spouštěcím zařízením</t>
  </si>
  <si>
    <t>1783322457</t>
  </si>
  <si>
    <t>3502100R2</t>
  </si>
  <si>
    <t>Patková kolena</t>
  </si>
  <si>
    <t>1844378368</t>
  </si>
  <si>
    <t>3502100R3</t>
  </si>
  <si>
    <t>Vodící trubky 26,9 mm tl 2 mm ocelové</t>
  </si>
  <si>
    <t>1493180278</t>
  </si>
  <si>
    <t>871231121</t>
  </si>
  <si>
    <t>Montáž potrubí z trubek z tlakového polyetylénu otevřený výkop svařovaných vnější průměr 75mm</t>
  </si>
  <si>
    <t>-1772601998</t>
  </si>
  <si>
    <t>286131140</t>
  </si>
  <si>
    <t>potrubí vodovodní PE100 PN16 SDR11 6 m, 100 m, 75 x 6,8 mm</t>
  </si>
  <si>
    <t>-92791218</t>
  </si>
  <si>
    <t>871241121</t>
  </si>
  <si>
    <t>Montáž potrubí z trubek z tlakového polyetylénu otevřený výkop svařovaných vnější průměr 90 mm</t>
  </si>
  <si>
    <t>-1515713609</t>
  </si>
  <si>
    <t>286131150</t>
  </si>
  <si>
    <t>potrubí vodovodní PE100 PN16 SDR11 6 m, 12 m, 100 m, 90 x 8,2 mm</t>
  </si>
  <si>
    <t>392946048</t>
  </si>
  <si>
    <t>891235321</t>
  </si>
  <si>
    <t>Montáž zpětných klapek DN 65</t>
  </si>
  <si>
    <t>1917231048</t>
  </si>
  <si>
    <t>422844030R1</t>
  </si>
  <si>
    <t>klapka zpětná DN65 PN16 s kouplí</t>
  </si>
  <si>
    <t>-390132617</t>
  </si>
  <si>
    <t>723150344R1</t>
  </si>
  <si>
    <t>Redukce  přírubová DN 65/40</t>
  </si>
  <si>
    <t>165915909</t>
  </si>
  <si>
    <t>722232049R1</t>
  </si>
  <si>
    <t xml:space="preserve">Kohout kulový nerezový  DN 21/2"  včetně přechodových plastových kusů 75x2 1/2" </t>
  </si>
  <si>
    <t>-392728667</t>
  </si>
  <si>
    <t>722232049R2</t>
  </si>
  <si>
    <t>Plastové PE tvarovky (redukce, koleno, T-kus, vypouštěcí odbočka, koleno 63) pro výtlačné potrubí</t>
  </si>
  <si>
    <t>-1865374761</t>
  </si>
  <si>
    <t>722232049R3</t>
  </si>
  <si>
    <t>Nerezový kulový kohout 2" s pákou</t>
  </si>
  <si>
    <t>1769644553</t>
  </si>
  <si>
    <t>722232049R4</t>
  </si>
  <si>
    <t>Hasičská spojka C52xG2</t>
  </si>
  <si>
    <t>-265030180</t>
  </si>
  <si>
    <t>997013501</t>
  </si>
  <si>
    <t>Odvoz suti a vybouraných hmot na mezideponii do 1 km se složením</t>
  </si>
  <si>
    <t>1401635935</t>
  </si>
  <si>
    <t>997013509</t>
  </si>
  <si>
    <t>Příplatek k odvozu suti a vybouraných hmot na skládku ZKD 1 km přes 1 km</t>
  </si>
  <si>
    <t>1063783041</t>
  </si>
  <si>
    <t>997013831R1</t>
  </si>
  <si>
    <t>Poplatek za uložení  živice na skládce (skládkovné)</t>
  </si>
  <si>
    <t>-1448100191</t>
  </si>
  <si>
    <t>997013831R2</t>
  </si>
  <si>
    <t>Poplatek za uložení stavebního kamenného odpadu na skládce</t>
  </si>
  <si>
    <t>1597497512</t>
  </si>
  <si>
    <t>místní</t>
  </si>
  <si>
    <t>1424,27</t>
  </si>
  <si>
    <t>zahrada</t>
  </si>
  <si>
    <t>SO.2.02 - Kanalizace - část 2 včetně ČS2</t>
  </si>
  <si>
    <t>"ostatní plocha"</t>
  </si>
  <si>
    <t>"D" 6</t>
  </si>
  <si>
    <t>"D-1" 10</t>
  </si>
  <si>
    <t>"D-2" 15</t>
  </si>
  <si>
    <t>"místní silnice - asfalt"</t>
  </si>
  <si>
    <t>"C" 543,7</t>
  </si>
  <si>
    <t>"C-1" 82</t>
  </si>
  <si>
    <t>"D"  194</t>
  </si>
  <si>
    <t>"D-1" 250,66</t>
  </si>
  <si>
    <t>"D-2"255,91</t>
  </si>
  <si>
    <t>asfaltm</t>
  </si>
  <si>
    <t>"místní silnice - štěrk"</t>
  </si>
  <si>
    <t xml:space="preserve">"C-1"  10  </t>
  </si>
  <si>
    <t>sterk</t>
  </si>
  <si>
    <t>"zahrada"</t>
  </si>
  <si>
    <t>"D"  10</t>
  </si>
  <si>
    <t xml:space="preserve">"silnice II. třidy" </t>
  </si>
  <si>
    <t>"D" 316,7</t>
  </si>
  <si>
    <t>"D-2" 5</t>
  </si>
  <si>
    <t>silniceII</t>
  </si>
  <si>
    <t xml:space="preserve">"C" </t>
  </si>
  <si>
    <t>26,68*1,1*2,7</t>
  </si>
  <si>
    <t>26,69*1,1*2,5</t>
  </si>
  <si>
    <t>16,51*1,1*3,0</t>
  </si>
  <si>
    <t>13,06*1,1*3,4</t>
  </si>
  <si>
    <t>11,73*1,1*2,9</t>
  </si>
  <si>
    <t>29,29*1,1*2,5</t>
  </si>
  <si>
    <t>4,56*1,1*3,1</t>
  </si>
  <si>
    <t>7,5*1,1*4,3</t>
  </si>
  <si>
    <t>35,37*1,1*4,0</t>
  </si>
  <si>
    <t>32,13*1,1*3,5</t>
  </si>
  <si>
    <t>23,26*1,1*2,7</t>
  </si>
  <si>
    <t>10,4*1,1*2,8</t>
  </si>
  <si>
    <t>32,25*1,1*3,2</t>
  </si>
  <si>
    <t>50*1,1*3,4</t>
  </si>
  <si>
    <t>47*1,1*3,6</t>
  </si>
  <si>
    <t>50*1,1*3,6</t>
  </si>
  <si>
    <t>50*1,1*3,0</t>
  </si>
  <si>
    <t>31,8*1,1*2,2</t>
  </si>
  <si>
    <t>"C-1"</t>
  </si>
  <si>
    <t>92*1,1*2,2</t>
  </si>
  <si>
    <t>"D"</t>
  </si>
  <si>
    <t>15,22*1,1*4,7</t>
  </si>
  <si>
    <t>27,23*1,1*5,0</t>
  </si>
  <si>
    <t>17,29*1,1*4,0</t>
  </si>
  <si>
    <t>8,68*1,1*3,5</t>
  </si>
  <si>
    <t>9,2*1,1*3,3</t>
  </si>
  <si>
    <t>7,54*1,1*2,8</t>
  </si>
  <si>
    <t>34,02*1,1*2,5</t>
  </si>
  <si>
    <t>11,75*1,1*2,6</t>
  </si>
  <si>
    <t>16,78*1,1*2,9</t>
  </si>
  <si>
    <t>32,04*1,1*2,8</t>
  </si>
  <si>
    <t>15,12*1,1*2,5</t>
  </si>
  <si>
    <t>15,21*1,1*2,5</t>
  </si>
  <si>
    <t>50*1,1*2,5</t>
  </si>
  <si>
    <t>17,89*1,1*2,4</t>
  </si>
  <si>
    <t>32,1*1,1*2,3</t>
  </si>
  <si>
    <t>50*1,1*2,6</t>
  </si>
  <si>
    <t>50*1,1*3,1</t>
  </si>
  <si>
    <t>46,94*1,1*2,9</t>
  </si>
  <si>
    <t>18,61*1,1*2,3</t>
  </si>
  <si>
    <t>11,24*1,1*2,0</t>
  </si>
  <si>
    <t>16,13*1,1*2,0</t>
  </si>
  <si>
    <t>23,79*1,1*2,1</t>
  </si>
  <si>
    <t>"D-1"</t>
  </si>
  <si>
    <t>(6,12+45,32)*1,1*3,0</t>
  </si>
  <si>
    <t>45*1,1*2,5</t>
  </si>
  <si>
    <t>44,99*1,1*2,4</t>
  </si>
  <si>
    <t>(45+29,23)*1,1*2,3</t>
  </si>
  <si>
    <t>"D-3"</t>
  </si>
  <si>
    <t>"D-2"</t>
  </si>
  <si>
    <t>276*1,1*2,0</t>
  </si>
  <si>
    <t>"C"</t>
  </si>
  <si>
    <t>0,6*1,6*3,7</t>
  </si>
  <si>
    <t>0,6*1,6*2,9</t>
  </si>
  <si>
    <t>0,6*1,6*4,3*2</t>
  </si>
  <si>
    <t>0,6*1,6*3,8</t>
  </si>
  <si>
    <t>0,6*1,6*3,1</t>
  </si>
  <si>
    <t>0,6*1,6*3,3</t>
  </si>
  <si>
    <t>0,6*1,6*3,6</t>
  </si>
  <si>
    <t>0,6*1,6*3,5</t>
  </si>
  <si>
    <t>0,6*1,6*2,5</t>
  </si>
  <si>
    <t>0,6*1,6*2,2*3</t>
  </si>
  <si>
    <t>0,6*1,6*5,7</t>
  </si>
  <si>
    <t>0,6*1,6*4,4</t>
  </si>
  <si>
    <t>0,6*1,6*2,7</t>
  </si>
  <si>
    <t>0,6*1,6*2,1</t>
  </si>
  <si>
    <t>0,6*1,6*2,4*3</t>
  </si>
  <si>
    <t xml:space="preserve">"D-3"  </t>
  </si>
  <si>
    <t>"C-1" 92</t>
  </si>
  <si>
    <t>"D" 526,7</t>
  </si>
  <si>
    <t>"D-1"  260,66</t>
  </si>
  <si>
    <t>"D-2"  275,91</t>
  </si>
  <si>
    <t>"C"  19</t>
  </si>
  <si>
    <t>"C-1" 3</t>
  </si>
  <si>
    <t>"D" 22</t>
  </si>
  <si>
    <t>"D-1" 7</t>
  </si>
  <si>
    <t>"D-3" 2</t>
  </si>
  <si>
    <t>"D-2" 1</t>
  </si>
  <si>
    <t>Frézování živičného krytu tl 40 mm pruh š 2 m pl do 10000 m2 - asfaltobeton vrchní vrstva</t>
  </si>
  <si>
    <t>"silnice II. třidy"  321,7*2,1</t>
  </si>
  <si>
    <t>2082311703</t>
  </si>
  <si>
    <t>"silnice II. třidy"  321,7*1,1</t>
  </si>
  <si>
    <t>113107222R2</t>
  </si>
  <si>
    <t>Odstranění podkladu pl přes 200 m2 z obalovaného kameniva tl 40 mm</t>
  </si>
  <si>
    <t>636920904</t>
  </si>
  <si>
    <t>113107223R2</t>
  </si>
  <si>
    <t>Odstranění podkladu pl přes 200 m2 z štěrkodrti tl 200 mm</t>
  </si>
  <si>
    <t>-471358789</t>
  </si>
  <si>
    <t>zahrada*2,1*0,15</t>
  </si>
  <si>
    <t>"odpočet odstraněné skladby silnice II. třídy" - 321,7*1,1*0,5</t>
  </si>
  <si>
    <t>"výkop v tř. 3 - 20%"</t>
  </si>
  <si>
    <t>"výkop v tř. 4 - 20%"</t>
  </si>
  <si>
    <t>"výkop v tř. 5 - 20%"</t>
  </si>
  <si>
    <t>132501201</t>
  </si>
  <si>
    <t>Hloubení rýh š do 2000 mm v hornině tř. 6</t>
  </si>
  <si>
    <t>2091861620</t>
  </si>
  <si>
    <t>"výkop v tř. 6 - 30%"</t>
  </si>
  <si>
    <t>132601201</t>
  </si>
  <si>
    <t>Hloubení rýh š do 2000 mm v hornině tř. 7</t>
  </si>
  <si>
    <t>-131310894</t>
  </si>
  <si>
    <t>"výkop v tř. 7 - 10%"</t>
  </si>
  <si>
    <t>"výkop šachet - tř 3 - 20%"</t>
  </si>
  <si>
    <t>"výkop šachet - tř 4 - 20%"</t>
  </si>
  <si>
    <t>-426137394</t>
  </si>
  <si>
    <t>"výkop šachet - tř 5 - 20%"</t>
  </si>
  <si>
    <t>133501101</t>
  </si>
  <si>
    <t>Hloubení šachet v hornině tř. 6</t>
  </si>
  <si>
    <t>2065074117</t>
  </si>
  <si>
    <t>"výkop šachet - tř 6 - 30%"</t>
  </si>
  <si>
    <t>133601101</t>
  </si>
  <si>
    <t>Hloubení šachet v hornině tř. 7</t>
  </si>
  <si>
    <t>1073050052</t>
  </si>
  <si>
    <t>"výkop šachet - tř 7 - 10%"</t>
  </si>
  <si>
    <t>"CS2"</t>
  </si>
  <si>
    <t>4,7*4,7*5,0</t>
  </si>
  <si>
    <t>"výkop ČS" 110,45</t>
  </si>
  <si>
    <t>"zásyp rýh" -3764,158</t>
  </si>
  <si>
    <t>"zásyp ČS" -85,906</t>
  </si>
  <si>
    <t>26,68*2*2,7</t>
  </si>
  <si>
    <t>26,69*2*2,5</t>
  </si>
  <si>
    <t>16,51*2*3,0</t>
  </si>
  <si>
    <t>13,06*2*3,4</t>
  </si>
  <si>
    <t>11,73*2*2,9</t>
  </si>
  <si>
    <t>29,29*2*2,5</t>
  </si>
  <si>
    <t>4,56*2*3,1</t>
  </si>
  <si>
    <t>45,5*2*3,7</t>
  </si>
  <si>
    <t>7,5*2*4,3</t>
  </si>
  <si>
    <t>35,37*2*4,0</t>
  </si>
  <si>
    <t>32,13*2*3,5</t>
  </si>
  <si>
    <t>23,26*2*2,7</t>
  </si>
  <si>
    <t>10,4*2*2,8</t>
  </si>
  <si>
    <t>32,25*2*3,2</t>
  </si>
  <si>
    <t>50*2*3,4</t>
  </si>
  <si>
    <t>47*2*3,6</t>
  </si>
  <si>
    <t>50*2*3,6</t>
  </si>
  <si>
    <t>50*2*3,0</t>
  </si>
  <si>
    <t>31,8*2*2,2</t>
  </si>
  <si>
    <t>92*2*2,2</t>
  </si>
  <si>
    <t>15,22*2*4,7</t>
  </si>
  <si>
    <t>27,23*2*5,0</t>
  </si>
  <si>
    <t>17,29*2*4,0</t>
  </si>
  <si>
    <t>8,68*2*3,5</t>
  </si>
  <si>
    <t>9,2*2*3,3</t>
  </si>
  <si>
    <t>7,54*2*2,8</t>
  </si>
  <si>
    <t>34,02*2*2,5</t>
  </si>
  <si>
    <t>11,75*2*2,6</t>
  </si>
  <si>
    <t>16,78*2*2,9</t>
  </si>
  <si>
    <t>32,04*2*2,8</t>
  </si>
  <si>
    <t>15,12*2*2,5</t>
  </si>
  <si>
    <t>15,21*2*2,5</t>
  </si>
  <si>
    <t>50*2*2,5</t>
  </si>
  <si>
    <t>17,89*2*2,4</t>
  </si>
  <si>
    <t>32,1*2*2,3</t>
  </si>
  <si>
    <t>50*2*2,6</t>
  </si>
  <si>
    <t>50*2*3,1</t>
  </si>
  <si>
    <t>46,94*2*2,9</t>
  </si>
  <si>
    <t>18,61*2*2,3</t>
  </si>
  <si>
    <t>11,24*2*2,0</t>
  </si>
  <si>
    <t>16,13*2*2,0</t>
  </si>
  <si>
    <t>23,79*2*2,1</t>
  </si>
  <si>
    <t>(6,12+45,32)*2*3,0</t>
  </si>
  <si>
    <t>45*2*2,6</t>
  </si>
  <si>
    <t>45*2*2,5</t>
  </si>
  <si>
    <t>44,99*2*2,4</t>
  </si>
  <si>
    <t>(45+29,23)*2*2,3</t>
  </si>
  <si>
    <t>276*2*2,0</t>
  </si>
  <si>
    <t>"čerpací šachta 2"</t>
  </si>
  <si>
    <t>4,7*5,5*4</t>
  </si>
  <si>
    <t>"ČS2"</t>
  </si>
  <si>
    <t>110,45-(PI*1,25*1,25*5,0)</t>
  </si>
  <si>
    <t xml:space="preserve">"šachty průběžné"  </t>
  </si>
  <si>
    <t>577134121</t>
  </si>
  <si>
    <t>Asfaltový beton vrstva obrusná ACO 11 (ABS) tř. I tl 40 mm š přes 3 m z nemodifikovaného asfaltu</t>
  </si>
  <si>
    <t>-1701226943</t>
  </si>
  <si>
    <t>564861111</t>
  </si>
  <si>
    <t>Podklad ze štěrkodrtě ŠD tl 200 mm</t>
  </si>
  <si>
    <t>1933121369</t>
  </si>
  <si>
    <t>565125111</t>
  </si>
  <si>
    <t>Asfaltový beton vrstva podkladní ACP 16 (obalované kamenivo OKS) tl 40 mm š do 3 m</t>
  </si>
  <si>
    <t>758879761</t>
  </si>
  <si>
    <t>577133121</t>
  </si>
  <si>
    <t>Asfaltový beton vrstva obrusná ACO 8 (ABJ) tl 40 mm š přes 3 m z nemodifikovaného asfaltu</t>
  </si>
  <si>
    <t>618311489</t>
  </si>
  <si>
    <t>-83211654</t>
  </si>
  <si>
    <t>286619350R3</t>
  </si>
  <si>
    <t>poklop těžký kruhový  litinový s rámem  D400 - odvětraný + lapač nečistot DIN1221 plastový</t>
  </si>
  <si>
    <t>2056343753</t>
  </si>
  <si>
    <t>"C"  17</t>
  </si>
  <si>
    <t>894411R21</t>
  </si>
  <si>
    <t xml:space="preserve">Montáž a dodávka spadišťové šachty </t>
  </si>
  <si>
    <t>-1551439663</t>
  </si>
  <si>
    <t>"C"  2</t>
  </si>
  <si>
    <t>894411R42</t>
  </si>
  <si>
    <t>Odbočka pro kanalizační přípojku DN200</t>
  </si>
  <si>
    <t>1794403126</t>
  </si>
  <si>
    <t>894411R44</t>
  </si>
  <si>
    <t>Zaslepení odbočky DN200</t>
  </si>
  <si>
    <t>-1170078950</t>
  </si>
  <si>
    <t>8944111R1a</t>
  </si>
  <si>
    <t>Šachta čerpací železobetonová prefabrikovaná pr 2,2 m hlouka 4,4 m (betonové skruže, dno, zákrytová deska, šachtové vložky s těsněním)</t>
  </si>
  <si>
    <t>727596901</t>
  </si>
  <si>
    <t>8944111R2a</t>
  </si>
  <si>
    <t>Nerez žebřík dl 4,0 m</t>
  </si>
  <si>
    <t>2019192336</t>
  </si>
  <si>
    <t>"obetonování šachty "CS2"</t>
  </si>
  <si>
    <t>"podkladní beton šachty CS2"</t>
  </si>
  <si>
    <t>SO.2.03 - Kanalizace - část 3 včetně ČS1</t>
  </si>
  <si>
    <t>"A" 12+22</t>
  </si>
  <si>
    <t>"nezpevněný terén"</t>
  </si>
  <si>
    <t>"AA" 777</t>
  </si>
  <si>
    <t>"A" 46+10+50+62</t>
  </si>
  <si>
    <t>"A-1" 17</t>
  </si>
  <si>
    <t>"přeložka DK" 11</t>
  </si>
  <si>
    <t>"místní asfalt"</t>
  </si>
  <si>
    <t>"A" 56+121,5</t>
  </si>
  <si>
    <t>"A-1" 19+146</t>
  </si>
  <si>
    <t>"A-2" 101+165</t>
  </si>
  <si>
    <t>"přeložka DK" 100,5</t>
  </si>
  <si>
    <t>"silnice II.třídy"</t>
  </si>
  <si>
    <t>"A" 130</t>
  </si>
  <si>
    <t>"A-2" 138</t>
  </si>
  <si>
    <t>"A-6" 63,5</t>
  </si>
  <si>
    <t>"AA výtlak"</t>
  </si>
  <si>
    <t>777,0*1,0*1,6</t>
  </si>
  <si>
    <t>"A"</t>
  </si>
  <si>
    <t>30,77*1,1*3,6</t>
  </si>
  <si>
    <t>39,9*1,1*3,7</t>
  </si>
  <si>
    <t>30*1,1*3,75</t>
  </si>
  <si>
    <t>30*1,1*3,4</t>
  </si>
  <si>
    <t>30*1,1*3,0</t>
  </si>
  <si>
    <t>30*1,1*2,1</t>
  </si>
  <si>
    <t>24,1*1,1*2,2</t>
  </si>
  <si>
    <t>37,67*1,1*2,5</t>
  </si>
  <si>
    <t>29,13*1,1*2,3</t>
  </si>
  <si>
    <t>13,5*1,1*1,9</t>
  </si>
  <si>
    <t>24,46*1,1*2,3</t>
  </si>
  <si>
    <t>13,68*1,1*2,6</t>
  </si>
  <si>
    <t>41*1,1*2,2</t>
  </si>
  <si>
    <t>45*1,1*2,1</t>
  </si>
  <si>
    <t>48,28*1,1*2,1</t>
  </si>
  <si>
    <t>"A-1"</t>
  </si>
  <si>
    <t>18,73*1,1*2,8</t>
  </si>
  <si>
    <t>15,57*1,1*2,6</t>
  </si>
  <si>
    <t>26,12*1,1*2,3</t>
  </si>
  <si>
    <t>24,34*1,1*2,0</t>
  </si>
  <si>
    <t>46,16*1,1*2,0</t>
  </si>
  <si>
    <t>23,88*1,1*2,0</t>
  </si>
  <si>
    <t>27,22*1,1*2,0</t>
  </si>
  <si>
    <t>"A-2"</t>
  </si>
  <si>
    <t>45*1,1*2,2</t>
  </si>
  <si>
    <t>359*1,1*2,0</t>
  </si>
  <si>
    <t>"A-6"</t>
  </si>
  <si>
    <t>63,5*1,1*2,1</t>
  </si>
  <si>
    <t>"přeložka DK"</t>
  </si>
  <si>
    <t>10,95*1,2*1,2</t>
  </si>
  <si>
    <t>34,3*1,2*1,6</t>
  </si>
  <si>
    <t>29,11*1,2*1,9</t>
  </si>
  <si>
    <t>12,75*1,2*2,0</t>
  </si>
  <si>
    <t>24,41*1,2*2,3</t>
  </si>
  <si>
    <t>0,6*1,6*3,8*2</t>
  </si>
  <si>
    <t>0,6*1,6*3,0*2</t>
  </si>
  <si>
    <t>0,6*1,6*2,2*2</t>
  </si>
  <si>
    <t>0,6*1,6*1,9*2</t>
  </si>
  <si>
    <t>0,6*1,6*2,0*2</t>
  </si>
  <si>
    <t>0,6*1,6*2,0*5</t>
  </si>
  <si>
    <t>0,6*1,6*2,0*10</t>
  </si>
  <si>
    <t>0,6*1,6*1,7</t>
  </si>
  <si>
    <t>"A" 509,5</t>
  </si>
  <si>
    <t>"A-1" 182</t>
  </si>
  <si>
    <t>"A-2" 404</t>
  </si>
  <si>
    <t>"AA - výtlak"  777</t>
  </si>
  <si>
    <t>"PVC, SN12 - DN400"</t>
  </si>
  <si>
    <t>"přeložka DK" 111,5</t>
  </si>
  <si>
    <t>"A" 16</t>
  </si>
  <si>
    <t>"A-1" 7</t>
  </si>
  <si>
    <t>"A-2" 10</t>
  </si>
  <si>
    <t>"A-6" 2</t>
  </si>
  <si>
    <t>"přeložka DK" 3</t>
  </si>
  <si>
    <t>"místní asfalt"    709*1,4</t>
  </si>
  <si>
    <t>"silnice II.třídy"  331,5*2,1</t>
  </si>
  <si>
    <t>"silnice II.třídy"  331,5*1,1</t>
  </si>
  <si>
    <t>113107222R1a</t>
  </si>
  <si>
    <t>638526808</t>
  </si>
  <si>
    <t>"místní asfalt"    709*1,1</t>
  </si>
  <si>
    <t>113107223R1a</t>
  </si>
  <si>
    <t>1280704394</t>
  </si>
  <si>
    <t>"nezpevněný terén"  973*1,4</t>
  </si>
  <si>
    <t>"výkop rýh"  4462,151</t>
  </si>
  <si>
    <t>"odpočet odstraněné skladby komunikace místní"  -709*1,1*0,3</t>
  </si>
  <si>
    <t>"odpočet odstraněné skladby komunikace II.třídy" -331,5*1,1*0,5</t>
  </si>
  <si>
    <t>4045,856*0,3</t>
  </si>
  <si>
    <t>4045,856*0,4</t>
  </si>
  <si>
    <t>83,616*0,3</t>
  </si>
  <si>
    <t>83,616*0,4</t>
  </si>
  <si>
    <t>-2055448026</t>
  </si>
  <si>
    <t>4,7*4,7*5,5</t>
  </si>
  <si>
    <t>"výkop rýh" 4462,151</t>
  </si>
  <si>
    <t>"zásyp rýh" -2919,731</t>
  </si>
  <si>
    <t>"zásyp ČS" -94,497</t>
  </si>
  <si>
    <t>777,0*2*1,6</t>
  </si>
  <si>
    <t>30,77*2*3,6</t>
  </si>
  <si>
    <t>39,9*2*3,7</t>
  </si>
  <si>
    <t>30*2*3,75</t>
  </si>
  <si>
    <t>30*2*3,4</t>
  </si>
  <si>
    <t>30*2*3,0</t>
  </si>
  <si>
    <t>30*2*2,1</t>
  </si>
  <si>
    <t>24,1*2*2,2</t>
  </si>
  <si>
    <t>37,67*2*2,5</t>
  </si>
  <si>
    <t>29,13*2*2,3</t>
  </si>
  <si>
    <t>13,5*2*1,9</t>
  </si>
  <si>
    <t>24,46*2*2,3</t>
  </si>
  <si>
    <t>13,68*2*2,6</t>
  </si>
  <si>
    <t>41*2*2,2</t>
  </si>
  <si>
    <t>45*2*2,1</t>
  </si>
  <si>
    <t>48,28*2*2,1</t>
  </si>
  <si>
    <t>18,73*2*2,8</t>
  </si>
  <si>
    <t>15,57*2*2,6</t>
  </si>
  <si>
    <t>26,12*2*2,3</t>
  </si>
  <si>
    <t>24,34*2*2,0</t>
  </si>
  <si>
    <t>46,16*2*2,0</t>
  </si>
  <si>
    <t>23,88*2*2,0</t>
  </si>
  <si>
    <t>27,22*2*2,0</t>
  </si>
  <si>
    <t>45*2*2,2</t>
  </si>
  <si>
    <t>359*2*2,0</t>
  </si>
  <si>
    <t>63,5*2*2,1</t>
  </si>
  <si>
    <t>10,95*2*1,2</t>
  </si>
  <si>
    <t>34,3*2*1,6</t>
  </si>
  <si>
    <t>29,11*2*1,9</t>
  </si>
  <si>
    <t>12,75*2*2,0</t>
  </si>
  <si>
    <t>24,41*2*2,3</t>
  </si>
  <si>
    <t>4,7*8,2*4</t>
  </si>
  <si>
    <t>2919,731*2</t>
  </si>
  <si>
    <t>2919,731</t>
  </si>
  <si>
    <t>2047,5*1,1*0,1</t>
  </si>
  <si>
    <t>2047,5*1,1*0,4</t>
  </si>
  <si>
    <t>900,9*1,52</t>
  </si>
  <si>
    <t>"pískové lože"     -225,225</t>
  </si>
  <si>
    <t>"obsyp štěrkopískem"  -900,9</t>
  </si>
  <si>
    <t>"ČS1"</t>
  </si>
  <si>
    <t>121,495-(PI*1,25*1,25*5,5)</t>
  </si>
  <si>
    <t>"nezpevněný terén" 973*1,4</t>
  </si>
  <si>
    <t>2047,5*0,4</t>
  </si>
  <si>
    <t>2047,5*(1,1*0,15+0,2*0,2)*0,4</t>
  </si>
  <si>
    <t>167,895*1,52</t>
  </si>
  <si>
    <t>38*(1,5*1,5)</t>
  </si>
  <si>
    <t>"šachty průběžné"  85,5</t>
  </si>
  <si>
    <t>"CS1"  3,927</t>
  </si>
  <si>
    <t>"stoka A-2x; stoka A-1"</t>
  </si>
  <si>
    <t>(6,0*2)*3</t>
  </si>
  <si>
    <t>36*1,8</t>
  </si>
  <si>
    <t>"stoka A"  13</t>
  </si>
  <si>
    <t>"stoka A"  22</t>
  </si>
  <si>
    <t>"stoka A1"  8</t>
  </si>
  <si>
    <t>7,0*2,0*2+7,0*2,4</t>
  </si>
  <si>
    <t>7,0*2,0</t>
  </si>
  <si>
    <t>7,0*2,4</t>
  </si>
  <si>
    <t>716268562</t>
  </si>
  <si>
    <t>"místní asfalt" 709*1,1</t>
  </si>
  <si>
    <t>975741294</t>
  </si>
  <si>
    <t>577133111</t>
  </si>
  <si>
    <t>Asfaltový beton vrstva obrusná ACO 8 (ABJ) tl 40 mm š do 3 m z nemodifikovaného asfaltu</t>
  </si>
  <si>
    <t>898247670</t>
  </si>
  <si>
    <t>"místní asfalt" 709*1,4</t>
  </si>
  <si>
    <t>"silnice II.třídy"   331,5*1,1</t>
  </si>
  <si>
    <t>641072785</t>
  </si>
  <si>
    <t>"silnice II.třídy"   331,5*2,1</t>
  </si>
  <si>
    <t>992,6+696,15</t>
  </si>
  <si>
    <t>-508563249</t>
  </si>
  <si>
    <t>286173140R1</t>
  </si>
  <si>
    <t>-1669159985</t>
  </si>
  <si>
    <t>777+1159+111,5</t>
  </si>
  <si>
    <t>892421111</t>
  </si>
  <si>
    <t>Tlaková zkouška vodou potrubí DN 400 nebo 500</t>
  </si>
  <si>
    <t>1672610298</t>
  </si>
  <si>
    <t>"poklop A"</t>
  </si>
  <si>
    <t>"A" 15</t>
  </si>
  <si>
    <t>"A-2" 9</t>
  </si>
  <si>
    <t>"poklop B"</t>
  </si>
  <si>
    <t>"A" 1</t>
  </si>
  <si>
    <t>"A2" 1</t>
  </si>
  <si>
    <t>poklop těžký kruhový  litinový s rámem  D400 odvětraný + lapač nečistot plastový</t>
  </si>
  <si>
    <t>475048016</t>
  </si>
  <si>
    <t>"A" 11</t>
  </si>
  <si>
    <t>Montáž a dodávka TWIN šachtypr 1000 plastová kanalizační  vč stupadel</t>
  </si>
  <si>
    <t>707504607</t>
  </si>
  <si>
    <t>"A" 2</t>
  </si>
  <si>
    <t>894411R22</t>
  </si>
  <si>
    <t>Montáž a dodávka plastové kanalizační šachty DN600  korugovaná</t>
  </si>
  <si>
    <t>541593582</t>
  </si>
  <si>
    <t>894411R23</t>
  </si>
  <si>
    <t>Montáž a dodávka spadišťové šachty vč stupadel</t>
  </si>
  <si>
    <t>-968352045</t>
  </si>
  <si>
    <t>-2071185190</t>
  </si>
  <si>
    <t>894411R45</t>
  </si>
  <si>
    <t>-1016419670</t>
  </si>
  <si>
    <t>89511R1</t>
  </si>
  <si>
    <t>Proplachovací souprava pro odpadní vodu DN80 s přímým napojením, připojení  spojkou C</t>
  </si>
  <si>
    <t>1605389325</t>
  </si>
  <si>
    <t>89511R2</t>
  </si>
  <si>
    <t>Litinová přírubová tvarovka TP DN80</t>
  </si>
  <si>
    <t>183393058</t>
  </si>
  <si>
    <t>89511R3</t>
  </si>
  <si>
    <t>Litinové přírubové koleno s patkou PP DN80</t>
  </si>
  <si>
    <t>1908878087</t>
  </si>
  <si>
    <t>89511R4</t>
  </si>
  <si>
    <t>Litinová přírubovéá tvarovka TP DN80x300</t>
  </si>
  <si>
    <t>-1748280931</t>
  </si>
  <si>
    <t>89511R5</t>
  </si>
  <si>
    <t>Šoupě pro odpadní vodu DN80 PN16 pro ovládání zemní záklopovou soupravou</t>
  </si>
  <si>
    <t>-570857342</t>
  </si>
  <si>
    <t>89511R6</t>
  </si>
  <si>
    <t>Zemní záklopová souprava teleskopická pro šoupě DN80, krycí hloubka Rd 1,2 - 1,8 m</t>
  </si>
  <si>
    <t>853368858</t>
  </si>
  <si>
    <t>89511R7</t>
  </si>
  <si>
    <t>Šoupátková tvárnice - podkladní deska</t>
  </si>
  <si>
    <t>1152780142</t>
  </si>
  <si>
    <t>89511R8</t>
  </si>
  <si>
    <t>Šoupátkový poklop s nápisem "kanal"</t>
  </si>
  <si>
    <t>-1619860640</t>
  </si>
  <si>
    <t>89511R9</t>
  </si>
  <si>
    <t>Hydranotvá tvárnice - podkladní deska</t>
  </si>
  <si>
    <t>-1309408142</t>
  </si>
  <si>
    <t>89511R10</t>
  </si>
  <si>
    <t>Hydranotvý poklop s nápisem "kanal"</t>
  </si>
  <si>
    <t>-2053652303</t>
  </si>
  <si>
    <t>89511R11</t>
  </si>
  <si>
    <t>1781125372</t>
  </si>
  <si>
    <t>89511R12</t>
  </si>
  <si>
    <t>Odbočná elektrotvarovka PE100 SDR11 + lemový kroužek s otočnou přírubou DN80, PN16</t>
  </si>
  <si>
    <t>-1968166005</t>
  </si>
  <si>
    <t>89511R13</t>
  </si>
  <si>
    <t>Orientační sloupek D50 PE s ocelovým jádrem dl 2,0 m s betonovou patkou</t>
  </si>
  <si>
    <t>280338207</t>
  </si>
  <si>
    <t>89511R14</t>
  </si>
  <si>
    <t>betonová šachtová skruž pr 1000x1000</t>
  </si>
  <si>
    <t>-1042573335</t>
  </si>
  <si>
    <t>89511R15</t>
  </si>
  <si>
    <t>Ochranný kamenný val pr 1000</t>
  </si>
  <si>
    <t>1513719828</t>
  </si>
  <si>
    <t>8944111R1b</t>
  </si>
  <si>
    <t>Šachta čerpací železobetonová prefabrikovaná pr 2,2 m hlouka 4,9 m (betonové skruže, dno, zákrytová deska, šachtové vložky s těsněním)</t>
  </si>
  <si>
    <t>191799607</t>
  </si>
  <si>
    <t>105</t>
  </si>
  <si>
    <t>106</t>
  </si>
  <si>
    <t>"obetonování šachty "CS1"</t>
  </si>
  <si>
    <t>"podkladní beton šachty CS1"</t>
  </si>
  <si>
    <t>107</t>
  </si>
  <si>
    <t>"CS1"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</si>
  <si>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</si>
  <si>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</si>
  <si>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</si>
  <si>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</si>
  <si>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</si>
  <si>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</si>
  <si>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</si>
  <si>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</si>
  <si>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</si>
  <si>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</si>
  <si>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</si>
  <si>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</si>
  <si>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</si>
  <si>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</si>
  <si>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</si>
  <si>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</si>
  <si>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126</t>
  </si>
  <si>
    <t>"D-3"  0</t>
  </si>
  <si>
    <t>"D-3" 0</t>
  </si>
  <si>
    <t>"místní silnice - asfalt"   1326,27*1,4</t>
  </si>
  <si>
    <t>"místní silnice - asfalt"   1326,27*1,1</t>
  </si>
  <si>
    <t>"výkop rýh"  5124,577</t>
  </si>
  <si>
    <t>"odpočet odstraněné skladby komunikace místní "  .-1326,27*1,1*0,3</t>
  </si>
  <si>
    <t>4509,973*0,2</t>
  </si>
  <si>
    <t>4509,973*0,3</t>
  </si>
  <si>
    <t>4509,973*0,1</t>
  </si>
  <si>
    <t>141,5*0,2</t>
  </si>
  <si>
    <t>141,5*0,3</t>
  </si>
  <si>
    <t>141,5*0,1</t>
  </si>
  <si>
    <t>"výkop šachet"   141,5</t>
  </si>
  <si>
    <t>"výkop rýh" 4509,973</t>
  </si>
  <si>
    <t>"výkop rýh" 5124,577</t>
  </si>
  <si>
    <t>"odpočet odstraněné skladby komunikace místní "  -1326,27*1,1*0,3</t>
  </si>
  <si>
    <t>1698,97*1,1*0,4</t>
  </si>
  <si>
    <t>747,547*1,52</t>
  </si>
  <si>
    <t>1698,97*1,1*0,1</t>
  </si>
  <si>
    <t xml:space="preserve">"pískové lože"   </t>
  </si>
  <si>
    <t xml:space="preserve">"obsyp štěrkopískem" </t>
  </si>
  <si>
    <t>3575,539*2</t>
  </si>
  <si>
    <t>1698,97*0,4</t>
  </si>
  <si>
    <t>1698,97*(1,1*0,15+0,2*0,2)*0,4</t>
  </si>
  <si>
    <t>139,316*1,52</t>
  </si>
  <si>
    <t>1856,778+675,57</t>
  </si>
  <si>
    <t>275,91+1423,06</t>
  </si>
  <si>
    <t>18+2+21+6</t>
  </si>
  <si>
    <t>1+1+1+1+1</t>
  </si>
  <si>
    <t>51*(1,5*1,5)</t>
  </si>
  <si>
    <t>"E-1"  603-242</t>
  </si>
  <si>
    <t>"ŠE-1 až ŠE-15" 10</t>
  </si>
  <si>
    <t>4944,325*0,3</t>
  </si>
  <si>
    <t>4944,325*0,4</t>
  </si>
  <si>
    <t>139,1*0,3</t>
  </si>
  <si>
    <t>139,1*0,4</t>
  </si>
  <si>
    <t>"výkop šachet" 139,104</t>
  </si>
  <si>
    <t>2387,97*1,1*0,1</t>
  </si>
  <si>
    <t>2387,97*1,1*0,4</t>
  </si>
  <si>
    <t>1050,707*1,52</t>
  </si>
  <si>
    <t xml:space="preserve">"výkop rýh" </t>
  </si>
  <si>
    <t xml:space="preserve"> "skladba komunikace" </t>
  </si>
  <si>
    <t xml:space="preserve">"pískové lože"     </t>
  </si>
  <si>
    <t>3630,941*2</t>
  </si>
  <si>
    <t>2387,97*0,4</t>
  </si>
  <si>
    <t>2387,97*(1,1*0,15+0,2*0,2)*0,4</t>
  </si>
  <si>
    <t>195,814*1,52</t>
  </si>
  <si>
    <t>61*(1,5*1,5)</t>
  </si>
  <si>
    <t>"šachty průběžné"  139,1</t>
  </si>
  <si>
    <t>OPRAVA ROZSAHU</t>
  </si>
  <si>
    <t>"ŠE-1 až ŠE-15" 9</t>
  </si>
  <si>
    <t>"E-1"  361,0</t>
  </si>
  <si>
    <t>"E-1"  361,00</t>
  </si>
  <si>
    <t>871373121</t>
  </si>
  <si>
    <t xml:space="preserve">Montáž potrubí z kanalizačních trub z PVC otevřený výkop sklon do 20 % DN 250  </t>
  </si>
  <si>
    <t>trubka PVC/SN12 DN 250 dl 6,0 m</t>
  </si>
  <si>
    <t xml:space="preserve">Montáž potrubí z kanalizačních trub z PVC otevřený výkop sklon do 20 % DN 400  </t>
  </si>
  <si>
    <t>PVC potrubí SN12 , DN400 dl 6,0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</si>
</sst>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sz val="9"/>
      <color rgb="FFFF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/>
    </xf>
    <xf numFmtId="166" fontId="36" fillId="0" borderId="1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7" fontId="38" fillId="0" borderId="24" xfId="0" applyNumberFormat="1" applyFont="1" applyBorder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14" fontId="41" fillId="0" borderId="0" xfId="0" applyNumberFormat="1" applyFont="1" applyBorder="1" applyAlignment="1">
      <alignment horizontal="left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38" fillId="0" borderId="24" xfId="0" applyFont="1" applyFill="1" applyBorder="1" applyAlignment="1" applyProtection="1">
      <alignment horizontal="center" vertical="center"/>
      <protection locked="0"/>
    </xf>
    <xf numFmtId="49" fontId="3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 wrapText="1"/>
      <protection locked="0"/>
    </xf>
    <xf numFmtId="167" fontId="38" fillId="0" borderId="24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11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7" fillId="4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5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0" fontId="38" fillId="0" borderId="24" xfId="0" applyFont="1" applyBorder="1" applyAlignment="1" applyProtection="1">
      <alignment horizontal="left" vertical="center" wrapText="1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/>
    </xf>
    <xf numFmtId="0" fontId="38" fillId="0" borderId="24" xfId="0" applyFont="1" applyFill="1" applyBorder="1" applyAlignment="1" applyProtection="1">
      <alignment horizontal="left" vertical="center" wrapText="1"/>
      <protection locked="0"/>
    </xf>
    <xf numFmtId="4" fontId="38" fillId="0" borderId="24" xfId="0" applyNumberFormat="1" applyFont="1" applyFill="1" applyBorder="1" applyAlignment="1" applyProtection="1">
      <alignment vertical="center"/>
      <protection locked="0"/>
    </xf>
    <xf numFmtId="4" fontId="7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06"/>
  <sheetViews>
    <sheetView showGridLines="0" view="pageBreakPreview" zoomScaleSheetLayoutView="100" workbookViewId="0" topLeftCell="A1">
      <pane ySplit="1" topLeftCell="A42" activePane="bottomLeft" state="frozen"/>
      <selection pane="topLeft" activeCell="A2" sqref="A2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R2" s="269" t="s">
        <v>8</v>
      </c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37" t="s">
        <v>12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6"/>
      <c r="AS4" s="27" t="s">
        <v>13</v>
      </c>
      <c r="BS4" s="21" t="s">
        <v>14</v>
      </c>
    </row>
    <row r="5" spans="2:71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39" t="s">
        <v>2219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8"/>
      <c r="AQ5" s="26"/>
      <c r="BS5" s="21" t="s">
        <v>9</v>
      </c>
    </row>
    <row r="6" spans="2:71" ht="36.95" customHeight="1">
      <c r="B6" s="25"/>
      <c r="C6" s="28"/>
      <c r="D6" s="31" t="s">
        <v>16</v>
      </c>
      <c r="E6" s="28"/>
      <c r="F6" s="28"/>
      <c r="G6" s="28"/>
      <c r="H6" s="28"/>
      <c r="I6" s="28"/>
      <c r="J6" s="28"/>
      <c r="K6" s="241" t="s">
        <v>17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8"/>
      <c r="AQ6" s="26"/>
      <c r="BS6" s="21" t="s">
        <v>18</v>
      </c>
    </row>
    <row r="7" spans="2:71" ht="14.45" customHeight="1">
      <c r="B7" s="25"/>
      <c r="C7" s="28"/>
      <c r="D7" s="32" t="s">
        <v>19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20</v>
      </c>
      <c r="AL7" s="28"/>
      <c r="AM7" s="28"/>
      <c r="AN7" s="30" t="s">
        <v>5</v>
      </c>
      <c r="AO7" s="28"/>
      <c r="AP7" s="28"/>
      <c r="AQ7" s="26"/>
      <c r="BS7" s="21" t="s">
        <v>21</v>
      </c>
    </row>
    <row r="8" spans="2:71" ht="14.45" customHeight="1">
      <c r="B8" s="25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200">
        <v>42912</v>
      </c>
      <c r="AO8" s="28"/>
      <c r="AP8" s="28"/>
      <c r="AQ8" s="26"/>
      <c r="BS8" s="21" t="s">
        <v>25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S9" s="21" t="s">
        <v>26</v>
      </c>
    </row>
    <row r="10" spans="2:71" ht="14.45" customHeight="1">
      <c r="B10" s="25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5</v>
      </c>
      <c r="AO10" s="28"/>
      <c r="AP10" s="28"/>
      <c r="AQ10" s="26"/>
      <c r="BS10" s="21" t="s">
        <v>18</v>
      </c>
    </row>
    <row r="11" spans="2:71" ht="18.4" customHeight="1">
      <c r="B11" s="25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5</v>
      </c>
      <c r="AO11" s="28"/>
      <c r="AP11" s="28"/>
      <c r="AQ11" s="26"/>
      <c r="BS11" s="21" t="s">
        <v>18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18</v>
      </c>
    </row>
    <row r="13" spans="2:71" ht="14.45" customHeight="1">
      <c r="B13" s="25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0" t="s">
        <v>5</v>
      </c>
      <c r="AO13" s="28"/>
      <c r="AP13" s="28"/>
      <c r="AQ13" s="26"/>
      <c r="BS13" s="21" t="s">
        <v>18</v>
      </c>
    </row>
    <row r="14" spans="2:71" ht="15">
      <c r="B14" s="25"/>
      <c r="C14" s="28"/>
      <c r="D14" s="28"/>
      <c r="E14" s="30" t="s">
        <v>32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30</v>
      </c>
      <c r="AL14" s="28"/>
      <c r="AM14" s="28"/>
      <c r="AN14" s="30" t="s">
        <v>5</v>
      </c>
      <c r="AO14" s="28"/>
      <c r="AP14" s="28"/>
      <c r="AQ14" s="26"/>
      <c r="BS14" s="21" t="s">
        <v>18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2:71" ht="14.45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5</v>
      </c>
      <c r="AO16" s="28"/>
      <c r="AP16" s="28"/>
      <c r="AQ16" s="26"/>
      <c r="BS16" s="21" t="s">
        <v>6</v>
      </c>
    </row>
    <row r="17" spans="2:71" ht="18.4" customHeight="1">
      <c r="B17" s="25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5</v>
      </c>
      <c r="AO17" s="28"/>
      <c r="AP17" s="28"/>
      <c r="AQ17" s="26"/>
      <c r="BS17" s="21" t="s">
        <v>35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9</v>
      </c>
    </row>
    <row r="19" spans="2:71" ht="14.45" customHeight="1">
      <c r="B19" s="25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5</v>
      </c>
      <c r="AO19" s="28"/>
      <c r="AP19" s="28"/>
      <c r="AQ19" s="26"/>
      <c r="BS19" s="21" t="s">
        <v>18</v>
      </c>
    </row>
    <row r="20" spans="2:43" ht="18.4" customHeight="1">
      <c r="B20" s="25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6"/>
    </row>
    <row r="21" spans="2:43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43" ht="15">
      <c r="B22" s="25"/>
      <c r="C22" s="28"/>
      <c r="D22" s="32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43" ht="22.5" customHeight="1">
      <c r="B23" s="25"/>
      <c r="C23" s="28"/>
      <c r="D23" s="28"/>
      <c r="E23" s="243" t="s">
        <v>5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8"/>
      <c r="AP23" s="28"/>
      <c r="AQ23" s="26"/>
    </row>
    <row r="24" spans="2:43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43" ht="6.95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43" ht="14.45" customHeight="1">
      <c r="B26" s="25"/>
      <c r="C26" s="28"/>
      <c r="D26" s="34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4">
        <f>ROUNDUP(AG87,2)</f>
        <v>0</v>
      </c>
      <c r="AL26" s="242"/>
      <c r="AM26" s="242"/>
      <c r="AN26" s="242"/>
      <c r="AO26" s="242"/>
      <c r="AP26" s="28"/>
      <c r="AQ26" s="26"/>
    </row>
    <row r="27" spans="2:43" ht="14.45" customHeight="1">
      <c r="B27" s="25"/>
      <c r="C27" s="28"/>
      <c r="D27" s="34" t="s">
        <v>40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4">
        <f>ROUNDUP(AG103,2)</f>
        <v>0</v>
      </c>
      <c r="AL27" s="244"/>
      <c r="AM27" s="244"/>
      <c r="AN27" s="244"/>
      <c r="AO27" s="244"/>
      <c r="AP27" s="28"/>
      <c r="AQ27" s="26"/>
    </row>
    <row r="28" spans="2:43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43" s="1" customFormat="1" ht="25.9" customHeight="1">
      <c r="B29" s="35"/>
      <c r="C29" s="36"/>
      <c r="D29" s="38" t="s">
        <v>41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45">
        <f>ROUNDUP(AK26+AK27,2)</f>
        <v>0</v>
      </c>
      <c r="AL29" s="246"/>
      <c r="AM29" s="246"/>
      <c r="AN29" s="246"/>
      <c r="AO29" s="246"/>
      <c r="AP29" s="36"/>
      <c r="AQ29" s="37"/>
    </row>
    <row r="30" spans="2:43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43" s="2" customFormat="1" ht="14.45" customHeight="1">
      <c r="B31" s="40"/>
      <c r="C31" s="41"/>
      <c r="D31" s="42" t="s">
        <v>42</v>
      </c>
      <c r="E31" s="41"/>
      <c r="F31" s="42" t="s">
        <v>43</v>
      </c>
      <c r="G31" s="41"/>
      <c r="H31" s="41"/>
      <c r="I31" s="41"/>
      <c r="J31" s="41"/>
      <c r="K31" s="41"/>
      <c r="L31" s="247">
        <v>0.21</v>
      </c>
      <c r="M31" s="248"/>
      <c r="N31" s="248"/>
      <c r="O31" s="248"/>
      <c r="P31" s="41"/>
      <c r="Q31" s="41"/>
      <c r="R31" s="41"/>
      <c r="S31" s="41"/>
      <c r="T31" s="44" t="s">
        <v>44</v>
      </c>
      <c r="U31" s="41"/>
      <c r="V31" s="41"/>
      <c r="W31" s="249">
        <f>ROUNDUP(AZ87+SUM(CD104),2)</f>
        <v>0</v>
      </c>
      <c r="X31" s="248"/>
      <c r="Y31" s="248"/>
      <c r="Z31" s="248"/>
      <c r="AA31" s="248"/>
      <c r="AB31" s="248"/>
      <c r="AC31" s="248"/>
      <c r="AD31" s="248"/>
      <c r="AE31" s="248"/>
      <c r="AF31" s="41"/>
      <c r="AG31" s="41"/>
      <c r="AH31" s="41"/>
      <c r="AI31" s="41"/>
      <c r="AJ31" s="41"/>
      <c r="AK31" s="249">
        <f>ROUNDUP(AV87+SUM(BY104),1)</f>
        <v>0</v>
      </c>
      <c r="AL31" s="248"/>
      <c r="AM31" s="248"/>
      <c r="AN31" s="248"/>
      <c r="AO31" s="248"/>
      <c r="AP31" s="41"/>
      <c r="AQ31" s="45"/>
    </row>
    <row r="32" spans="2:43" s="2" customFormat="1" ht="14.45" customHeight="1">
      <c r="B32" s="40"/>
      <c r="C32" s="41"/>
      <c r="D32" s="41"/>
      <c r="E32" s="41"/>
      <c r="F32" s="42" t="s">
        <v>45</v>
      </c>
      <c r="G32" s="41"/>
      <c r="H32" s="41"/>
      <c r="I32" s="41"/>
      <c r="J32" s="41"/>
      <c r="K32" s="41"/>
      <c r="L32" s="247">
        <v>0.15</v>
      </c>
      <c r="M32" s="248"/>
      <c r="N32" s="248"/>
      <c r="O32" s="248"/>
      <c r="P32" s="41"/>
      <c r="Q32" s="41"/>
      <c r="R32" s="41"/>
      <c r="S32" s="41"/>
      <c r="T32" s="44" t="s">
        <v>44</v>
      </c>
      <c r="U32" s="41"/>
      <c r="V32" s="41"/>
      <c r="W32" s="249">
        <f>ROUNDUP(BA87+SUM(CE104),2)</f>
        <v>0</v>
      </c>
      <c r="X32" s="248"/>
      <c r="Y32" s="248"/>
      <c r="Z32" s="248"/>
      <c r="AA32" s="248"/>
      <c r="AB32" s="248"/>
      <c r="AC32" s="248"/>
      <c r="AD32" s="248"/>
      <c r="AE32" s="248"/>
      <c r="AF32" s="41"/>
      <c r="AG32" s="41"/>
      <c r="AH32" s="41"/>
      <c r="AI32" s="41"/>
      <c r="AJ32" s="41"/>
      <c r="AK32" s="249">
        <f>ROUNDUP(AW87+SUM(BZ104),1)</f>
        <v>0</v>
      </c>
      <c r="AL32" s="248"/>
      <c r="AM32" s="248"/>
      <c r="AN32" s="248"/>
      <c r="AO32" s="248"/>
      <c r="AP32" s="41"/>
      <c r="AQ32" s="45"/>
    </row>
    <row r="33" spans="2:43" s="2" customFormat="1" ht="14.45" customHeight="1" hidden="1">
      <c r="B33" s="40"/>
      <c r="C33" s="41"/>
      <c r="D33" s="41"/>
      <c r="E33" s="41"/>
      <c r="F33" s="42" t="s">
        <v>46</v>
      </c>
      <c r="G33" s="41"/>
      <c r="H33" s="41"/>
      <c r="I33" s="41"/>
      <c r="J33" s="41"/>
      <c r="K33" s="41"/>
      <c r="L33" s="247">
        <v>0.21</v>
      </c>
      <c r="M33" s="248"/>
      <c r="N33" s="248"/>
      <c r="O33" s="248"/>
      <c r="P33" s="41"/>
      <c r="Q33" s="41"/>
      <c r="R33" s="41"/>
      <c r="S33" s="41"/>
      <c r="T33" s="44" t="s">
        <v>44</v>
      </c>
      <c r="U33" s="41"/>
      <c r="V33" s="41"/>
      <c r="W33" s="249">
        <f>ROUNDUP(BB87+SUM(CF104),2)</f>
        <v>0</v>
      </c>
      <c r="X33" s="248"/>
      <c r="Y33" s="248"/>
      <c r="Z33" s="248"/>
      <c r="AA33" s="248"/>
      <c r="AB33" s="248"/>
      <c r="AC33" s="248"/>
      <c r="AD33" s="248"/>
      <c r="AE33" s="248"/>
      <c r="AF33" s="41"/>
      <c r="AG33" s="41"/>
      <c r="AH33" s="41"/>
      <c r="AI33" s="41"/>
      <c r="AJ33" s="41"/>
      <c r="AK33" s="249">
        <v>0</v>
      </c>
      <c r="AL33" s="248"/>
      <c r="AM33" s="248"/>
      <c r="AN33" s="248"/>
      <c r="AO33" s="248"/>
      <c r="AP33" s="41"/>
      <c r="AQ33" s="45"/>
    </row>
    <row r="34" spans="2:43" s="2" customFormat="1" ht="14.45" customHeight="1" hidden="1">
      <c r="B34" s="40"/>
      <c r="C34" s="41"/>
      <c r="D34" s="41"/>
      <c r="E34" s="41"/>
      <c r="F34" s="42" t="s">
        <v>47</v>
      </c>
      <c r="G34" s="41"/>
      <c r="H34" s="41"/>
      <c r="I34" s="41"/>
      <c r="J34" s="41"/>
      <c r="K34" s="41"/>
      <c r="L34" s="247">
        <v>0.15</v>
      </c>
      <c r="M34" s="248"/>
      <c r="N34" s="248"/>
      <c r="O34" s="248"/>
      <c r="P34" s="41"/>
      <c r="Q34" s="41"/>
      <c r="R34" s="41"/>
      <c r="S34" s="41"/>
      <c r="T34" s="44" t="s">
        <v>44</v>
      </c>
      <c r="U34" s="41"/>
      <c r="V34" s="41"/>
      <c r="W34" s="249">
        <f>ROUNDUP(BC87+SUM(CG104),2)</f>
        <v>0</v>
      </c>
      <c r="X34" s="248"/>
      <c r="Y34" s="248"/>
      <c r="Z34" s="248"/>
      <c r="AA34" s="248"/>
      <c r="AB34" s="248"/>
      <c r="AC34" s="248"/>
      <c r="AD34" s="248"/>
      <c r="AE34" s="248"/>
      <c r="AF34" s="41"/>
      <c r="AG34" s="41"/>
      <c r="AH34" s="41"/>
      <c r="AI34" s="41"/>
      <c r="AJ34" s="41"/>
      <c r="AK34" s="249">
        <v>0</v>
      </c>
      <c r="AL34" s="248"/>
      <c r="AM34" s="248"/>
      <c r="AN34" s="248"/>
      <c r="AO34" s="248"/>
      <c r="AP34" s="41"/>
      <c r="AQ34" s="45"/>
    </row>
    <row r="35" spans="2:43" s="2" customFormat="1" ht="14.45" customHeight="1" hidden="1">
      <c r="B35" s="40"/>
      <c r="C35" s="41"/>
      <c r="D35" s="41"/>
      <c r="E35" s="41"/>
      <c r="F35" s="42" t="s">
        <v>48</v>
      </c>
      <c r="G35" s="41"/>
      <c r="H35" s="41"/>
      <c r="I35" s="41"/>
      <c r="J35" s="41"/>
      <c r="K35" s="41"/>
      <c r="L35" s="247">
        <v>0</v>
      </c>
      <c r="M35" s="248"/>
      <c r="N35" s="248"/>
      <c r="O35" s="248"/>
      <c r="P35" s="41"/>
      <c r="Q35" s="41"/>
      <c r="R35" s="41"/>
      <c r="S35" s="41"/>
      <c r="T35" s="44" t="s">
        <v>44</v>
      </c>
      <c r="U35" s="41"/>
      <c r="V35" s="41"/>
      <c r="W35" s="249">
        <f>ROUNDUP(BD87+SUM(CH104),2)</f>
        <v>0</v>
      </c>
      <c r="X35" s="248"/>
      <c r="Y35" s="248"/>
      <c r="Z35" s="248"/>
      <c r="AA35" s="248"/>
      <c r="AB35" s="248"/>
      <c r="AC35" s="248"/>
      <c r="AD35" s="248"/>
      <c r="AE35" s="248"/>
      <c r="AF35" s="41"/>
      <c r="AG35" s="41"/>
      <c r="AH35" s="41"/>
      <c r="AI35" s="41"/>
      <c r="AJ35" s="41"/>
      <c r="AK35" s="249">
        <v>0</v>
      </c>
      <c r="AL35" s="248"/>
      <c r="AM35" s="248"/>
      <c r="AN35" s="248"/>
      <c r="AO35" s="248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49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50</v>
      </c>
      <c r="U37" s="48"/>
      <c r="V37" s="48"/>
      <c r="W37" s="48"/>
      <c r="X37" s="250" t="s">
        <v>51</v>
      </c>
      <c r="Y37" s="251"/>
      <c r="Z37" s="251"/>
      <c r="AA37" s="251"/>
      <c r="AB37" s="251"/>
      <c r="AC37" s="48"/>
      <c r="AD37" s="48"/>
      <c r="AE37" s="48"/>
      <c r="AF37" s="48"/>
      <c r="AG37" s="48"/>
      <c r="AH37" s="48"/>
      <c r="AI37" s="48"/>
      <c r="AJ37" s="48"/>
      <c r="AK37" s="252">
        <f>SUM(AK29:AK35)</f>
        <v>0</v>
      </c>
      <c r="AL37" s="251"/>
      <c r="AM37" s="251"/>
      <c r="AN37" s="251"/>
      <c r="AO37" s="253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5"/>
      <c r="C49" s="36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53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 ht="13.5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 ht="13.5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 ht="13.5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 ht="13.5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 ht="13.5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 ht="13.5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 ht="13.5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5">
      <c r="B58" s="35"/>
      <c r="C58" s="36"/>
      <c r="D58" s="55" t="s">
        <v>54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55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54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55</v>
      </c>
      <c r="AN58" s="56"/>
      <c r="AO58" s="58"/>
      <c r="AP58" s="36"/>
      <c r="AQ58" s="37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5"/>
      <c r="C60" s="36"/>
      <c r="D60" s="50" t="s">
        <v>56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57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 ht="13.5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 ht="13.5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 ht="13.5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 ht="13.5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 ht="13.5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 ht="13.5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 ht="13.5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5">
      <c r="B69" s="35"/>
      <c r="C69" s="36"/>
      <c r="D69" s="55" t="s">
        <v>54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55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54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55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237" t="s">
        <v>58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37"/>
    </row>
    <row r="77" spans="2:43" s="3" customFormat="1" ht="14.45" customHeight="1">
      <c r="B77" s="65"/>
      <c r="C77" s="32" t="s">
        <v>15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OPRAVA ROZSAHU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16</v>
      </c>
      <c r="D78" s="70"/>
      <c r="E78" s="70"/>
      <c r="F78" s="70"/>
      <c r="G78" s="70"/>
      <c r="H78" s="70"/>
      <c r="I78" s="70"/>
      <c r="J78" s="70"/>
      <c r="K78" s="70"/>
      <c r="L78" s="254" t="str">
        <f>K6</f>
        <v>ČOV a splašková kanalizace Žinkovy</v>
      </c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2" t="s">
        <v>22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Žinkovy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24</v>
      </c>
      <c r="AJ80" s="36"/>
      <c r="AK80" s="36"/>
      <c r="AL80" s="36"/>
      <c r="AM80" s="73">
        <f>IF(AN8="","",AN8)</f>
        <v>42912</v>
      </c>
      <c r="AN80" s="36"/>
      <c r="AO80" s="36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2" t="s">
        <v>27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Obec Žinkovy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33</v>
      </c>
      <c r="AJ82" s="36"/>
      <c r="AK82" s="36"/>
      <c r="AL82" s="36"/>
      <c r="AM82" s="256" t="str">
        <f>IF(E17="","",E17)</f>
        <v>PIK Vítek</v>
      </c>
      <c r="AN82" s="256"/>
      <c r="AO82" s="256"/>
      <c r="AP82" s="256"/>
      <c r="AQ82" s="37"/>
      <c r="AS82" s="257" t="s">
        <v>59</v>
      </c>
      <c r="AT82" s="258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2" t="s">
        <v>31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36</v>
      </c>
      <c r="AJ83" s="36"/>
      <c r="AK83" s="36"/>
      <c r="AL83" s="36"/>
      <c r="AM83" s="256" t="str">
        <f>IF(E20="","",E20)</f>
        <v>Acrone s.r.o.</v>
      </c>
      <c r="AN83" s="256"/>
      <c r="AO83" s="256"/>
      <c r="AP83" s="256"/>
      <c r="AQ83" s="37"/>
      <c r="AS83" s="259"/>
      <c r="AT83" s="260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59"/>
      <c r="AT84" s="260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2:56" s="1" customFormat="1" ht="29.25" customHeight="1">
      <c r="B85" s="35"/>
      <c r="C85" s="261" t="s">
        <v>60</v>
      </c>
      <c r="D85" s="262"/>
      <c r="E85" s="262"/>
      <c r="F85" s="262"/>
      <c r="G85" s="262"/>
      <c r="H85" s="75"/>
      <c r="I85" s="263" t="s">
        <v>61</v>
      </c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3" t="s">
        <v>62</v>
      </c>
      <c r="AH85" s="262"/>
      <c r="AI85" s="262"/>
      <c r="AJ85" s="262"/>
      <c r="AK85" s="262"/>
      <c r="AL85" s="262"/>
      <c r="AM85" s="262"/>
      <c r="AN85" s="263" t="s">
        <v>63</v>
      </c>
      <c r="AO85" s="262"/>
      <c r="AP85" s="264"/>
      <c r="AQ85" s="37"/>
      <c r="AS85" s="76" t="s">
        <v>64</v>
      </c>
      <c r="AT85" s="77" t="s">
        <v>65</v>
      </c>
      <c r="AU85" s="77" t="s">
        <v>66</v>
      </c>
      <c r="AV85" s="77" t="s">
        <v>67</v>
      </c>
      <c r="AW85" s="77" t="s">
        <v>68</v>
      </c>
      <c r="AX85" s="77" t="s">
        <v>69</v>
      </c>
      <c r="AY85" s="77" t="s">
        <v>70</v>
      </c>
      <c r="AZ85" s="77" t="s">
        <v>71</v>
      </c>
      <c r="BA85" s="77" t="s">
        <v>72</v>
      </c>
      <c r="BB85" s="77" t="s">
        <v>73</v>
      </c>
      <c r="BC85" s="77" t="s">
        <v>74</v>
      </c>
      <c r="BD85" s="78" t="s">
        <v>75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5" customHeight="1">
      <c r="B87" s="68"/>
      <c r="C87" s="80" t="s">
        <v>76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71">
        <f>ROUNDUP(SUM(AG88:AG101),2)</f>
        <v>0</v>
      </c>
      <c r="AH87" s="271"/>
      <c r="AI87" s="271"/>
      <c r="AJ87" s="271"/>
      <c r="AK87" s="271"/>
      <c r="AL87" s="271"/>
      <c r="AM87" s="271"/>
      <c r="AN87" s="272">
        <f aca="true" t="shared" si="0" ref="AN87:AN101">SUM(AG87,AT87)</f>
        <v>0</v>
      </c>
      <c r="AO87" s="272"/>
      <c r="AP87" s="272"/>
      <c r="AQ87" s="71"/>
      <c r="AS87" s="82">
        <f>ROUNDUP(SUM(AS88:AS101),2)</f>
        <v>0</v>
      </c>
      <c r="AT87" s="83">
        <f aca="true" t="shared" si="1" ref="AT87:AT101">ROUNDUP(SUM(AV87:AW87),1)</f>
        <v>0</v>
      </c>
      <c r="AU87" s="84">
        <f>ROUNDUP(SUM(AU88:AU101),5)</f>
        <v>97891.31599</v>
      </c>
      <c r="AV87" s="83">
        <f>ROUNDUP(AZ87*L31,1)</f>
        <v>0</v>
      </c>
      <c r="AW87" s="83">
        <f>ROUNDUP(BA87*L32,1)</f>
        <v>0</v>
      </c>
      <c r="AX87" s="83">
        <f>ROUNDUP(BB87*L31,1)</f>
        <v>0</v>
      </c>
      <c r="AY87" s="83">
        <f>ROUNDUP(BC87*L32,1)</f>
        <v>0</v>
      </c>
      <c r="AZ87" s="83">
        <f>ROUNDUP(SUM(AZ88:AZ101),2)</f>
        <v>0</v>
      </c>
      <c r="BA87" s="83">
        <f>ROUNDUP(SUM(BA88:BA101),2)</f>
        <v>0</v>
      </c>
      <c r="BB87" s="83">
        <f>ROUNDUP(SUM(BB88:BB101),2)</f>
        <v>0</v>
      </c>
      <c r="BC87" s="83">
        <f>ROUNDUP(SUM(BC88:BC101),2)</f>
        <v>0</v>
      </c>
      <c r="BD87" s="85">
        <f>ROUNDUP(SUM(BD88:BD101),2)</f>
        <v>0</v>
      </c>
      <c r="BS87" s="86" t="s">
        <v>77</v>
      </c>
      <c r="BT87" s="86" t="s">
        <v>78</v>
      </c>
      <c r="BU87" s="87" t="s">
        <v>79</v>
      </c>
      <c r="BV87" s="86" t="s">
        <v>80</v>
      </c>
      <c r="BW87" s="86" t="s">
        <v>81</v>
      </c>
      <c r="BX87" s="86" t="s">
        <v>82</v>
      </c>
    </row>
    <row r="88" spans="1:76" s="5" customFormat="1" ht="37.5" customHeight="1">
      <c r="A88" s="88" t="s">
        <v>83</v>
      </c>
      <c r="B88" s="89"/>
      <c r="C88" s="90"/>
      <c r="D88" s="267" t="s">
        <v>84</v>
      </c>
      <c r="E88" s="267"/>
      <c r="F88" s="267"/>
      <c r="G88" s="267"/>
      <c r="H88" s="267"/>
      <c r="I88" s="91"/>
      <c r="J88" s="267" t="s">
        <v>85</v>
      </c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5">
        <f>'SO.1.01 - Objekt ČOV - hr...'!M30</f>
        <v>0</v>
      </c>
      <c r="AH88" s="266"/>
      <c r="AI88" s="266"/>
      <c r="AJ88" s="266"/>
      <c r="AK88" s="266"/>
      <c r="AL88" s="266"/>
      <c r="AM88" s="266"/>
      <c r="AN88" s="265">
        <f t="shared" si="0"/>
        <v>0</v>
      </c>
      <c r="AO88" s="266"/>
      <c r="AP88" s="266"/>
      <c r="AQ88" s="92"/>
      <c r="AS88" s="93">
        <f>'SO.1.01 - Objekt ČOV - hr...'!M28</f>
        <v>0</v>
      </c>
      <c r="AT88" s="94">
        <f t="shared" si="1"/>
        <v>0</v>
      </c>
      <c r="AU88" s="95">
        <f>'SO.1.01 - Objekt ČOV - hr...'!W114</f>
        <v>33.348367999999994</v>
      </c>
      <c r="AV88" s="94">
        <f>'SO.1.01 - Objekt ČOV - hr...'!M32</f>
        <v>0</v>
      </c>
      <c r="AW88" s="94">
        <f>'SO.1.01 - Objekt ČOV - hr...'!M33</f>
        <v>0</v>
      </c>
      <c r="AX88" s="94">
        <f>'SO.1.01 - Objekt ČOV - hr...'!M34</f>
        <v>0</v>
      </c>
      <c r="AY88" s="94">
        <f>'SO.1.01 - Objekt ČOV - hr...'!M35</f>
        <v>0</v>
      </c>
      <c r="AZ88" s="94">
        <f>'SO.1.01 - Objekt ČOV - hr...'!H32</f>
        <v>0</v>
      </c>
      <c r="BA88" s="94">
        <f>'SO.1.01 - Objekt ČOV - hr...'!H33</f>
        <v>0</v>
      </c>
      <c r="BB88" s="94">
        <f>'SO.1.01 - Objekt ČOV - hr...'!H34</f>
        <v>0</v>
      </c>
      <c r="BC88" s="94">
        <f>'SO.1.01 - Objekt ČOV - hr...'!H35</f>
        <v>0</v>
      </c>
      <c r="BD88" s="96">
        <f>'SO.1.01 - Objekt ČOV - hr...'!H36</f>
        <v>0</v>
      </c>
      <c r="BT88" s="97" t="s">
        <v>21</v>
      </c>
      <c r="BV88" s="97" t="s">
        <v>80</v>
      </c>
      <c r="BW88" s="97" t="s">
        <v>86</v>
      </c>
      <c r="BX88" s="97" t="s">
        <v>81</v>
      </c>
    </row>
    <row r="89" spans="1:76" s="5" customFormat="1" ht="22.5" customHeight="1">
      <c r="A89" s="88" t="s">
        <v>83</v>
      </c>
      <c r="B89" s="89"/>
      <c r="C89" s="90"/>
      <c r="D89" s="267" t="s">
        <v>87</v>
      </c>
      <c r="E89" s="267"/>
      <c r="F89" s="267"/>
      <c r="G89" s="267"/>
      <c r="H89" s="267"/>
      <c r="I89" s="91"/>
      <c r="J89" s="267" t="s">
        <v>88</v>
      </c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5">
        <f>'SO.1.02 - Objekt ČOV - ná...'!M30</f>
        <v>0</v>
      </c>
      <c r="AH89" s="266"/>
      <c r="AI89" s="266"/>
      <c r="AJ89" s="266"/>
      <c r="AK89" s="266"/>
      <c r="AL89" s="266"/>
      <c r="AM89" s="266"/>
      <c r="AN89" s="265">
        <f t="shared" si="0"/>
        <v>0</v>
      </c>
      <c r="AO89" s="266"/>
      <c r="AP89" s="266"/>
      <c r="AQ89" s="92"/>
      <c r="AS89" s="93">
        <f>'SO.1.02 - Objekt ČOV - ná...'!M28</f>
        <v>0</v>
      </c>
      <c r="AT89" s="94">
        <f t="shared" si="1"/>
        <v>0</v>
      </c>
      <c r="AU89" s="95">
        <f>'SO.1.02 - Objekt ČOV - ná...'!W117</f>
        <v>1777.7411449999997</v>
      </c>
      <c r="AV89" s="94">
        <f>'SO.1.02 - Objekt ČOV - ná...'!M32</f>
        <v>0</v>
      </c>
      <c r="AW89" s="94">
        <f>'SO.1.02 - Objekt ČOV - ná...'!M33</f>
        <v>0</v>
      </c>
      <c r="AX89" s="94">
        <f>'SO.1.02 - Objekt ČOV - ná...'!M34</f>
        <v>0</v>
      </c>
      <c r="AY89" s="94">
        <f>'SO.1.02 - Objekt ČOV - ná...'!M35</f>
        <v>0</v>
      </c>
      <c r="AZ89" s="94">
        <f>'SO.1.02 - Objekt ČOV - ná...'!H32</f>
        <v>0</v>
      </c>
      <c r="BA89" s="94">
        <f>'SO.1.02 - Objekt ČOV - ná...'!H33</f>
        <v>0</v>
      </c>
      <c r="BB89" s="94">
        <f>'SO.1.02 - Objekt ČOV - ná...'!H34</f>
        <v>0</v>
      </c>
      <c r="BC89" s="94">
        <f>'SO.1.02 - Objekt ČOV - ná...'!H35</f>
        <v>0</v>
      </c>
      <c r="BD89" s="96">
        <f>'SO.1.02 - Objekt ČOV - ná...'!H36</f>
        <v>0</v>
      </c>
      <c r="BT89" s="97" t="s">
        <v>21</v>
      </c>
      <c r="BV89" s="97" t="s">
        <v>80</v>
      </c>
      <c r="BW89" s="97" t="s">
        <v>89</v>
      </c>
      <c r="BX89" s="97" t="s">
        <v>81</v>
      </c>
    </row>
    <row r="90" spans="1:76" s="5" customFormat="1" ht="22.5" customHeight="1">
      <c r="A90" s="88" t="s">
        <v>83</v>
      </c>
      <c r="B90" s="89"/>
      <c r="C90" s="90"/>
      <c r="D90" s="267" t="s">
        <v>90</v>
      </c>
      <c r="E90" s="267"/>
      <c r="F90" s="267"/>
      <c r="G90" s="267"/>
      <c r="H90" s="267"/>
      <c r="I90" s="91"/>
      <c r="J90" s="267" t="s">
        <v>91</v>
      </c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5">
        <f>'SO.1.03 - Objekt ČOV - do...'!M30</f>
        <v>0</v>
      </c>
      <c r="AH90" s="266"/>
      <c r="AI90" s="266"/>
      <c r="AJ90" s="266"/>
      <c r="AK90" s="266"/>
      <c r="AL90" s="266"/>
      <c r="AM90" s="266"/>
      <c r="AN90" s="265">
        <f t="shared" si="0"/>
        <v>0</v>
      </c>
      <c r="AO90" s="266"/>
      <c r="AP90" s="266"/>
      <c r="AQ90" s="92"/>
      <c r="AS90" s="93">
        <f>'SO.1.03 - Objekt ČOV - do...'!M28</f>
        <v>0</v>
      </c>
      <c r="AT90" s="94">
        <f t="shared" si="1"/>
        <v>0</v>
      </c>
      <c r="AU90" s="95">
        <f>'SO.1.03 - Objekt ČOV - do...'!W116</f>
        <v>946.1328070000001</v>
      </c>
      <c r="AV90" s="94">
        <f>'SO.1.03 - Objekt ČOV - do...'!M32</f>
        <v>0</v>
      </c>
      <c r="AW90" s="94">
        <f>'SO.1.03 - Objekt ČOV - do...'!M33</f>
        <v>0</v>
      </c>
      <c r="AX90" s="94">
        <f>'SO.1.03 - Objekt ČOV - do...'!M34</f>
        <v>0</v>
      </c>
      <c r="AY90" s="94">
        <f>'SO.1.03 - Objekt ČOV - do...'!M35</f>
        <v>0</v>
      </c>
      <c r="AZ90" s="94">
        <f>'SO.1.03 - Objekt ČOV - do...'!H32</f>
        <v>0</v>
      </c>
      <c r="BA90" s="94">
        <f>'SO.1.03 - Objekt ČOV - do...'!H33</f>
        <v>0</v>
      </c>
      <c r="BB90" s="94">
        <f>'SO.1.03 - Objekt ČOV - do...'!H34</f>
        <v>0</v>
      </c>
      <c r="BC90" s="94">
        <f>'SO.1.03 - Objekt ČOV - do...'!H35</f>
        <v>0</v>
      </c>
      <c r="BD90" s="96">
        <f>'SO.1.03 - Objekt ČOV - do...'!H36</f>
        <v>0</v>
      </c>
      <c r="BT90" s="97" t="s">
        <v>21</v>
      </c>
      <c r="BV90" s="97" t="s">
        <v>80</v>
      </c>
      <c r="BW90" s="97" t="s">
        <v>92</v>
      </c>
      <c r="BX90" s="97" t="s">
        <v>81</v>
      </c>
    </row>
    <row r="91" spans="1:76" s="5" customFormat="1" ht="22.5" customHeight="1">
      <c r="A91" s="88" t="s">
        <v>83</v>
      </c>
      <c r="B91" s="89"/>
      <c r="C91" s="90"/>
      <c r="D91" s="267" t="s">
        <v>93</v>
      </c>
      <c r="E91" s="267"/>
      <c r="F91" s="267"/>
      <c r="G91" s="267"/>
      <c r="H91" s="267"/>
      <c r="I91" s="91"/>
      <c r="J91" s="267" t="s">
        <v>94</v>
      </c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5">
        <f>'SO.1.04 - Objekt ČOV - ná...'!M30</f>
        <v>0</v>
      </c>
      <c r="AH91" s="266"/>
      <c r="AI91" s="266"/>
      <c r="AJ91" s="266"/>
      <c r="AK91" s="266"/>
      <c r="AL91" s="266"/>
      <c r="AM91" s="266"/>
      <c r="AN91" s="265">
        <f t="shared" si="0"/>
        <v>0</v>
      </c>
      <c r="AO91" s="266"/>
      <c r="AP91" s="266"/>
      <c r="AQ91" s="92"/>
      <c r="AS91" s="93">
        <f>'SO.1.04 - Objekt ČOV - ná...'!M28</f>
        <v>0</v>
      </c>
      <c r="AT91" s="94">
        <f t="shared" si="1"/>
        <v>0</v>
      </c>
      <c r="AU91" s="95">
        <f>'SO.1.04 - Objekt ČOV - ná...'!W117</f>
        <v>68.453468</v>
      </c>
      <c r="AV91" s="94">
        <f>'SO.1.04 - Objekt ČOV - ná...'!M32</f>
        <v>0</v>
      </c>
      <c r="AW91" s="94">
        <f>'SO.1.04 - Objekt ČOV - ná...'!M33</f>
        <v>0</v>
      </c>
      <c r="AX91" s="94">
        <f>'SO.1.04 - Objekt ČOV - ná...'!M34</f>
        <v>0</v>
      </c>
      <c r="AY91" s="94">
        <f>'SO.1.04 - Objekt ČOV - ná...'!M35</f>
        <v>0</v>
      </c>
      <c r="AZ91" s="94">
        <f>'SO.1.04 - Objekt ČOV - ná...'!H32</f>
        <v>0</v>
      </c>
      <c r="BA91" s="94">
        <f>'SO.1.04 - Objekt ČOV - ná...'!H33</f>
        <v>0</v>
      </c>
      <c r="BB91" s="94">
        <f>'SO.1.04 - Objekt ČOV - ná...'!H34</f>
        <v>0</v>
      </c>
      <c r="BC91" s="94">
        <f>'SO.1.04 - Objekt ČOV - ná...'!H35</f>
        <v>0</v>
      </c>
      <c r="BD91" s="96">
        <f>'SO.1.04 - Objekt ČOV - ná...'!H36</f>
        <v>0</v>
      </c>
      <c r="BT91" s="97" t="s">
        <v>21</v>
      </c>
      <c r="BV91" s="97" t="s">
        <v>80</v>
      </c>
      <c r="BW91" s="97" t="s">
        <v>95</v>
      </c>
      <c r="BX91" s="97" t="s">
        <v>81</v>
      </c>
    </row>
    <row r="92" spans="1:76" s="5" customFormat="1" ht="22.5" customHeight="1">
      <c r="A92" s="88" t="s">
        <v>83</v>
      </c>
      <c r="B92" s="89"/>
      <c r="C92" s="90"/>
      <c r="D92" s="267" t="s">
        <v>96</v>
      </c>
      <c r="E92" s="267"/>
      <c r="F92" s="267"/>
      <c r="G92" s="267"/>
      <c r="H92" s="267"/>
      <c r="I92" s="91"/>
      <c r="J92" s="267" t="s">
        <v>97</v>
      </c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5">
        <f>'SO.1.05 - Objekt ČOV - ka...'!M30</f>
        <v>0</v>
      </c>
      <c r="AH92" s="266"/>
      <c r="AI92" s="266"/>
      <c r="AJ92" s="266"/>
      <c r="AK92" s="266"/>
      <c r="AL92" s="266"/>
      <c r="AM92" s="266"/>
      <c r="AN92" s="265">
        <f t="shared" si="0"/>
        <v>0</v>
      </c>
      <c r="AO92" s="266"/>
      <c r="AP92" s="266"/>
      <c r="AQ92" s="92"/>
      <c r="AS92" s="93">
        <f>'SO.1.05 - Objekt ČOV - ka...'!M28</f>
        <v>0</v>
      </c>
      <c r="AT92" s="94">
        <f t="shared" si="1"/>
        <v>0</v>
      </c>
      <c r="AU92" s="95">
        <f>'SO.1.05 - Objekt ČOV - ka...'!W118</f>
        <v>836.135577</v>
      </c>
      <c r="AV92" s="94">
        <f>'SO.1.05 - Objekt ČOV - ka...'!M32</f>
        <v>0</v>
      </c>
      <c r="AW92" s="94">
        <f>'SO.1.05 - Objekt ČOV - ka...'!M33</f>
        <v>0</v>
      </c>
      <c r="AX92" s="94">
        <f>'SO.1.05 - Objekt ČOV - ka...'!M34</f>
        <v>0</v>
      </c>
      <c r="AY92" s="94">
        <f>'SO.1.05 - Objekt ČOV - ka...'!M35</f>
        <v>0</v>
      </c>
      <c r="AZ92" s="94">
        <f>'SO.1.05 - Objekt ČOV - ka...'!H32</f>
        <v>0</v>
      </c>
      <c r="BA92" s="94">
        <f>'SO.1.05 - Objekt ČOV - ka...'!H33</f>
        <v>0</v>
      </c>
      <c r="BB92" s="94">
        <f>'SO.1.05 - Objekt ČOV - ka...'!H34</f>
        <v>0</v>
      </c>
      <c r="BC92" s="94">
        <f>'SO.1.05 - Objekt ČOV - ka...'!H35</f>
        <v>0</v>
      </c>
      <c r="BD92" s="96">
        <f>'SO.1.05 - Objekt ČOV - ka...'!H36</f>
        <v>0</v>
      </c>
      <c r="BT92" s="97" t="s">
        <v>21</v>
      </c>
      <c r="BV92" s="97" t="s">
        <v>80</v>
      </c>
      <c r="BW92" s="97" t="s">
        <v>98</v>
      </c>
      <c r="BX92" s="97" t="s">
        <v>81</v>
      </c>
    </row>
    <row r="93" spans="1:76" s="5" customFormat="1" ht="22.5" customHeight="1">
      <c r="A93" s="88" t="s">
        <v>83</v>
      </c>
      <c r="B93" s="89"/>
      <c r="C93" s="90"/>
      <c r="D93" s="267" t="s">
        <v>99</v>
      </c>
      <c r="E93" s="267"/>
      <c r="F93" s="267"/>
      <c r="G93" s="267"/>
      <c r="H93" s="267"/>
      <c r="I93" s="91"/>
      <c r="J93" s="267" t="s">
        <v>100</v>
      </c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5">
        <f>'SO.1.06 - Objekt ČOV - pr...'!M30</f>
        <v>0</v>
      </c>
      <c r="AH93" s="266"/>
      <c r="AI93" s="266"/>
      <c r="AJ93" s="266"/>
      <c r="AK93" s="266"/>
      <c r="AL93" s="266"/>
      <c r="AM93" s="266"/>
      <c r="AN93" s="265">
        <f t="shared" si="0"/>
        <v>0</v>
      </c>
      <c r="AO93" s="266"/>
      <c r="AP93" s="266"/>
      <c r="AQ93" s="92"/>
      <c r="AS93" s="93">
        <f>'SO.1.06 - Objekt ČOV - pr...'!M28</f>
        <v>0</v>
      </c>
      <c r="AT93" s="94">
        <f t="shared" si="1"/>
        <v>0</v>
      </c>
      <c r="AU93" s="95">
        <f>'SO.1.06 - Objekt ČOV - pr...'!W117</f>
        <v>628.7740009999999</v>
      </c>
      <c r="AV93" s="94">
        <f>'SO.1.06 - Objekt ČOV - pr...'!M32</f>
        <v>0</v>
      </c>
      <c r="AW93" s="94">
        <f>'SO.1.06 - Objekt ČOV - pr...'!M33</f>
        <v>0</v>
      </c>
      <c r="AX93" s="94">
        <f>'SO.1.06 - Objekt ČOV - pr...'!M34</f>
        <v>0</v>
      </c>
      <c r="AY93" s="94">
        <f>'SO.1.06 - Objekt ČOV - pr...'!M35</f>
        <v>0</v>
      </c>
      <c r="AZ93" s="94">
        <f>'SO.1.06 - Objekt ČOV - pr...'!H32</f>
        <v>0</v>
      </c>
      <c r="BA93" s="94">
        <f>'SO.1.06 - Objekt ČOV - pr...'!H33</f>
        <v>0</v>
      </c>
      <c r="BB93" s="94">
        <f>'SO.1.06 - Objekt ČOV - pr...'!H34</f>
        <v>0</v>
      </c>
      <c r="BC93" s="94">
        <f>'SO.1.06 - Objekt ČOV - pr...'!H35</f>
        <v>0</v>
      </c>
      <c r="BD93" s="96">
        <f>'SO.1.06 - Objekt ČOV - pr...'!H36</f>
        <v>0</v>
      </c>
      <c r="BT93" s="97" t="s">
        <v>21</v>
      </c>
      <c r="BV93" s="97" t="s">
        <v>80</v>
      </c>
      <c r="BW93" s="97" t="s">
        <v>101</v>
      </c>
      <c r="BX93" s="97" t="s">
        <v>81</v>
      </c>
    </row>
    <row r="94" spans="1:76" s="5" customFormat="1" ht="22.5" customHeight="1">
      <c r="A94" s="88" t="s">
        <v>83</v>
      </c>
      <c r="B94" s="89"/>
      <c r="C94" s="90"/>
      <c r="D94" s="267" t="s">
        <v>102</v>
      </c>
      <c r="E94" s="267"/>
      <c r="F94" s="267"/>
      <c r="G94" s="267"/>
      <c r="H94" s="267"/>
      <c r="I94" s="91"/>
      <c r="J94" s="267" t="s">
        <v>103</v>
      </c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5">
        <f>'SO.1.07 - Objekt ČOV - pr...'!M30</f>
        <v>0</v>
      </c>
      <c r="AH94" s="266"/>
      <c r="AI94" s="266"/>
      <c r="AJ94" s="266"/>
      <c r="AK94" s="266"/>
      <c r="AL94" s="266"/>
      <c r="AM94" s="266"/>
      <c r="AN94" s="265">
        <f t="shared" si="0"/>
        <v>0</v>
      </c>
      <c r="AO94" s="266"/>
      <c r="AP94" s="266"/>
      <c r="AQ94" s="92"/>
      <c r="AS94" s="93">
        <f>'SO.1.07 - Objekt ČOV - pr...'!M28</f>
        <v>0</v>
      </c>
      <c r="AT94" s="94">
        <f t="shared" si="1"/>
        <v>0</v>
      </c>
      <c r="AU94" s="95">
        <f>'SO.1.07 - Objekt ČOV - pr...'!W133</f>
        <v>714.5958229999999</v>
      </c>
      <c r="AV94" s="94">
        <f>'SO.1.07 - Objekt ČOV - pr...'!M32</f>
        <v>0</v>
      </c>
      <c r="AW94" s="94">
        <f>'SO.1.07 - Objekt ČOV - pr...'!M33</f>
        <v>0</v>
      </c>
      <c r="AX94" s="94">
        <f>'SO.1.07 - Objekt ČOV - pr...'!M34</f>
        <v>0</v>
      </c>
      <c r="AY94" s="94">
        <f>'SO.1.07 - Objekt ČOV - pr...'!M35</f>
        <v>0</v>
      </c>
      <c r="AZ94" s="94">
        <f>'SO.1.07 - Objekt ČOV - pr...'!H32</f>
        <v>0</v>
      </c>
      <c r="BA94" s="94">
        <f>'SO.1.07 - Objekt ČOV - pr...'!H33</f>
        <v>0</v>
      </c>
      <c r="BB94" s="94">
        <f>'SO.1.07 - Objekt ČOV - pr...'!H34</f>
        <v>0</v>
      </c>
      <c r="BC94" s="94">
        <f>'SO.1.07 - Objekt ČOV - pr...'!H35</f>
        <v>0</v>
      </c>
      <c r="BD94" s="96">
        <f>'SO.1.07 - Objekt ČOV - pr...'!H36</f>
        <v>0</v>
      </c>
      <c r="BT94" s="97" t="s">
        <v>21</v>
      </c>
      <c r="BV94" s="97" t="s">
        <v>80</v>
      </c>
      <c r="BW94" s="97" t="s">
        <v>104</v>
      </c>
      <c r="BX94" s="97" t="s">
        <v>81</v>
      </c>
    </row>
    <row r="95" spans="1:76" s="5" customFormat="1" ht="22.5" customHeight="1">
      <c r="A95" s="88" t="s">
        <v>83</v>
      </c>
      <c r="B95" s="89"/>
      <c r="C95" s="90"/>
      <c r="D95" s="267" t="s">
        <v>105</v>
      </c>
      <c r="E95" s="267"/>
      <c r="F95" s="267"/>
      <c r="G95" s="267"/>
      <c r="H95" s="267"/>
      <c r="I95" s="91"/>
      <c r="J95" s="267" t="s">
        <v>106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'SO.1.08 - Objekt ČOV - op...'!M30</f>
        <v>0</v>
      </c>
      <c r="AH95" s="266"/>
      <c r="AI95" s="266"/>
      <c r="AJ95" s="266"/>
      <c r="AK95" s="266"/>
      <c r="AL95" s="266"/>
      <c r="AM95" s="266"/>
      <c r="AN95" s="265">
        <f t="shared" si="0"/>
        <v>0</v>
      </c>
      <c r="AO95" s="266"/>
      <c r="AP95" s="266"/>
      <c r="AQ95" s="92"/>
      <c r="AS95" s="93">
        <f>'SO.1.08 - Objekt ČOV - op...'!M28</f>
        <v>0</v>
      </c>
      <c r="AT95" s="94">
        <f t="shared" si="1"/>
        <v>0</v>
      </c>
      <c r="AU95" s="95">
        <f>'SO.1.08 - Objekt ČOV - op...'!W114</f>
        <v>208.19079999999997</v>
      </c>
      <c r="AV95" s="94">
        <f>'SO.1.08 - Objekt ČOV - op...'!M32</f>
        <v>0</v>
      </c>
      <c r="AW95" s="94">
        <f>'SO.1.08 - Objekt ČOV - op...'!M33</f>
        <v>0</v>
      </c>
      <c r="AX95" s="94">
        <f>'SO.1.08 - Objekt ČOV - op...'!M34</f>
        <v>0</v>
      </c>
      <c r="AY95" s="94">
        <f>'SO.1.08 - Objekt ČOV - op...'!M35</f>
        <v>0</v>
      </c>
      <c r="AZ95" s="94">
        <f>'SO.1.08 - Objekt ČOV - op...'!H32</f>
        <v>0</v>
      </c>
      <c r="BA95" s="94">
        <f>'SO.1.08 - Objekt ČOV - op...'!H33</f>
        <v>0</v>
      </c>
      <c r="BB95" s="94">
        <f>'SO.1.08 - Objekt ČOV - op...'!H34</f>
        <v>0</v>
      </c>
      <c r="BC95" s="94">
        <f>'SO.1.08 - Objekt ČOV - op...'!H35</f>
        <v>0</v>
      </c>
      <c r="BD95" s="96">
        <f>'SO.1.08 - Objekt ČOV - op...'!H36</f>
        <v>0</v>
      </c>
      <c r="BT95" s="97" t="s">
        <v>21</v>
      </c>
      <c r="BV95" s="97" t="s">
        <v>80</v>
      </c>
      <c r="BW95" s="97" t="s">
        <v>107</v>
      </c>
      <c r="BX95" s="97" t="s">
        <v>81</v>
      </c>
    </row>
    <row r="96" spans="1:76" s="5" customFormat="1" ht="37.5" customHeight="1">
      <c r="A96" s="88" t="s">
        <v>83</v>
      </c>
      <c r="B96" s="89"/>
      <c r="C96" s="90"/>
      <c r="D96" s="267" t="s">
        <v>108</v>
      </c>
      <c r="E96" s="267"/>
      <c r="F96" s="267"/>
      <c r="G96" s="267"/>
      <c r="H96" s="267"/>
      <c r="I96" s="91"/>
      <c r="J96" s="267" t="s">
        <v>109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'SO.1.08a - Objekt ČOV - k...'!M30</f>
        <v>0</v>
      </c>
      <c r="AH96" s="266"/>
      <c r="AI96" s="266"/>
      <c r="AJ96" s="266"/>
      <c r="AK96" s="266"/>
      <c r="AL96" s="266"/>
      <c r="AM96" s="266"/>
      <c r="AN96" s="265">
        <f t="shared" si="0"/>
        <v>0</v>
      </c>
      <c r="AO96" s="266"/>
      <c r="AP96" s="266"/>
      <c r="AQ96" s="92"/>
      <c r="AS96" s="93">
        <f>'SO.1.08a - Objekt ČOV - k...'!M28</f>
        <v>0</v>
      </c>
      <c r="AT96" s="94">
        <f t="shared" si="1"/>
        <v>0</v>
      </c>
      <c r="AU96" s="95">
        <f>'SO.1.08a - Objekt ČOV - k...'!W113</f>
        <v>44.041192</v>
      </c>
      <c r="AV96" s="94">
        <f>'SO.1.08a - Objekt ČOV - k...'!M32</f>
        <v>0</v>
      </c>
      <c r="AW96" s="94">
        <f>'SO.1.08a - Objekt ČOV - k...'!M33</f>
        <v>0</v>
      </c>
      <c r="AX96" s="94">
        <f>'SO.1.08a - Objekt ČOV - k...'!M34</f>
        <v>0</v>
      </c>
      <c r="AY96" s="94">
        <f>'SO.1.08a - Objekt ČOV - k...'!M35</f>
        <v>0</v>
      </c>
      <c r="AZ96" s="94">
        <f>'SO.1.08a - Objekt ČOV - k...'!H32</f>
        <v>0</v>
      </c>
      <c r="BA96" s="94">
        <f>'SO.1.08a - Objekt ČOV - k...'!H33</f>
        <v>0</v>
      </c>
      <c r="BB96" s="94">
        <f>'SO.1.08a - Objekt ČOV - k...'!H34</f>
        <v>0</v>
      </c>
      <c r="BC96" s="94">
        <f>'SO.1.08a - Objekt ČOV - k...'!H35</f>
        <v>0</v>
      </c>
      <c r="BD96" s="96">
        <f>'SO.1.08a - Objekt ČOV - k...'!H36</f>
        <v>0</v>
      </c>
      <c r="BT96" s="97" t="s">
        <v>21</v>
      </c>
      <c r="BV96" s="97" t="s">
        <v>80</v>
      </c>
      <c r="BW96" s="97" t="s">
        <v>110</v>
      </c>
      <c r="BX96" s="97" t="s">
        <v>81</v>
      </c>
    </row>
    <row r="97" spans="1:76" s="5" customFormat="1" ht="37.5" customHeight="1">
      <c r="A97" s="88" t="s">
        <v>83</v>
      </c>
      <c r="B97" s="89"/>
      <c r="C97" s="90"/>
      <c r="D97" s="267" t="s">
        <v>111</v>
      </c>
      <c r="E97" s="267"/>
      <c r="F97" s="267"/>
      <c r="G97" s="267"/>
      <c r="H97" s="267"/>
      <c r="I97" s="91"/>
      <c r="J97" s="267" t="s">
        <v>112</v>
      </c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5">
        <f>'SO.1.09 - Objekt ČOV - ze...'!M30</f>
        <v>0</v>
      </c>
      <c r="AH97" s="266"/>
      <c r="AI97" s="266"/>
      <c r="AJ97" s="266"/>
      <c r="AK97" s="266"/>
      <c r="AL97" s="266"/>
      <c r="AM97" s="266"/>
      <c r="AN97" s="265">
        <f t="shared" si="0"/>
        <v>0</v>
      </c>
      <c r="AO97" s="266"/>
      <c r="AP97" s="266"/>
      <c r="AQ97" s="92"/>
      <c r="AS97" s="93">
        <f>'SO.1.09 - Objekt ČOV - ze...'!M28</f>
        <v>0</v>
      </c>
      <c r="AT97" s="94">
        <f t="shared" si="1"/>
        <v>0</v>
      </c>
      <c r="AU97" s="95">
        <f>'SO.1.09 - Objekt ČOV - ze...'!W112</f>
        <v>435.5596</v>
      </c>
      <c r="AV97" s="94">
        <f>'SO.1.09 - Objekt ČOV - ze...'!M32</f>
        <v>0</v>
      </c>
      <c r="AW97" s="94">
        <f>'SO.1.09 - Objekt ČOV - ze...'!M33</f>
        <v>0</v>
      </c>
      <c r="AX97" s="94">
        <f>'SO.1.09 - Objekt ČOV - ze...'!M34</f>
        <v>0</v>
      </c>
      <c r="AY97" s="94">
        <f>'SO.1.09 - Objekt ČOV - ze...'!M35</f>
        <v>0</v>
      </c>
      <c r="AZ97" s="94">
        <f>'SO.1.09 - Objekt ČOV - ze...'!H32</f>
        <v>0</v>
      </c>
      <c r="BA97" s="94">
        <f>'SO.1.09 - Objekt ČOV - ze...'!H33</f>
        <v>0</v>
      </c>
      <c r="BB97" s="94">
        <f>'SO.1.09 - Objekt ČOV - ze...'!H34</f>
        <v>0</v>
      </c>
      <c r="BC97" s="94">
        <f>'SO.1.09 - Objekt ČOV - ze...'!H35</f>
        <v>0</v>
      </c>
      <c r="BD97" s="96">
        <f>'SO.1.09 - Objekt ČOV - ze...'!H36</f>
        <v>0</v>
      </c>
      <c r="BT97" s="97" t="s">
        <v>21</v>
      </c>
      <c r="BV97" s="97" t="s">
        <v>80</v>
      </c>
      <c r="BW97" s="97" t="s">
        <v>113</v>
      </c>
      <c r="BX97" s="97" t="s">
        <v>81</v>
      </c>
    </row>
    <row r="98" spans="1:76" s="5" customFormat="1" ht="22.5" customHeight="1">
      <c r="A98" s="88" t="s">
        <v>83</v>
      </c>
      <c r="B98" s="89"/>
      <c r="C98" s="90"/>
      <c r="D98" s="267" t="s">
        <v>114</v>
      </c>
      <c r="E98" s="267"/>
      <c r="F98" s="267"/>
      <c r="G98" s="267"/>
      <c r="H98" s="267"/>
      <c r="I98" s="91"/>
      <c r="J98" s="267" t="s">
        <v>115</v>
      </c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5">
        <f>'SO.1.10 - Objekt ČOV - os...'!M30</f>
        <v>0</v>
      </c>
      <c r="AH98" s="266"/>
      <c r="AI98" s="266"/>
      <c r="AJ98" s="266"/>
      <c r="AK98" s="266"/>
      <c r="AL98" s="266"/>
      <c r="AM98" s="266"/>
      <c r="AN98" s="265">
        <f t="shared" si="0"/>
        <v>0</v>
      </c>
      <c r="AO98" s="266"/>
      <c r="AP98" s="266"/>
      <c r="AQ98" s="92"/>
      <c r="AS98" s="93">
        <f>'SO.1.10 - Objekt ČOV - os...'!M28</f>
        <v>0</v>
      </c>
      <c r="AT98" s="94">
        <f t="shared" si="1"/>
        <v>0</v>
      </c>
      <c r="AU98" s="95">
        <f>'SO.1.10 - Objekt ČOV - os...'!W113</f>
        <v>252.32975</v>
      </c>
      <c r="AV98" s="94">
        <f>'SO.1.10 - Objekt ČOV - os...'!M32</f>
        <v>0</v>
      </c>
      <c r="AW98" s="94">
        <f>'SO.1.10 - Objekt ČOV - os...'!M33</f>
        <v>0</v>
      </c>
      <c r="AX98" s="94">
        <f>'SO.1.10 - Objekt ČOV - os...'!M34</f>
        <v>0</v>
      </c>
      <c r="AY98" s="94">
        <f>'SO.1.10 - Objekt ČOV - os...'!M35</f>
        <v>0</v>
      </c>
      <c r="AZ98" s="94">
        <f>'SO.1.10 - Objekt ČOV - os...'!H32</f>
        <v>0</v>
      </c>
      <c r="BA98" s="94">
        <f>'SO.1.10 - Objekt ČOV - os...'!H33</f>
        <v>0</v>
      </c>
      <c r="BB98" s="94">
        <f>'SO.1.10 - Objekt ČOV - os...'!H34</f>
        <v>0</v>
      </c>
      <c r="BC98" s="94">
        <f>'SO.1.10 - Objekt ČOV - os...'!H35</f>
        <v>0</v>
      </c>
      <c r="BD98" s="96">
        <f>'SO.1.10 - Objekt ČOV - os...'!H36</f>
        <v>0</v>
      </c>
      <c r="BT98" s="97" t="s">
        <v>21</v>
      </c>
      <c r="BV98" s="97" t="s">
        <v>80</v>
      </c>
      <c r="BW98" s="97" t="s">
        <v>116</v>
      </c>
      <c r="BX98" s="97" t="s">
        <v>81</v>
      </c>
    </row>
    <row r="99" spans="1:76" s="5" customFormat="1" ht="22.5" customHeight="1">
      <c r="A99" s="88" t="s">
        <v>83</v>
      </c>
      <c r="B99" s="89"/>
      <c r="C99" s="90"/>
      <c r="D99" s="267" t="s">
        <v>117</v>
      </c>
      <c r="E99" s="267"/>
      <c r="F99" s="267"/>
      <c r="G99" s="267"/>
      <c r="H99" s="267"/>
      <c r="I99" s="91"/>
      <c r="J99" s="267" t="s">
        <v>118</v>
      </c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5">
        <f>'SO.2.01 - Kanalizace - čá...'!M30</f>
        <v>0</v>
      </c>
      <c r="AH99" s="266"/>
      <c r="AI99" s="266"/>
      <c r="AJ99" s="266"/>
      <c r="AK99" s="266"/>
      <c r="AL99" s="266"/>
      <c r="AM99" s="266"/>
      <c r="AN99" s="265">
        <f t="shared" si="0"/>
        <v>0</v>
      </c>
      <c r="AO99" s="266"/>
      <c r="AP99" s="266"/>
      <c r="AQ99" s="92"/>
      <c r="AS99" s="93">
        <f>'SO.2.01 - Kanalizace - čá...'!M28</f>
        <v>0</v>
      </c>
      <c r="AT99" s="94">
        <f t="shared" si="1"/>
        <v>0</v>
      </c>
      <c r="AU99" s="95">
        <f>'SO.2.01 - Kanalizace - čá...'!W119</f>
        <v>36446.4940505</v>
      </c>
      <c r="AV99" s="94">
        <f>'SO.2.01 - Kanalizace - čá...'!M32</f>
        <v>0</v>
      </c>
      <c r="AW99" s="94">
        <f>'SO.2.01 - Kanalizace - čá...'!M33</f>
        <v>0</v>
      </c>
      <c r="AX99" s="94">
        <f>'SO.2.01 - Kanalizace - čá...'!M34</f>
        <v>0</v>
      </c>
      <c r="AY99" s="94">
        <f>'SO.2.01 - Kanalizace - čá...'!M35</f>
        <v>0</v>
      </c>
      <c r="AZ99" s="94">
        <f>'SO.2.01 - Kanalizace - čá...'!H32</f>
        <v>0</v>
      </c>
      <c r="BA99" s="94">
        <f>'SO.2.01 - Kanalizace - čá...'!H33</f>
        <v>0</v>
      </c>
      <c r="BB99" s="94">
        <f>'SO.2.01 - Kanalizace - čá...'!H34</f>
        <v>0</v>
      </c>
      <c r="BC99" s="94">
        <f>'SO.2.01 - Kanalizace - čá...'!H35</f>
        <v>0</v>
      </c>
      <c r="BD99" s="96">
        <f>'SO.2.01 - Kanalizace - čá...'!H36</f>
        <v>0</v>
      </c>
      <c r="BT99" s="97" t="s">
        <v>21</v>
      </c>
      <c r="BV99" s="97" t="s">
        <v>80</v>
      </c>
      <c r="BW99" s="97" t="s">
        <v>119</v>
      </c>
      <c r="BX99" s="97" t="s">
        <v>81</v>
      </c>
    </row>
    <row r="100" spans="1:76" s="5" customFormat="1" ht="22.5" customHeight="1">
      <c r="A100" s="88" t="s">
        <v>83</v>
      </c>
      <c r="B100" s="89"/>
      <c r="C100" s="90"/>
      <c r="D100" s="267" t="s">
        <v>120</v>
      </c>
      <c r="E100" s="267"/>
      <c r="F100" s="267"/>
      <c r="G100" s="267"/>
      <c r="H100" s="267"/>
      <c r="I100" s="91"/>
      <c r="J100" s="267" t="s">
        <v>121</v>
      </c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5">
        <f>'SO.2.02 - Kanalizace - čá...'!M30</f>
        <v>0</v>
      </c>
      <c r="AH100" s="266"/>
      <c r="AI100" s="266"/>
      <c r="AJ100" s="266"/>
      <c r="AK100" s="266"/>
      <c r="AL100" s="266"/>
      <c r="AM100" s="266"/>
      <c r="AN100" s="265">
        <f t="shared" si="0"/>
        <v>0</v>
      </c>
      <c r="AO100" s="266"/>
      <c r="AP100" s="266"/>
      <c r="AQ100" s="92"/>
      <c r="AS100" s="93">
        <f>'SO.2.02 - Kanalizace - čá...'!M28</f>
        <v>0</v>
      </c>
      <c r="AT100" s="94">
        <f t="shared" si="1"/>
        <v>0</v>
      </c>
      <c r="AU100" s="95">
        <f>'SO.2.02 - Kanalizace - čá...'!W118</f>
        <v>28464.5450097</v>
      </c>
      <c r="AV100" s="94">
        <f>'SO.2.02 - Kanalizace - čá...'!M32</f>
        <v>0</v>
      </c>
      <c r="AW100" s="94">
        <f>'SO.2.02 - Kanalizace - čá...'!M33</f>
        <v>0</v>
      </c>
      <c r="AX100" s="94">
        <f>'SO.2.02 - Kanalizace - čá...'!M34</f>
        <v>0</v>
      </c>
      <c r="AY100" s="94">
        <f>'SO.2.02 - Kanalizace - čá...'!M35</f>
        <v>0</v>
      </c>
      <c r="AZ100" s="94">
        <f>'SO.2.02 - Kanalizace - čá...'!H32</f>
        <v>0</v>
      </c>
      <c r="BA100" s="94">
        <f>'SO.2.02 - Kanalizace - čá...'!H33</f>
        <v>0</v>
      </c>
      <c r="BB100" s="94">
        <f>'SO.2.02 - Kanalizace - čá...'!H34</f>
        <v>0</v>
      </c>
      <c r="BC100" s="94">
        <f>'SO.2.02 - Kanalizace - čá...'!H35</f>
        <v>0</v>
      </c>
      <c r="BD100" s="96">
        <f>'SO.2.02 - Kanalizace - čá...'!H36</f>
        <v>0</v>
      </c>
      <c r="BT100" s="97" t="s">
        <v>21</v>
      </c>
      <c r="BV100" s="97" t="s">
        <v>80</v>
      </c>
      <c r="BW100" s="97" t="s">
        <v>122</v>
      </c>
      <c r="BX100" s="97" t="s">
        <v>81</v>
      </c>
    </row>
    <row r="101" spans="1:76" s="5" customFormat="1" ht="22.5" customHeight="1">
      <c r="A101" s="88" t="s">
        <v>83</v>
      </c>
      <c r="B101" s="89"/>
      <c r="C101" s="90"/>
      <c r="D101" s="267" t="s">
        <v>123</v>
      </c>
      <c r="E101" s="267"/>
      <c r="F101" s="267"/>
      <c r="G101" s="267"/>
      <c r="H101" s="267"/>
      <c r="I101" s="91"/>
      <c r="J101" s="267" t="s">
        <v>124</v>
      </c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5">
        <f>'SO.2.03 - Kanalizace - čá...'!M30</f>
        <v>0</v>
      </c>
      <c r="AH101" s="266"/>
      <c r="AI101" s="266"/>
      <c r="AJ101" s="266"/>
      <c r="AK101" s="266"/>
      <c r="AL101" s="266"/>
      <c r="AM101" s="266"/>
      <c r="AN101" s="265">
        <f t="shared" si="0"/>
        <v>0</v>
      </c>
      <c r="AO101" s="266"/>
      <c r="AP101" s="266"/>
      <c r="AQ101" s="92"/>
      <c r="AS101" s="98">
        <f>'SO.2.03 - Kanalizace - čá...'!M28</f>
        <v>0</v>
      </c>
      <c r="AT101" s="99">
        <f t="shared" si="1"/>
        <v>0</v>
      </c>
      <c r="AU101" s="100">
        <f>'SO.2.03 - Kanalizace - čá...'!W119</f>
        <v>27034.97439700001</v>
      </c>
      <c r="AV101" s="99">
        <f>'SO.2.03 - Kanalizace - čá...'!M32</f>
        <v>0</v>
      </c>
      <c r="AW101" s="99">
        <f>'SO.2.03 - Kanalizace - čá...'!M33</f>
        <v>0</v>
      </c>
      <c r="AX101" s="99">
        <f>'SO.2.03 - Kanalizace - čá...'!M34</f>
        <v>0</v>
      </c>
      <c r="AY101" s="99">
        <f>'SO.2.03 - Kanalizace - čá...'!M35</f>
        <v>0</v>
      </c>
      <c r="AZ101" s="99">
        <f>'SO.2.03 - Kanalizace - čá...'!H32</f>
        <v>0</v>
      </c>
      <c r="BA101" s="99">
        <f>'SO.2.03 - Kanalizace - čá...'!H33</f>
        <v>0</v>
      </c>
      <c r="BB101" s="99">
        <f>'SO.2.03 - Kanalizace - čá...'!H34</f>
        <v>0</v>
      </c>
      <c r="BC101" s="99">
        <f>'SO.2.03 - Kanalizace - čá...'!H35</f>
        <v>0</v>
      </c>
      <c r="BD101" s="101">
        <f>'SO.2.03 - Kanalizace - čá...'!H36</f>
        <v>0</v>
      </c>
      <c r="BT101" s="97" t="s">
        <v>21</v>
      </c>
      <c r="BV101" s="97" t="s">
        <v>80</v>
      </c>
      <c r="BW101" s="97" t="s">
        <v>125</v>
      </c>
      <c r="BX101" s="97" t="s">
        <v>81</v>
      </c>
    </row>
    <row r="102" spans="2:43" ht="13.5">
      <c r="B102" s="25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6"/>
    </row>
    <row r="103" spans="2:48" s="1" customFormat="1" ht="30" customHeight="1">
      <c r="B103" s="35"/>
      <c r="C103" s="80" t="s">
        <v>126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272">
        <v>0</v>
      </c>
      <c r="AH103" s="272"/>
      <c r="AI103" s="272"/>
      <c r="AJ103" s="272"/>
      <c r="AK103" s="272"/>
      <c r="AL103" s="272"/>
      <c r="AM103" s="272"/>
      <c r="AN103" s="272">
        <v>0</v>
      </c>
      <c r="AO103" s="272"/>
      <c r="AP103" s="272"/>
      <c r="AQ103" s="37"/>
      <c r="AS103" s="76" t="s">
        <v>127</v>
      </c>
      <c r="AT103" s="77" t="s">
        <v>128</v>
      </c>
      <c r="AU103" s="77" t="s">
        <v>42</v>
      </c>
      <c r="AV103" s="78" t="s">
        <v>65</v>
      </c>
    </row>
    <row r="104" spans="2:48" s="1" customFormat="1" ht="10.9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7"/>
      <c r="AS104" s="102"/>
      <c r="AT104" s="56"/>
      <c r="AU104" s="56"/>
      <c r="AV104" s="58"/>
    </row>
    <row r="105" spans="2:43" s="1" customFormat="1" ht="30" customHeight="1">
      <c r="B105" s="35"/>
      <c r="C105" s="103" t="s">
        <v>129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268">
        <f>ROUNDUP(AG87+AG103,2)</f>
        <v>0</v>
      </c>
      <c r="AH105" s="268"/>
      <c r="AI105" s="268"/>
      <c r="AJ105" s="268"/>
      <c r="AK105" s="268"/>
      <c r="AL105" s="268"/>
      <c r="AM105" s="268"/>
      <c r="AN105" s="268">
        <f>AN87+AN103</f>
        <v>0</v>
      </c>
      <c r="AO105" s="268"/>
      <c r="AP105" s="268"/>
      <c r="AQ105" s="37"/>
    </row>
    <row r="106" spans="2:43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1"/>
    </row>
  </sheetData>
  <mergeCells count="97">
    <mergeCell ref="AR2:BE2"/>
    <mergeCell ref="AG87:AM87"/>
    <mergeCell ref="AN87:AP87"/>
    <mergeCell ref="AG103:AM103"/>
    <mergeCell ref="AN103:AP103"/>
    <mergeCell ref="AN98:AP98"/>
    <mergeCell ref="AG98:AM98"/>
    <mergeCell ref="AN96:AP96"/>
    <mergeCell ref="AG96:AM96"/>
    <mergeCell ref="AN94:AP94"/>
    <mergeCell ref="AG94:AM94"/>
    <mergeCell ref="AN92:AP92"/>
    <mergeCell ref="AG92:AM92"/>
    <mergeCell ref="AN90:AP90"/>
    <mergeCell ref="AG90:AM90"/>
    <mergeCell ref="AN88:AP88"/>
    <mergeCell ref="AG105:AM105"/>
    <mergeCell ref="AN105:AP105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J96:AF96"/>
    <mergeCell ref="AN97:AP97"/>
    <mergeCell ref="AG97:AM97"/>
    <mergeCell ref="D97:H97"/>
    <mergeCell ref="J97:AF97"/>
    <mergeCell ref="D94:H94"/>
    <mergeCell ref="J94:AF94"/>
    <mergeCell ref="AN95:AP95"/>
    <mergeCell ref="AG95:AM95"/>
    <mergeCell ref="D95:H95"/>
    <mergeCell ref="J95:AF95"/>
    <mergeCell ref="D92:H92"/>
    <mergeCell ref="J92:AF92"/>
    <mergeCell ref="AN93:AP93"/>
    <mergeCell ref="AG93:AM93"/>
    <mergeCell ref="D93:H93"/>
    <mergeCell ref="J93:AF93"/>
    <mergeCell ref="D90:H90"/>
    <mergeCell ref="J90:AF90"/>
    <mergeCell ref="AN91:AP91"/>
    <mergeCell ref="AG91:AM91"/>
    <mergeCell ref="D91:H91"/>
    <mergeCell ref="J91:AF91"/>
    <mergeCell ref="AG88:AM88"/>
    <mergeCell ref="D88:H88"/>
    <mergeCell ref="J88:AF88"/>
    <mergeCell ref="AN89:AP89"/>
    <mergeCell ref="AG89:AM89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SO.1.01 - Objekt ČOV - hr...'!C2" display="/"/>
    <hyperlink ref="A89" location="'SO.1.02 - Objekt ČOV - ná...'!C2" display="/"/>
    <hyperlink ref="A90" location="'SO.1.03 - Objekt ČOV - do...'!C2" display="/"/>
    <hyperlink ref="A91" location="'SO.1.04 - Objekt ČOV - ná...'!C2" display="/"/>
    <hyperlink ref="A92" location="'SO.1.05 - Objekt ČOV - ka...'!C2" display="/"/>
    <hyperlink ref="A93" location="'SO.1.06 - Objekt ČOV - pr...'!C2" display="/"/>
    <hyperlink ref="A94" location="'SO.1.07 - Objekt ČOV - pr...'!C2" display="/"/>
    <hyperlink ref="A95" location="'SO.1.08 - Objekt ČOV - op...'!C2" display="/"/>
    <hyperlink ref="A96" location="'SO.1.08a - Objekt ČOV - k...'!C2" display="/"/>
    <hyperlink ref="A97" location="'SO.1.09 - Objekt ČOV - ze...'!C2" display="/"/>
    <hyperlink ref="A98" location="'SO.1.10 - Objekt ČOV - os...'!C2" display="/"/>
    <hyperlink ref="A99" location="'SO.2.01 - Kanalizace - čá...'!C2" display="/"/>
    <hyperlink ref="A100" location="'SO.2.02 - Kanalizace - čá...'!C2" display="/"/>
    <hyperlink ref="A101" location="'SO.2.03 - Kanalizace - čá...'!C2" display="/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0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N136"/>
  <sheetViews>
    <sheetView showGridLines="0" view="pageBreakPreview" zoomScaleSheetLayoutView="100" workbookViewId="0" topLeftCell="A1">
      <pane ySplit="1" topLeftCell="A115" activePane="bottomLeft" state="frozen"/>
      <selection pane="topLeft" activeCell="AE85" sqref="AE84:AE85"/>
      <selection pane="bottomLeft" activeCell="AE130" sqref="AE13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110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1093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N94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ROUNDUP((SUM(BE94:BE95)+SUM(BE113:BE135)),2)</f>
        <v>0</v>
      </c>
      <c r="I32" s="275"/>
      <c r="J32" s="275"/>
      <c r="K32" s="36"/>
      <c r="L32" s="36"/>
      <c r="M32" s="279">
        <f>ROUNDUP(ROUNDUP((SUM(BE94:BE95)+SUM(BE113:BE135)),2)*F32,1)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ROUNDUP((SUM(BF94:BF95)+SUM(BF113:BF135)),2)</f>
        <v>0</v>
      </c>
      <c r="I33" s="275"/>
      <c r="J33" s="275"/>
      <c r="K33" s="36"/>
      <c r="L33" s="36"/>
      <c r="M33" s="279">
        <f>ROUNDUP(ROUNDUP((SUM(BF94:BF95)+SUM(BF113:BF135)),2)*F33,1)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ROUNDUP((SUM(BG94:BG95)+SUM(BG113:BG135)),2)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ROUNDUP((SUM(BH94:BH95)+SUM(BH113:BH135)),2)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ROUNDUP((SUM(BI94:BI95)+SUM(BI113:BI135)),2)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SO.1.08a - Objekt ČOV - komunikace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N113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N114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N115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1094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N117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151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N134</f>
        <v>0</v>
      </c>
      <c r="O92" s="288"/>
      <c r="P92" s="288"/>
      <c r="Q92" s="288"/>
      <c r="R92" s="120"/>
    </row>
    <row r="93" spans="2:18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</row>
    <row r="94" spans="2:21" s="1" customFormat="1" ht="29.25" customHeight="1">
      <c r="B94" s="35"/>
      <c r="C94" s="112" t="s">
        <v>152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84">
        <v>0</v>
      </c>
      <c r="O94" s="289"/>
      <c r="P94" s="289"/>
      <c r="Q94" s="289"/>
      <c r="R94" s="37"/>
      <c r="T94" s="121"/>
      <c r="U94" s="122" t="s">
        <v>42</v>
      </c>
    </row>
    <row r="95" spans="2:18" s="1" customFormat="1" ht="18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18" s="1" customFormat="1" ht="29.25" customHeight="1">
      <c r="B96" s="35"/>
      <c r="C96" s="103" t="s">
        <v>129</v>
      </c>
      <c r="D96" s="104"/>
      <c r="E96" s="104"/>
      <c r="F96" s="104"/>
      <c r="G96" s="104"/>
      <c r="H96" s="104"/>
      <c r="I96" s="104"/>
      <c r="J96" s="104"/>
      <c r="K96" s="104"/>
      <c r="L96" s="268">
        <f>ROUNDUP(SUM(N88+N94),2)</f>
        <v>0</v>
      </c>
      <c r="M96" s="268"/>
      <c r="N96" s="268"/>
      <c r="O96" s="268"/>
      <c r="P96" s="268"/>
      <c r="Q96" s="268"/>
      <c r="R96" s="37"/>
    </row>
    <row r="97" spans="2:18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101" spans="2:18" s="1" customFormat="1" ht="6.9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2" spans="2:18" s="1" customFormat="1" ht="36.95" customHeight="1">
      <c r="B102" s="35"/>
      <c r="C102" s="237" t="s">
        <v>153</v>
      </c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37"/>
    </row>
    <row r="103" spans="2:18" s="1" customFormat="1" ht="6.95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18" s="1" customFormat="1" ht="30" customHeight="1">
      <c r="B104" s="35"/>
      <c r="C104" s="32" t="s">
        <v>16</v>
      </c>
      <c r="D104" s="36"/>
      <c r="E104" s="36"/>
      <c r="F104" s="273" t="str">
        <f>F6</f>
        <v>ČOV a splašková kanalizace Žinkovy</v>
      </c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36"/>
      <c r="R104" s="37"/>
    </row>
    <row r="105" spans="2:18" s="1" customFormat="1" ht="36.95" customHeight="1">
      <c r="B105" s="35"/>
      <c r="C105" s="69" t="s">
        <v>137</v>
      </c>
      <c r="D105" s="36"/>
      <c r="E105" s="36"/>
      <c r="F105" s="254" t="str">
        <f>F7</f>
        <v>SO.1.08a - Objekt ČOV - komunikace</v>
      </c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36"/>
      <c r="R105" s="37"/>
    </row>
    <row r="106" spans="2:18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18" s="1" customFormat="1" ht="18" customHeight="1">
      <c r="B107" s="35"/>
      <c r="C107" s="32" t="s">
        <v>22</v>
      </c>
      <c r="D107" s="36"/>
      <c r="E107" s="36"/>
      <c r="F107" s="30" t="str">
        <f>F9</f>
        <v>Žinkovy</v>
      </c>
      <c r="G107" s="36"/>
      <c r="H107" s="36"/>
      <c r="I107" s="36"/>
      <c r="J107" s="36"/>
      <c r="K107" s="32" t="s">
        <v>24</v>
      </c>
      <c r="L107" s="36"/>
      <c r="M107" s="276">
        <f>IF(O9="","",O9)</f>
        <v>42912</v>
      </c>
      <c r="N107" s="276"/>
      <c r="O107" s="276"/>
      <c r="P107" s="276"/>
      <c r="Q107" s="36"/>
      <c r="R107" s="37"/>
    </row>
    <row r="108" spans="2:18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15">
      <c r="B109" s="35"/>
      <c r="C109" s="32" t="s">
        <v>27</v>
      </c>
      <c r="D109" s="36"/>
      <c r="E109" s="36"/>
      <c r="F109" s="30" t="str">
        <f>E12</f>
        <v>Obec Žinkovy</v>
      </c>
      <c r="G109" s="36"/>
      <c r="H109" s="36"/>
      <c r="I109" s="36"/>
      <c r="J109" s="36"/>
      <c r="K109" s="32" t="s">
        <v>33</v>
      </c>
      <c r="L109" s="36"/>
      <c r="M109" s="277" t="str">
        <f>E18</f>
        <v>PIK Vítek s.r.o.</v>
      </c>
      <c r="N109" s="277"/>
      <c r="O109" s="277"/>
      <c r="P109" s="277"/>
      <c r="Q109" s="277"/>
      <c r="R109" s="37"/>
    </row>
    <row r="110" spans="2:18" s="1" customFormat="1" ht="14.45" customHeight="1">
      <c r="B110" s="35"/>
      <c r="C110" s="32" t="s">
        <v>31</v>
      </c>
      <c r="D110" s="36"/>
      <c r="E110" s="36"/>
      <c r="F110" s="30" t="str">
        <f>IF(E15="","",E15)</f>
        <v xml:space="preserve"> </v>
      </c>
      <c r="G110" s="36"/>
      <c r="H110" s="36"/>
      <c r="I110" s="36"/>
      <c r="J110" s="36"/>
      <c r="K110" s="32" t="s">
        <v>36</v>
      </c>
      <c r="L110" s="36"/>
      <c r="M110" s="277" t="str">
        <f>E21</f>
        <v>Acrone s.r.o.</v>
      </c>
      <c r="N110" s="277"/>
      <c r="O110" s="277"/>
      <c r="P110" s="277"/>
      <c r="Q110" s="277"/>
      <c r="R110" s="37"/>
    </row>
    <row r="111" spans="2:18" s="1" customFormat="1" ht="10.3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27" s="8" customFormat="1" ht="29.25" customHeight="1">
      <c r="B112" s="123"/>
      <c r="C112" s="124" t="s">
        <v>154</v>
      </c>
      <c r="D112" s="125" t="s">
        <v>155</v>
      </c>
      <c r="E112" s="125" t="s">
        <v>60</v>
      </c>
      <c r="F112" s="290" t="s">
        <v>156</v>
      </c>
      <c r="G112" s="290"/>
      <c r="H112" s="290"/>
      <c r="I112" s="290"/>
      <c r="J112" s="125" t="s">
        <v>157</v>
      </c>
      <c r="K112" s="125" t="s">
        <v>158</v>
      </c>
      <c r="L112" s="291" t="s">
        <v>159</v>
      </c>
      <c r="M112" s="291"/>
      <c r="N112" s="290" t="s">
        <v>144</v>
      </c>
      <c r="O112" s="290"/>
      <c r="P112" s="290"/>
      <c r="Q112" s="292"/>
      <c r="R112" s="126"/>
      <c r="T112" s="76" t="s">
        <v>160</v>
      </c>
      <c r="U112" s="77" t="s">
        <v>42</v>
      </c>
      <c r="V112" s="77" t="s">
        <v>161</v>
      </c>
      <c r="W112" s="77" t="s">
        <v>162</v>
      </c>
      <c r="X112" s="77" t="s">
        <v>163</v>
      </c>
      <c r="Y112" s="77" t="s">
        <v>164</v>
      </c>
      <c r="Z112" s="77" t="s">
        <v>165</v>
      </c>
      <c r="AA112" s="78" t="s">
        <v>166</v>
      </c>
    </row>
    <row r="113" spans="2:63" s="1" customFormat="1" ht="29.25" customHeight="1">
      <c r="B113" s="35"/>
      <c r="C113" s="80" t="s">
        <v>140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295">
        <f>BK113</f>
        <v>0</v>
      </c>
      <c r="O113" s="296"/>
      <c r="P113" s="296"/>
      <c r="Q113" s="296"/>
      <c r="R113" s="37"/>
      <c r="T113" s="79"/>
      <c r="U113" s="51"/>
      <c r="V113" s="51"/>
      <c r="W113" s="127">
        <f>W114</f>
        <v>44.041192</v>
      </c>
      <c r="X113" s="51"/>
      <c r="Y113" s="127">
        <f>Y114</f>
        <v>17.5121</v>
      </c>
      <c r="Z113" s="51"/>
      <c r="AA113" s="128">
        <f>AA114</f>
        <v>0</v>
      </c>
      <c r="AT113" s="21" t="s">
        <v>77</v>
      </c>
      <c r="AU113" s="21" t="s">
        <v>146</v>
      </c>
      <c r="BK113" s="129">
        <f>BK114</f>
        <v>0</v>
      </c>
    </row>
    <row r="114" spans="2:63" s="9" customFormat="1" ht="37.35" customHeight="1">
      <c r="B114" s="130"/>
      <c r="C114" s="131"/>
      <c r="D114" s="132" t="s">
        <v>147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297">
        <f>BK114</f>
        <v>0</v>
      </c>
      <c r="O114" s="285"/>
      <c r="P114" s="285"/>
      <c r="Q114" s="285"/>
      <c r="R114" s="133"/>
      <c r="T114" s="134"/>
      <c r="U114" s="131"/>
      <c r="V114" s="131"/>
      <c r="W114" s="135">
        <f>W115+W117+W134</f>
        <v>44.041192</v>
      </c>
      <c r="X114" s="131"/>
      <c r="Y114" s="135">
        <f>Y115+Y117+Y134</f>
        <v>17.5121</v>
      </c>
      <c r="Z114" s="131"/>
      <c r="AA114" s="136">
        <f>AA115+AA117+AA134</f>
        <v>0</v>
      </c>
      <c r="AR114" s="137" t="s">
        <v>21</v>
      </c>
      <c r="AT114" s="138" t="s">
        <v>77</v>
      </c>
      <c r="AU114" s="138" t="s">
        <v>78</v>
      </c>
      <c r="AY114" s="137" t="s">
        <v>167</v>
      </c>
      <c r="BK114" s="139">
        <f>BK115+BK117+BK134</f>
        <v>0</v>
      </c>
    </row>
    <row r="115" spans="2:63" s="9" customFormat="1" ht="19.9" customHeight="1">
      <c r="B115" s="130"/>
      <c r="C115" s="131"/>
      <c r="D115" s="140" t="s">
        <v>148</v>
      </c>
      <c r="E115" s="140"/>
      <c r="F115" s="140"/>
      <c r="G115" s="140"/>
      <c r="H115" s="140"/>
      <c r="I115" s="140"/>
      <c r="J115" s="140"/>
      <c r="K115" s="140"/>
      <c r="L115" s="140"/>
      <c r="M115" s="140"/>
      <c r="N115" s="298">
        <f>BK115</f>
        <v>0</v>
      </c>
      <c r="O115" s="299"/>
      <c r="P115" s="299"/>
      <c r="Q115" s="299"/>
      <c r="R115" s="133"/>
      <c r="T115" s="134"/>
      <c r="U115" s="131"/>
      <c r="V115" s="131"/>
      <c r="W115" s="135">
        <f>W116</f>
        <v>0.871</v>
      </c>
      <c r="X115" s="131"/>
      <c r="Y115" s="135">
        <f>Y116</f>
        <v>0</v>
      </c>
      <c r="Z115" s="131"/>
      <c r="AA115" s="136">
        <f>AA116</f>
        <v>0</v>
      </c>
      <c r="AR115" s="137" t="s">
        <v>21</v>
      </c>
      <c r="AT115" s="138" t="s">
        <v>77</v>
      </c>
      <c r="AU115" s="138" t="s">
        <v>21</v>
      </c>
      <c r="AY115" s="137" t="s">
        <v>167</v>
      </c>
      <c r="BK115" s="139">
        <f>BK116</f>
        <v>0</v>
      </c>
    </row>
    <row r="116" spans="2:65" s="1" customFormat="1" ht="31.5" customHeight="1">
      <c r="B116" s="141"/>
      <c r="C116" s="142" t="s">
        <v>21</v>
      </c>
      <c r="D116" s="142" t="s">
        <v>168</v>
      </c>
      <c r="E116" s="143" t="s">
        <v>1095</v>
      </c>
      <c r="F116" s="293" t="s">
        <v>1096</v>
      </c>
      <c r="G116" s="293"/>
      <c r="H116" s="293"/>
      <c r="I116" s="293"/>
      <c r="J116" s="144" t="s">
        <v>171</v>
      </c>
      <c r="K116" s="145">
        <v>1</v>
      </c>
      <c r="L116" s="294"/>
      <c r="M116" s="294"/>
      <c r="N116" s="294">
        <f>ROUND(L116*K116,2)</f>
        <v>0</v>
      </c>
      <c r="O116" s="294"/>
      <c r="P116" s="294"/>
      <c r="Q116" s="294"/>
      <c r="R116" s="146"/>
      <c r="T116" s="147" t="s">
        <v>5</v>
      </c>
      <c r="U116" s="44" t="s">
        <v>43</v>
      </c>
      <c r="V116" s="148">
        <v>0.871</v>
      </c>
      <c r="W116" s="148">
        <f>V116*K116</f>
        <v>0.871</v>
      </c>
      <c r="X116" s="148">
        <v>0</v>
      </c>
      <c r="Y116" s="148">
        <f>X116*K116</f>
        <v>0</v>
      </c>
      <c r="Z116" s="148">
        <v>0</v>
      </c>
      <c r="AA116" s="149">
        <f>Z116*K116</f>
        <v>0</v>
      </c>
      <c r="AR116" s="21" t="s">
        <v>172</v>
      </c>
      <c r="AT116" s="21" t="s">
        <v>168</v>
      </c>
      <c r="AU116" s="21" t="s">
        <v>135</v>
      </c>
      <c r="AY116" s="21" t="s">
        <v>167</v>
      </c>
      <c r="BE116" s="150">
        <f>IF(U116="základní",N116,0)</f>
        <v>0</v>
      </c>
      <c r="BF116" s="150">
        <f>IF(U116="snížená",N116,0)</f>
        <v>0</v>
      </c>
      <c r="BG116" s="150">
        <f>IF(U116="zákl. přenesená",N116,0)</f>
        <v>0</v>
      </c>
      <c r="BH116" s="150">
        <f>IF(U116="sníž. přenesená",N116,0)</f>
        <v>0</v>
      </c>
      <c r="BI116" s="150">
        <f>IF(U116="nulová",N116,0)</f>
        <v>0</v>
      </c>
      <c r="BJ116" s="21" t="s">
        <v>21</v>
      </c>
      <c r="BK116" s="150">
        <f>ROUND(L116*K116,2)</f>
        <v>0</v>
      </c>
      <c r="BL116" s="21" t="s">
        <v>172</v>
      </c>
      <c r="BM116" s="21" t="s">
        <v>1097</v>
      </c>
    </row>
    <row r="117" spans="2:63" s="9" customFormat="1" ht="29.85" customHeight="1">
      <c r="B117" s="130"/>
      <c r="C117" s="131"/>
      <c r="D117" s="140" t="s">
        <v>1094</v>
      </c>
      <c r="E117" s="140"/>
      <c r="F117" s="140"/>
      <c r="G117" s="140"/>
      <c r="H117" s="140"/>
      <c r="I117" s="140"/>
      <c r="J117" s="140"/>
      <c r="K117" s="140"/>
      <c r="L117" s="140"/>
      <c r="M117" s="140"/>
      <c r="N117" s="310">
        <f>BK117</f>
        <v>0</v>
      </c>
      <c r="O117" s="311"/>
      <c r="P117" s="311"/>
      <c r="Q117" s="311"/>
      <c r="R117" s="133"/>
      <c r="T117" s="134"/>
      <c r="U117" s="131"/>
      <c r="V117" s="131"/>
      <c r="W117" s="135">
        <f>SUM(W118:W133)</f>
        <v>42.89</v>
      </c>
      <c r="X117" s="131"/>
      <c r="Y117" s="135">
        <f>SUM(Y118:Y133)</f>
        <v>17.5121</v>
      </c>
      <c r="Z117" s="131"/>
      <c r="AA117" s="136">
        <f>SUM(AA118:AA133)</f>
        <v>0</v>
      </c>
      <c r="AR117" s="137" t="s">
        <v>21</v>
      </c>
      <c r="AT117" s="138" t="s">
        <v>77</v>
      </c>
      <c r="AU117" s="138" t="s">
        <v>21</v>
      </c>
      <c r="AY117" s="137" t="s">
        <v>167</v>
      </c>
      <c r="BK117" s="139">
        <f>SUM(BK118:BK133)</f>
        <v>0</v>
      </c>
    </row>
    <row r="118" spans="2:65" s="1" customFormat="1" ht="22.5" customHeight="1">
      <c r="B118" s="141"/>
      <c r="C118" s="142" t="s">
        <v>135</v>
      </c>
      <c r="D118" s="142" t="s">
        <v>168</v>
      </c>
      <c r="E118" s="143" t="s">
        <v>1098</v>
      </c>
      <c r="F118" s="293" t="s">
        <v>1099</v>
      </c>
      <c r="G118" s="293"/>
      <c r="H118" s="293"/>
      <c r="I118" s="293"/>
      <c r="J118" s="144" t="s">
        <v>199</v>
      </c>
      <c r="K118" s="145">
        <v>215</v>
      </c>
      <c r="L118" s="294"/>
      <c r="M118" s="294"/>
      <c r="N118" s="294">
        <f>ROUND(L118*K118,2)</f>
        <v>0</v>
      </c>
      <c r="O118" s="294"/>
      <c r="P118" s="294"/>
      <c r="Q118" s="294"/>
      <c r="R118" s="146"/>
      <c r="T118" s="147" t="s">
        <v>5</v>
      </c>
      <c r="U118" s="44" t="s">
        <v>43</v>
      </c>
      <c r="V118" s="148">
        <v>0.101</v>
      </c>
      <c r="W118" s="148">
        <f>V118*K118</f>
        <v>21.715</v>
      </c>
      <c r="X118" s="148">
        <v>0</v>
      </c>
      <c r="Y118" s="148">
        <f>X118*K118</f>
        <v>0</v>
      </c>
      <c r="Z118" s="148">
        <v>0</v>
      </c>
      <c r="AA118" s="149">
        <f>Z118*K118</f>
        <v>0</v>
      </c>
      <c r="AR118" s="21" t="s">
        <v>172</v>
      </c>
      <c r="AT118" s="21" t="s">
        <v>168</v>
      </c>
      <c r="AU118" s="21" t="s">
        <v>135</v>
      </c>
      <c r="AY118" s="21" t="s">
        <v>167</v>
      </c>
      <c r="BE118" s="150">
        <f>IF(U118="základní",N118,0)</f>
        <v>0</v>
      </c>
      <c r="BF118" s="150">
        <f>IF(U118="snížená",N118,0)</f>
        <v>0</v>
      </c>
      <c r="BG118" s="150">
        <f>IF(U118="zákl. přenesená",N118,0)</f>
        <v>0</v>
      </c>
      <c r="BH118" s="150">
        <f>IF(U118="sníž. přenesená",N118,0)</f>
        <v>0</v>
      </c>
      <c r="BI118" s="150">
        <f>IF(U118="nulová",N118,0)</f>
        <v>0</v>
      </c>
      <c r="BJ118" s="21" t="s">
        <v>21</v>
      </c>
      <c r="BK118" s="150">
        <f>ROUND(L118*K118,2)</f>
        <v>0</v>
      </c>
      <c r="BL118" s="21" t="s">
        <v>172</v>
      </c>
      <c r="BM118" s="21" t="s">
        <v>1100</v>
      </c>
    </row>
    <row r="119" spans="2:51" s="11" customFormat="1" ht="22.5" customHeight="1">
      <c r="B119" s="159"/>
      <c r="C119" s="160"/>
      <c r="D119" s="160"/>
      <c r="E119" s="161" t="s">
        <v>5</v>
      </c>
      <c r="F119" s="308" t="s">
        <v>1101</v>
      </c>
      <c r="G119" s="309"/>
      <c r="H119" s="309"/>
      <c r="I119" s="309"/>
      <c r="J119" s="160"/>
      <c r="K119" s="162">
        <v>150</v>
      </c>
      <c r="L119" s="160"/>
      <c r="M119" s="160"/>
      <c r="N119" s="160"/>
      <c r="O119" s="160"/>
      <c r="P119" s="160"/>
      <c r="Q119" s="160"/>
      <c r="R119" s="163"/>
      <c r="T119" s="164"/>
      <c r="U119" s="160"/>
      <c r="V119" s="160"/>
      <c r="W119" s="160"/>
      <c r="X119" s="160"/>
      <c r="Y119" s="160"/>
      <c r="Z119" s="160"/>
      <c r="AA119" s="165"/>
      <c r="AT119" s="166" t="s">
        <v>179</v>
      </c>
      <c r="AU119" s="166" t="s">
        <v>135</v>
      </c>
      <c r="AV119" s="11" t="s">
        <v>135</v>
      </c>
      <c r="AW119" s="11" t="s">
        <v>35</v>
      </c>
      <c r="AX119" s="11" t="s">
        <v>78</v>
      </c>
      <c r="AY119" s="166" t="s">
        <v>167</v>
      </c>
    </row>
    <row r="120" spans="2:51" s="11" customFormat="1" ht="22.5" customHeight="1">
      <c r="B120" s="159"/>
      <c r="C120" s="160"/>
      <c r="D120" s="160"/>
      <c r="E120" s="161" t="s">
        <v>5</v>
      </c>
      <c r="F120" s="302" t="s">
        <v>1102</v>
      </c>
      <c r="G120" s="303"/>
      <c r="H120" s="303"/>
      <c r="I120" s="303"/>
      <c r="J120" s="160"/>
      <c r="K120" s="162">
        <v>30</v>
      </c>
      <c r="L120" s="160"/>
      <c r="M120" s="160"/>
      <c r="N120" s="160"/>
      <c r="O120" s="160"/>
      <c r="P120" s="160"/>
      <c r="Q120" s="160"/>
      <c r="R120" s="163"/>
      <c r="T120" s="164"/>
      <c r="U120" s="160"/>
      <c r="V120" s="160"/>
      <c r="W120" s="160"/>
      <c r="X120" s="160"/>
      <c r="Y120" s="160"/>
      <c r="Z120" s="160"/>
      <c r="AA120" s="165"/>
      <c r="AT120" s="166" t="s">
        <v>179</v>
      </c>
      <c r="AU120" s="166" t="s">
        <v>135</v>
      </c>
      <c r="AV120" s="11" t="s">
        <v>135</v>
      </c>
      <c r="AW120" s="11" t="s">
        <v>35</v>
      </c>
      <c r="AX120" s="11" t="s">
        <v>78</v>
      </c>
      <c r="AY120" s="166" t="s">
        <v>167</v>
      </c>
    </row>
    <row r="121" spans="2:51" s="11" customFormat="1" ht="22.5" customHeight="1">
      <c r="B121" s="159"/>
      <c r="C121" s="160"/>
      <c r="D121" s="160"/>
      <c r="E121" s="161" t="s">
        <v>5</v>
      </c>
      <c r="F121" s="302" t="s">
        <v>1103</v>
      </c>
      <c r="G121" s="303"/>
      <c r="H121" s="303"/>
      <c r="I121" s="303"/>
      <c r="J121" s="160"/>
      <c r="K121" s="162">
        <v>35</v>
      </c>
      <c r="L121" s="160"/>
      <c r="M121" s="160"/>
      <c r="N121" s="160"/>
      <c r="O121" s="160"/>
      <c r="P121" s="160"/>
      <c r="Q121" s="160"/>
      <c r="R121" s="163"/>
      <c r="T121" s="164"/>
      <c r="U121" s="160"/>
      <c r="V121" s="160"/>
      <c r="W121" s="160"/>
      <c r="X121" s="160"/>
      <c r="Y121" s="160"/>
      <c r="Z121" s="160"/>
      <c r="AA121" s="165"/>
      <c r="AT121" s="166" t="s">
        <v>179</v>
      </c>
      <c r="AU121" s="166" t="s">
        <v>135</v>
      </c>
      <c r="AV121" s="11" t="s">
        <v>135</v>
      </c>
      <c r="AW121" s="11" t="s">
        <v>35</v>
      </c>
      <c r="AX121" s="11" t="s">
        <v>78</v>
      </c>
      <c r="AY121" s="166" t="s">
        <v>167</v>
      </c>
    </row>
    <row r="122" spans="2:51" s="12" customFormat="1" ht="22.5" customHeight="1">
      <c r="B122" s="167"/>
      <c r="C122" s="168"/>
      <c r="D122" s="168"/>
      <c r="E122" s="169" t="s">
        <v>5</v>
      </c>
      <c r="F122" s="306" t="s">
        <v>183</v>
      </c>
      <c r="G122" s="307"/>
      <c r="H122" s="307"/>
      <c r="I122" s="307"/>
      <c r="J122" s="168"/>
      <c r="K122" s="170">
        <v>215</v>
      </c>
      <c r="L122" s="168"/>
      <c r="M122" s="168"/>
      <c r="N122" s="168"/>
      <c r="O122" s="168"/>
      <c r="P122" s="168"/>
      <c r="Q122" s="168"/>
      <c r="R122" s="171"/>
      <c r="T122" s="172"/>
      <c r="U122" s="168"/>
      <c r="V122" s="168"/>
      <c r="W122" s="168"/>
      <c r="X122" s="168"/>
      <c r="Y122" s="168"/>
      <c r="Z122" s="168"/>
      <c r="AA122" s="173"/>
      <c r="AT122" s="174" t="s">
        <v>179</v>
      </c>
      <c r="AU122" s="174" t="s">
        <v>135</v>
      </c>
      <c r="AV122" s="12" t="s">
        <v>172</v>
      </c>
      <c r="AW122" s="12" t="s">
        <v>35</v>
      </c>
      <c r="AX122" s="12" t="s">
        <v>21</v>
      </c>
      <c r="AY122" s="174" t="s">
        <v>167</v>
      </c>
    </row>
    <row r="123" spans="2:65" s="1" customFormat="1" ht="22.5" customHeight="1">
      <c r="B123" s="141"/>
      <c r="C123" s="142" t="s">
        <v>184</v>
      </c>
      <c r="D123" s="142" t="s">
        <v>168</v>
      </c>
      <c r="E123" s="143" t="s">
        <v>1104</v>
      </c>
      <c r="F123" s="293" t="s">
        <v>1105</v>
      </c>
      <c r="G123" s="293"/>
      <c r="H123" s="293"/>
      <c r="I123" s="293"/>
      <c r="J123" s="144" t="s">
        <v>199</v>
      </c>
      <c r="K123" s="145">
        <v>35</v>
      </c>
      <c r="L123" s="294"/>
      <c r="M123" s="294"/>
      <c r="N123" s="294">
        <f>ROUND(L123*K123,2)</f>
        <v>0</v>
      </c>
      <c r="O123" s="294"/>
      <c r="P123" s="294"/>
      <c r="Q123" s="294"/>
      <c r="R123" s="146"/>
      <c r="T123" s="147" t="s">
        <v>5</v>
      </c>
      <c r="U123" s="44" t="s">
        <v>43</v>
      </c>
      <c r="V123" s="148">
        <v>0.031</v>
      </c>
      <c r="W123" s="148">
        <f>V123*K123</f>
        <v>1.085</v>
      </c>
      <c r="X123" s="148">
        <v>0.46166</v>
      </c>
      <c r="Y123" s="148">
        <f>X123*K123</f>
        <v>16.1581</v>
      </c>
      <c r="Z123" s="148">
        <v>0</v>
      </c>
      <c r="AA123" s="149">
        <f>Z123*K123</f>
        <v>0</v>
      </c>
      <c r="AR123" s="21" t="s">
        <v>172</v>
      </c>
      <c r="AT123" s="21" t="s">
        <v>168</v>
      </c>
      <c r="AU123" s="21" t="s">
        <v>135</v>
      </c>
      <c r="AY123" s="21" t="s">
        <v>167</v>
      </c>
      <c r="BE123" s="150">
        <f>IF(U123="základní",N123,0)</f>
        <v>0</v>
      </c>
      <c r="BF123" s="150">
        <f>IF(U123="snížená",N123,0)</f>
        <v>0</v>
      </c>
      <c r="BG123" s="150">
        <f>IF(U123="zákl. přenesená",N123,0)</f>
        <v>0</v>
      </c>
      <c r="BH123" s="150">
        <f>IF(U123="sníž. přenesená",N123,0)</f>
        <v>0</v>
      </c>
      <c r="BI123" s="150">
        <f>IF(U123="nulová",N123,0)</f>
        <v>0</v>
      </c>
      <c r="BJ123" s="21" t="s">
        <v>21</v>
      </c>
      <c r="BK123" s="150">
        <f>ROUND(L123*K123,2)</f>
        <v>0</v>
      </c>
      <c r="BL123" s="21" t="s">
        <v>172</v>
      </c>
      <c r="BM123" s="21" t="s">
        <v>1106</v>
      </c>
    </row>
    <row r="124" spans="2:51" s="11" customFormat="1" ht="22.5" customHeight="1">
      <c r="B124" s="159"/>
      <c r="C124" s="160"/>
      <c r="D124" s="160"/>
      <c r="E124" s="161" t="s">
        <v>5</v>
      </c>
      <c r="F124" s="308" t="s">
        <v>1107</v>
      </c>
      <c r="G124" s="309"/>
      <c r="H124" s="309"/>
      <c r="I124" s="309"/>
      <c r="J124" s="160"/>
      <c r="K124" s="162">
        <v>35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21</v>
      </c>
      <c r="AY124" s="166" t="s">
        <v>167</v>
      </c>
    </row>
    <row r="125" spans="2:65" s="1" customFormat="1" ht="22.5" customHeight="1">
      <c r="B125" s="141"/>
      <c r="C125" s="142" t="s">
        <v>172</v>
      </c>
      <c r="D125" s="142" t="s">
        <v>168</v>
      </c>
      <c r="E125" s="143" t="s">
        <v>1108</v>
      </c>
      <c r="F125" s="293" t="s">
        <v>1109</v>
      </c>
      <c r="G125" s="293"/>
      <c r="H125" s="293"/>
      <c r="I125" s="293"/>
      <c r="J125" s="144" t="s">
        <v>199</v>
      </c>
      <c r="K125" s="145">
        <v>35</v>
      </c>
      <c r="L125" s="294"/>
      <c r="M125" s="294"/>
      <c r="N125" s="294">
        <f>ROUND(L125*K125,2)</f>
        <v>0</v>
      </c>
      <c r="O125" s="294"/>
      <c r="P125" s="294"/>
      <c r="Q125" s="294"/>
      <c r="R125" s="146"/>
      <c r="T125" s="147" t="s">
        <v>5</v>
      </c>
      <c r="U125" s="44" t="s">
        <v>43</v>
      </c>
      <c r="V125" s="148">
        <v>0.016</v>
      </c>
      <c r="W125" s="148">
        <f>V125*K125</f>
        <v>0.56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172</v>
      </c>
      <c r="AT125" s="21" t="s">
        <v>168</v>
      </c>
      <c r="AU125" s="21" t="s">
        <v>135</v>
      </c>
      <c r="AY125" s="21" t="s">
        <v>167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21</v>
      </c>
      <c r="BK125" s="150">
        <f>ROUND(L125*K125,2)</f>
        <v>0</v>
      </c>
      <c r="BL125" s="21" t="s">
        <v>172</v>
      </c>
      <c r="BM125" s="21" t="s">
        <v>1110</v>
      </c>
    </row>
    <row r="126" spans="2:65" s="1" customFormat="1" ht="22.5" customHeight="1">
      <c r="B126" s="141"/>
      <c r="C126" s="142" t="s">
        <v>196</v>
      </c>
      <c r="D126" s="142" t="s">
        <v>168</v>
      </c>
      <c r="E126" s="143" t="s">
        <v>1111</v>
      </c>
      <c r="F126" s="293" t="s">
        <v>1112</v>
      </c>
      <c r="G126" s="293"/>
      <c r="H126" s="293"/>
      <c r="I126" s="293"/>
      <c r="J126" s="144" t="s">
        <v>199</v>
      </c>
      <c r="K126" s="145">
        <v>150</v>
      </c>
      <c r="L126" s="294"/>
      <c r="M126" s="294"/>
      <c r="N126" s="294">
        <f>ROUND(L126*K126,2)</f>
        <v>0</v>
      </c>
      <c r="O126" s="294"/>
      <c r="P126" s="294"/>
      <c r="Q126" s="294"/>
      <c r="R126" s="146"/>
      <c r="T126" s="147" t="s">
        <v>5</v>
      </c>
      <c r="U126" s="44" t="s">
        <v>43</v>
      </c>
      <c r="V126" s="148">
        <v>0.041</v>
      </c>
      <c r="W126" s="148">
        <f>V126*K126</f>
        <v>6.15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172</v>
      </c>
      <c r="AT126" s="21" t="s">
        <v>168</v>
      </c>
      <c r="AU126" s="21" t="s">
        <v>135</v>
      </c>
      <c r="AY126" s="21" t="s">
        <v>167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21</v>
      </c>
      <c r="BK126" s="150">
        <f>ROUND(L126*K126,2)</f>
        <v>0</v>
      </c>
      <c r="BL126" s="21" t="s">
        <v>172</v>
      </c>
      <c r="BM126" s="21" t="s">
        <v>1113</v>
      </c>
    </row>
    <row r="127" spans="2:51" s="11" customFormat="1" ht="22.5" customHeight="1">
      <c r="B127" s="159"/>
      <c r="C127" s="160"/>
      <c r="D127" s="160"/>
      <c r="E127" s="161" t="s">
        <v>5</v>
      </c>
      <c r="F127" s="308" t="s">
        <v>1114</v>
      </c>
      <c r="G127" s="309"/>
      <c r="H127" s="309"/>
      <c r="I127" s="309"/>
      <c r="J127" s="160"/>
      <c r="K127" s="162">
        <v>150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179</v>
      </c>
      <c r="AU127" s="166" t="s">
        <v>135</v>
      </c>
      <c r="AV127" s="11" t="s">
        <v>135</v>
      </c>
      <c r="AW127" s="11" t="s">
        <v>35</v>
      </c>
      <c r="AX127" s="11" t="s">
        <v>21</v>
      </c>
      <c r="AY127" s="166" t="s">
        <v>167</v>
      </c>
    </row>
    <row r="128" spans="2:65" s="1" customFormat="1" ht="22.5" customHeight="1">
      <c r="B128" s="141"/>
      <c r="C128" s="142" t="s">
        <v>203</v>
      </c>
      <c r="D128" s="142" t="s">
        <v>168</v>
      </c>
      <c r="E128" s="143" t="s">
        <v>1108</v>
      </c>
      <c r="F128" s="293" t="s">
        <v>1109</v>
      </c>
      <c r="G128" s="293"/>
      <c r="H128" s="293"/>
      <c r="I128" s="293"/>
      <c r="J128" s="144" t="s">
        <v>199</v>
      </c>
      <c r="K128" s="145">
        <v>150</v>
      </c>
      <c r="L128" s="294"/>
      <c r="M128" s="294"/>
      <c r="N128" s="294">
        <f>ROUND(L128*K128,2)</f>
        <v>0</v>
      </c>
      <c r="O128" s="294"/>
      <c r="P128" s="294"/>
      <c r="Q128" s="294"/>
      <c r="R128" s="146"/>
      <c r="T128" s="147" t="s">
        <v>5</v>
      </c>
      <c r="U128" s="44" t="s">
        <v>43</v>
      </c>
      <c r="V128" s="148">
        <v>0.016</v>
      </c>
      <c r="W128" s="148">
        <f>V128*K128</f>
        <v>2.4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172</v>
      </c>
      <c r="AT128" s="21" t="s">
        <v>168</v>
      </c>
      <c r="AU128" s="21" t="s">
        <v>135</v>
      </c>
      <c r="AY128" s="21" t="s">
        <v>167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21</v>
      </c>
      <c r="BK128" s="150">
        <f>ROUND(L128*K128,2)</f>
        <v>0</v>
      </c>
      <c r="BL128" s="21" t="s">
        <v>172</v>
      </c>
      <c r="BM128" s="21" t="s">
        <v>1115</v>
      </c>
    </row>
    <row r="129" spans="2:65" s="1" customFormat="1" ht="22.5" customHeight="1">
      <c r="B129" s="141"/>
      <c r="C129" s="142" t="s">
        <v>207</v>
      </c>
      <c r="D129" s="142" t="s">
        <v>168</v>
      </c>
      <c r="E129" s="143" t="s">
        <v>1116</v>
      </c>
      <c r="F129" s="293" t="s">
        <v>1117</v>
      </c>
      <c r="G129" s="293"/>
      <c r="H129" s="293"/>
      <c r="I129" s="293"/>
      <c r="J129" s="144" t="s">
        <v>199</v>
      </c>
      <c r="K129" s="145">
        <v>30</v>
      </c>
      <c r="L129" s="294"/>
      <c r="M129" s="294"/>
      <c r="N129" s="294">
        <f>ROUND(L129*K129,2)</f>
        <v>0</v>
      </c>
      <c r="O129" s="294"/>
      <c r="P129" s="294"/>
      <c r="Q129" s="294"/>
      <c r="R129" s="146"/>
      <c r="T129" s="147" t="s">
        <v>5</v>
      </c>
      <c r="U129" s="44" t="s">
        <v>43</v>
      </c>
      <c r="V129" s="148">
        <v>0.019</v>
      </c>
      <c r="W129" s="148">
        <f>V129*K129</f>
        <v>0.57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172</v>
      </c>
      <c r="AT129" s="21" t="s">
        <v>168</v>
      </c>
      <c r="AU129" s="21" t="s">
        <v>135</v>
      </c>
      <c r="AY129" s="21" t="s">
        <v>167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21</v>
      </c>
      <c r="BK129" s="150">
        <f>ROUND(L129*K129,2)</f>
        <v>0</v>
      </c>
      <c r="BL129" s="21" t="s">
        <v>172</v>
      </c>
      <c r="BM129" s="21" t="s">
        <v>1118</v>
      </c>
    </row>
    <row r="130" spans="2:51" s="11" customFormat="1" ht="22.5" customHeight="1">
      <c r="B130" s="159"/>
      <c r="C130" s="160"/>
      <c r="D130" s="160"/>
      <c r="E130" s="161" t="s">
        <v>5</v>
      </c>
      <c r="F130" s="308" t="s">
        <v>1119</v>
      </c>
      <c r="G130" s="309"/>
      <c r="H130" s="309"/>
      <c r="I130" s="309"/>
      <c r="J130" s="160"/>
      <c r="K130" s="162">
        <v>30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179</v>
      </c>
      <c r="AU130" s="166" t="s">
        <v>135</v>
      </c>
      <c r="AV130" s="11" t="s">
        <v>135</v>
      </c>
      <c r="AW130" s="11" t="s">
        <v>35</v>
      </c>
      <c r="AX130" s="11" t="s">
        <v>21</v>
      </c>
      <c r="AY130" s="166" t="s">
        <v>167</v>
      </c>
    </row>
    <row r="131" spans="2:65" s="1" customFormat="1" ht="22.5" customHeight="1">
      <c r="B131" s="141"/>
      <c r="C131" s="142" t="s">
        <v>213</v>
      </c>
      <c r="D131" s="142" t="s">
        <v>168</v>
      </c>
      <c r="E131" s="143" t="s">
        <v>1120</v>
      </c>
      <c r="F131" s="293" t="s">
        <v>1121</v>
      </c>
      <c r="G131" s="293"/>
      <c r="H131" s="293"/>
      <c r="I131" s="293"/>
      <c r="J131" s="144" t="s">
        <v>199</v>
      </c>
      <c r="K131" s="145">
        <v>30</v>
      </c>
      <c r="L131" s="294"/>
      <c r="M131" s="294"/>
      <c r="N131" s="294">
        <f>ROUND(L131*K131,2)</f>
        <v>0</v>
      </c>
      <c r="O131" s="294"/>
      <c r="P131" s="294"/>
      <c r="Q131" s="294"/>
      <c r="R131" s="146"/>
      <c r="T131" s="147" t="s">
        <v>5</v>
      </c>
      <c r="U131" s="44" t="s">
        <v>43</v>
      </c>
      <c r="V131" s="148">
        <v>0.02</v>
      </c>
      <c r="W131" s="148">
        <f>V131*K131</f>
        <v>0.6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21" t="s">
        <v>172</v>
      </c>
      <c r="AT131" s="21" t="s">
        <v>168</v>
      </c>
      <c r="AU131" s="21" t="s">
        <v>135</v>
      </c>
      <c r="AY131" s="21" t="s">
        <v>167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21</v>
      </c>
      <c r="BK131" s="150">
        <f>ROUND(L131*K131,2)</f>
        <v>0</v>
      </c>
      <c r="BL131" s="21" t="s">
        <v>172</v>
      </c>
      <c r="BM131" s="21" t="s">
        <v>1122</v>
      </c>
    </row>
    <row r="132" spans="2:65" s="1" customFormat="1" ht="31.5" customHeight="1">
      <c r="B132" s="141"/>
      <c r="C132" s="142" t="s">
        <v>218</v>
      </c>
      <c r="D132" s="142" t="s">
        <v>168</v>
      </c>
      <c r="E132" s="143" t="s">
        <v>1123</v>
      </c>
      <c r="F132" s="293" t="s">
        <v>1124</v>
      </c>
      <c r="G132" s="293"/>
      <c r="H132" s="293"/>
      <c r="I132" s="293"/>
      <c r="J132" s="144" t="s">
        <v>199</v>
      </c>
      <c r="K132" s="145">
        <v>30</v>
      </c>
      <c r="L132" s="294"/>
      <c r="M132" s="294"/>
      <c r="N132" s="294">
        <f>ROUND(L132*K132,2)</f>
        <v>0</v>
      </c>
      <c r="O132" s="294"/>
      <c r="P132" s="294"/>
      <c r="Q132" s="294"/>
      <c r="R132" s="146"/>
      <c r="T132" s="147" t="s">
        <v>5</v>
      </c>
      <c r="U132" s="44" t="s">
        <v>43</v>
      </c>
      <c r="V132" s="148">
        <v>0.327</v>
      </c>
      <c r="W132" s="148">
        <f>V132*K132</f>
        <v>9.81</v>
      </c>
      <c r="X132" s="148">
        <v>0.04</v>
      </c>
      <c r="Y132" s="148">
        <f>X132*K132</f>
        <v>1.2</v>
      </c>
      <c r="Z132" s="148">
        <v>0</v>
      </c>
      <c r="AA132" s="149">
        <f>Z132*K132</f>
        <v>0</v>
      </c>
      <c r="AR132" s="21" t="s">
        <v>172</v>
      </c>
      <c r="AT132" s="21" t="s">
        <v>168</v>
      </c>
      <c r="AU132" s="21" t="s">
        <v>135</v>
      </c>
      <c r="AY132" s="21" t="s">
        <v>167</v>
      </c>
      <c r="BE132" s="150">
        <f>IF(U132="základní",N132,0)</f>
        <v>0</v>
      </c>
      <c r="BF132" s="150">
        <f>IF(U132="snížená",N132,0)</f>
        <v>0</v>
      </c>
      <c r="BG132" s="150">
        <f>IF(U132="zákl. přenesená",N132,0)</f>
        <v>0</v>
      </c>
      <c r="BH132" s="150">
        <f>IF(U132="sníž. přenesená",N132,0)</f>
        <v>0</v>
      </c>
      <c r="BI132" s="150">
        <f>IF(U132="nulová",N132,0)</f>
        <v>0</v>
      </c>
      <c r="BJ132" s="21" t="s">
        <v>21</v>
      </c>
      <c r="BK132" s="150">
        <f>ROUND(L132*K132,2)</f>
        <v>0</v>
      </c>
      <c r="BL132" s="21" t="s">
        <v>172</v>
      </c>
      <c r="BM132" s="21" t="s">
        <v>1125</v>
      </c>
    </row>
    <row r="133" spans="2:65" s="1" customFormat="1" ht="31.5" customHeight="1">
      <c r="B133" s="141"/>
      <c r="C133" s="178" t="s">
        <v>25</v>
      </c>
      <c r="D133" s="178" t="s">
        <v>317</v>
      </c>
      <c r="E133" s="179" t="s">
        <v>1126</v>
      </c>
      <c r="F133" s="313" t="s">
        <v>1127</v>
      </c>
      <c r="G133" s="313"/>
      <c r="H133" s="313"/>
      <c r="I133" s="313"/>
      <c r="J133" s="180" t="s">
        <v>199</v>
      </c>
      <c r="K133" s="181">
        <v>35</v>
      </c>
      <c r="L133" s="314"/>
      <c r="M133" s="314"/>
      <c r="N133" s="314">
        <f>ROUND(L133*K133,2)</f>
        <v>0</v>
      </c>
      <c r="O133" s="294"/>
      <c r="P133" s="294"/>
      <c r="Q133" s="294"/>
      <c r="R133" s="146"/>
      <c r="T133" s="147" t="s">
        <v>5</v>
      </c>
      <c r="U133" s="44" t="s">
        <v>43</v>
      </c>
      <c r="V133" s="148">
        <v>0</v>
      </c>
      <c r="W133" s="148">
        <f>V133*K133</f>
        <v>0</v>
      </c>
      <c r="X133" s="148">
        <v>0.0044</v>
      </c>
      <c r="Y133" s="148">
        <f>X133*K133</f>
        <v>0.154</v>
      </c>
      <c r="Z133" s="148">
        <v>0</v>
      </c>
      <c r="AA133" s="149">
        <f>Z133*K133</f>
        <v>0</v>
      </c>
      <c r="AR133" s="21" t="s">
        <v>213</v>
      </c>
      <c r="AT133" s="21" t="s">
        <v>317</v>
      </c>
      <c r="AU133" s="21" t="s">
        <v>135</v>
      </c>
      <c r="AY133" s="21" t="s">
        <v>167</v>
      </c>
      <c r="BE133" s="150">
        <f>IF(U133="základní",N133,0)</f>
        <v>0</v>
      </c>
      <c r="BF133" s="150">
        <f>IF(U133="snížená",N133,0)</f>
        <v>0</v>
      </c>
      <c r="BG133" s="150">
        <f>IF(U133="zákl. přenesená",N133,0)</f>
        <v>0</v>
      </c>
      <c r="BH133" s="150">
        <f>IF(U133="sníž. přenesená",N133,0)</f>
        <v>0</v>
      </c>
      <c r="BI133" s="150">
        <f>IF(U133="nulová",N133,0)</f>
        <v>0</v>
      </c>
      <c r="BJ133" s="21" t="s">
        <v>21</v>
      </c>
      <c r="BK133" s="150">
        <f>ROUND(L133*K133,2)</f>
        <v>0</v>
      </c>
      <c r="BL133" s="21" t="s">
        <v>172</v>
      </c>
      <c r="BM133" s="21" t="s">
        <v>1128</v>
      </c>
    </row>
    <row r="134" spans="2:63" s="9" customFormat="1" ht="29.85" customHeight="1">
      <c r="B134" s="130"/>
      <c r="C134" s="131"/>
      <c r="D134" s="140" t="s">
        <v>151</v>
      </c>
      <c r="E134" s="140"/>
      <c r="F134" s="140"/>
      <c r="G134" s="140"/>
      <c r="H134" s="140"/>
      <c r="I134" s="140"/>
      <c r="J134" s="140"/>
      <c r="K134" s="140"/>
      <c r="L134" s="140"/>
      <c r="M134" s="140"/>
      <c r="N134" s="310">
        <f>BK134</f>
        <v>0</v>
      </c>
      <c r="O134" s="311"/>
      <c r="P134" s="311"/>
      <c r="Q134" s="311"/>
      <c r="R134" s="133"/>
      <c r="T134" s="134"/>
      <c r="U134" s="131"/>
      <c r="V134" s="131"/>
      <c r="W134" s="135">
        <f>W135</f>
        <v>0.280192</v>
      </c>
      <c r="X134" s="131"/>
      <c r="Y134" s="135">
        <f>Y135</f>
        <v>0</v>
      </c>
      <c r="Z134" s="131"/>
      <c r="AA134" s="136">
        <f>AA135</f>
        <v>0</v>
      </c>
      <c r="AR134" s="137" t="s">
        <v>21</v>
      </c>
      <c r="AT134" s="138" t="s">
        <v>77</v>
      </c>
      <c r="AU134" s="138" t="s">
        <v>21</v>
      </c>
      <c r="AY134" s="137" t="s">
        <v>167</v>
      </c>
      <c r="BK134" s="139">
        <f>BK135</f>
        <v>0</v>
      </c>
    </row>
    <row r="135" spans="2:65" s="1" customFormat="1" ht="31.5" customHeight="1">
      <c r="B135" s="141"/>
      <c r="C135" s="142" t="s">
        <v>270</v>
      </c>
      <c r="D135" s="142" t="s">
        <v>168</v>
      </c>
      <c r="E135" s="143" t="s">
        <v>1129</v>
      </c>
      <c r="F135" s="293" t="s">
        <v>1130</v>
      </c>
      <c r="G135" s="293"/>
      <c r="H135" s="293"/>
      <c r="I135" s="293"/>
      <c r="J135" s="144" t="s">
        <v>210</v>
      </c>
      <c r="K135" s="145">
        <v>17.512</v>
      </c>
      <c r="L135" s="294"/>
      <c r="M135" s="294"/>
      <c r="N135" s="294">
        <f>ROUND(L135*K135,2)</f>
        <v>0</v>
      </c>
      <c r="O135" s="294"/>
      <c r="P135" s="294"/>
      <c r="Q135" s="294"/>
      <c r="R135" s="146"/>
      <c r="T135" s="147" t="s">
        <v>5</v>
      </c>
      <c r="U135" s="175" t="s">
        <v>43</v>
      </c>
      <c r="V135" s="176">
        <v>0.016</v>
      </c>
      <c r="W135" s="176">
        <f>V135*K135</f>
        <v>0.280192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1" t="s">
        <v>172</v>
      </c>
      <c r="AT135" s="21" t="s">
        <v>168</v>
      </c>
      <c r="AU135" s="21" t="s">
        <v>135</v>
      </c>
      <c r="AY135" s="21" t="s">
        <v>167</v>
      </c>
      <c r="BE135" s="150">
        <f>IF(U135="základní",N135,0)</f>
        <v>0</v>
      </c>
      <c r="BF135" s="150">
        <f>IF(U135="snížená",N135,0)</f>
        <v>0</v>
      </c>
      <c r="BG135" s="150">
        <f>IF(U135="zákl. přenesená",N135,0)</f>
        <v>0</v>
      </c>
      <c r="BH135" s="150">
        <f>IF(U135="sníž. přenesená",N135,0)</f>
        <v>0</v>
      </c>
      <c r="BI135" s="150">
        <f>IF(U135="nulová",N135,0)</f>
        <v>0</v>
      </c>
      <c r="BJ135" s="21" t="s">
        <v>21</v>
      </c>
      <c r="BK135" s="150">
        <f>ROUND(L135*K135,2)</f>
        <v>0</v>
      </c>
      <c r="BL135" s="21" t="s">
        <v>172</v>
      </c>
      <c r="BM135" s="21" t="s">
        <v>1131</v>
      </c>
    </row>
    <row r="136" spans="2:18" s="1" customFormat="1" ht="6.95" customHeight="1">
      <c r="B136" s="59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</sheetData>
  <mergeCells count="99">
    <mergeCell ref="H1:K1"/>
    <mergeCell ref="S2:AC2"/>
    <mergeCell ref="F135:I135"/>
    <mergeCell ref="L135:M135"/>
    <mergeCell ref="N135:Q135"/>
    <mergeCell ref="N113:Q113"/>
    <mergeCell ref="N114:Q114"/>
    <mergeCell ref="N115:Q115"/>
    <mergeCell ref="N117:Q117"/>
    <mergeCell ref="N134:Q134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F131:I131"/>
    <mergeCell ref="L131:M131"/>
    <mergeCell ref="N131:Q131"/>
    <mergeCell ref="F126:I126"/>
    <mergeCell ref="L126:M126"/>
    <mergeCell ref="N126:Q126"/>
    <mergeCell ref="F127:I127"/>
    <mergeCell ref="F128:I128"/>
    <mergeCell ref="L128:M128"/>
    <mergeCell ref="N128:Q128"/>
    <mergeCell ref="L123:M123"/>
    <mergeCell ref="N123:Q123"/>
    <mergeCell ref="F124:I124"/>
    <mergeCell ref="F125:I125"/>
    <mergeCell ref="L125:M125"/>
    <mergeCell ref="N125:Q125"/>
    <mergeCell ref="F119:I119"/>
    <mergeCell ref="F120:I120"/>
    <mergeCell ref="F121:I121"/>
    <mergeCell ref="F122:I122"/>
    <mergeCell ref="F123:I123"/>
    <mergeCell ref="F116:I116"/>
    <mergeCell ref="L116:M116"/>
    <mergeCell ref="N116:Q116"/>
    <mergeCell ref="F118:I118"/>
    <mergeCell ref="L118:M118"/>
    <mergeCell ref="N118:Q118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  <mergeCell ref="N90:Q90"/>
    <mergeCell ref="N91:Q91"/>
    <mergeCell ref="N92:Q92"/>
    <mergeCell ref="N94:Q94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N140"/>
  <sheetViews>
    <sheetView showGridLines="0" view="pageBreakPreview" zoomScale="95" zoomScaleSheetLayoutView="95" workbookViewId="0" topLeftCell="B1">
      <pane ySplit="1" topLeftCell="A100" activePane="bottomLeft" state="frozen"/>
      <selection pane="topLeft" activeCell="A2" sqref="A2"/>
      <selection pane="bottomLeft" activeCell="L106" sqref="L1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113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1132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N93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ROUNDUP((SUM(BE93:BE94)+SUM(BE112:BE139)),2)</f>
        <v>0</v>
      </c>
      <c r="I32" s="275"/>
      <c r="J32" s="275"/>
      <c r="K32" s="36"/>
      <c r="L32" s="36"/>
      <c r="M32" s="279">
        <f>ROUNDUP(ROUNDUP((SUM(BE93:BE94)+SUM(BE112:BE139)),2)*F32,1)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ROUNDUP((SUM(BF93:BF94)+SUM(BF112:BF139)),2)</f>
        <v>0</v>
      </c>
      <c r="I33" s="275"/>
      <c r="J33" s="275"/>
      <c r="K33" s="36"/>
      <c r="L33" s="36"/>
      <c r="M33" s="279">
        <f>ROUNDUP(ROUNDUP((SUM(BF93:BF94)+SUM(BF112:BF139)),2)*F33,1)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ROUNDUP((SUM(BG93:BG94)+SUM(BG112:BG139)),2)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ROUNDUP((SUM(BH93:BH94)+SUM(BH112:BH139)),2)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ROUNDUP((SUM(BI93:BI94)+SUM(BI112:BI139)),2)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SO.1.09 - Objekt ČOV - zemní práce a terénní úpravy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N112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N113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N114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226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N136</f>
        <v>0</v>
      </c>
      <c r="O91" s="288"/>
      <c r="P91" s="288"/>
      <c r="Q91" s="288"/>
      <c r="R91" s="120"/>
    </row>
    <row r="92" spans="2:18" s="1" customFormat="1" ht="21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7"/>
    </row>
    <row r="93" spans="2:21" s="1" customFormat="1" ht="29.25" customHeight="1">
      <c r="B93" s="35"/>
      <c r="C93" s="112" t="s">
        <v>152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284">
        <v>0</v>
      </c>
      <c r="O93" s="289"/>
      <c r="P93" s="289"/>
      <c r="Q93" s="289"/>
      <c r="R93" s="37"/>
      <c r="T93" s="121"/>
      <c r="U93" s="122" t="s">
        <v>42</v>
      </c>
    </row>
    <row r="94" spans="2:18" s="1" customFormat="1" ht="18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18" s="1" customFormat="1" ht="29.25" customHeight="1">
      <c r="B95" s="35"/>
      <c r="C95" s="103" t="s">
        <v>129</v>
      </c>
      <c r="D95" s="104"/>
      <c r="E95" s="104"/>
      <c r="F95" s="104"/>
      <c r="G95" s="104"/>
      <c r="H95" s="104"/>
      <c r="I95" s="104"/>
      <c r="J95" s="104"/>
      <c r="K95" s="104"/>
      <c r="L95" s="268">
        <f>ROUNDUP(SUM(N88+N93),2)</f>
        <v>0</v>
      </c>
      <c r="M95" s="268"/>
      <c r="N95" s="268"/>
      <c r="O95" s="268"/>
      <c r="P95" s="268"/>
      <c r="Q95" s="268"/>
      <c r="R95" s="37"/>
    </row>
    <row r="96" spans="2:18" s="1" customFormat="1" ht="6.95" customHeight="1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</row>
    <row r="100" spans="2:18" s="1" customFormat="1" ht="6.95" customHeight="1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</row>
    <row r="101" spans="2:18" s="1" customFormat="1" ht="36.95" customHeight="1">
      <c r="B101" s="35"/>
      <c r="C101" s="237" t="s">
        <v>153</v>
      </c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37"/>
    </row>
    <row r="102" spans="2:18" s="1" customFormat="1" ht="6.9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18" s="1" customFormat="1" ht="30" customHeight="1">
      <c r="B103" s="35"/>
      <c r="C103" s="32" t="s">
        <v>16</v>
      </c>
      <c r="D103" s="36"/>
      <c r="E103" s="36"/>
      <c r="F103" s="273" t="str">
        <f>F6</f>
        <v>ČOV a splašková kanalizace Žinkovy</v>
      </c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36"/>
      <c r="R103" s="37"/>
    </row>
    <row r="104" spans="2:18" s="1" customFormat="1" ht="36.95" customHeight="1">
      <c r="B104" s="35"/>
      <c r="C104" s="69" t="s">
        <v>137</v>
      </c>
      <c r="D104" s="36"/>
      <c r="E104" s="36"/>
      <c r="F104" s="254" t="str">
        <f>F7</f>
        <v>SO.1.09 - Objekt ČOV - zemní práce a terénní úpravy</v>
      </c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36"/>
      <c r="R104" s="37"/>
    </row>
    <row r="105" spans="2:18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18" customHeight="1">
      <c r="B106" s="35"/>
      <c r="C106" s="32" t="s">
        <v>22</v>
      </c>
      <c r="D106" s="36"/>
      <c r="E106" s="36"/>
      <c r="F106" s="30" t="str">
        <f>F9</f>
        <v>Žinkovy</v>
      </c>
      <c r="G106" s="36"/>
      <c r="H106" s="36"/>
      <c r="I106" s="36"/>
      <c r="J106" s="36"/>
      <c r="K106" s="32" t="s">
        <v>24</v>
      </c>
      <c r="L106" s="36"/>
      <c r="M106" s="276">
        <f>IF(O9="","",O9)</f>
        <v>42912</v>
      </c>
      <c r="N106" s="276"/>
      <c r="O106" s="276"/>
      <c r="P106" s="276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5">
      <c r="B108" s="35"/>
      <c r="C108" s="32" t="s">
        <v>27</v>
      </c>
      <c r="D108" s="36"/>
      <c r="E108" s="36"/>
      <c r="F108" s="30" t="str">
        <f>E12</f>
        <v>Obec Žinkovy</v>
      </c>
      <c r="G108" s="36"/>
      <c r="H108" s="36"/>
      <c r="I108" s="36"/>
      <c r="J108" s="36"/>
      <c r="K108" s="32" t="s">
        <v>33</v>
      </c>
      <c r="L108" s="36"/>
      <c r="M108" s="277" t="str">
        <f>E18</f>
        <v>PIK Vítek s.r.o.</v>
      </c>
      <c r="N108" s="277"/>
      <c r="O108" s="277"/>
      <c r="P108" s="277"/>
      <c r="Q108" s="277"/>
      <c r="R108" s="37"/>
    </row>
    <row r="109" spans="2:18" s="1" customFormat="1" ht="14.45" customHeight="1">
      <c r="B109" s="35"/>
      <c r="C109" s="32" t="s">
        <v>31</v>
      </c>
      <c r="D109" s="36"/>
      <c r="E109" s="36"/>
      <c r="F109" s="30" t="str">
        <f>IF(E15="","",E15)</f>
        <v xml:space="preserve"> </v>
      </c>
      <c r="G109" s="36"/>
      <c r="H109" s="36"/>
      <c r="I109" s="36"/>
      <c r="J109" s="36"/>
      <c r="K109" s="32" t="s">
        <v>36</v>
      </c>
      <c r="L109" s="36"/>
      <c r="M109" s="277" t="str">
        <f>E21</f>
        <v>Acrone s.r.o.</v>
      </c>
      <c r="N109" s="277"/>
      <c r="O109" s="277"/>
      <c r="P109" s="277"/>
      <c r="Q109" s="277"/>
      <c r="R109" s="37"/>
    </row>
    <row r="110" spans="2:18" s="1" customFormat="1" ht="10.3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7" s="8" customFormat="1" ht="29.25" customHeight="1">
      <c r="B111" s="123"/>
      <c r="C111" s="124" t="s">
        <v>154</v>
      </c>
      <c r="D111" s="125" t="s">
        <v>155</v>
      </c>
      <c r="E111" s="125" t="s">
        <v>60</v>
      </c>
      <c r="F111" s="290" t="s">
        <v>156</v>
      </c>
      <c r="G111" s="290"/>
      <c r="H111" s="290"/>
      <c r="I111" s="290"/>
      <c r="J111" s="125" t="s">
        <v>157</v>
      </c>
      <c r="K111" s="125" t="s">
        <v>158</v>
      </c>
      <c r="L111" s="291" t="s">
        <v>159</v>
      </c>
      <c r="M111" s="291"/>
      <c r="N111" s="290" t="s">
        <v>144</v>
      </c>
      <c r="O111" s="290"/>
      <c r="P111" s="290"/>
      <c r="Q111" s="292"/>
      <c r="R111" s="126"/>
      <c r="T111" s="76" t="s">
        <v>160</v>
      </c>
      <c r="U111" s="77" t="s">
        <v>42</v>
      </c>
      <c r="V111" s="77" t="s">
        <v>161</v>
      </c>
      <c r="W111" s="77" t="s">
        <v>162</v>
      </c>
      <c r="X111" s="77" t="s">
        <v>163</v>
      </c>
      <c r="Y111" s="77" t="s">
        <v>164</v>
      </c>
      <c r="Z111" s="77" t="s">
        <v>165</v>
      </c>
      <c r="AA111" s="78" t="s">
        <v>166</v>
      </c>
    </row>
    <row r="112" spans="2:63" s="1" customFormat="1" ht="29.25" customHeight="1">
      <c r="B112" s="35"/>
      <c r="C112" s="80" t="s">
        <v>140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295">
        <f>BK112</f>
        <v>0</v>
      </c>
      <c r="O112" s="296"/>
      <c r="P112" s="296"/>
      <c r="Q112" s="296"/>
      <c r="R112" s="37"/>
      <c r="T112" s="79"/>
      <c r="U112" s="51"/>
      <c r="V112" s="51"/>
      <c r="W112" s="127">
        <f>W113</f>
        <v>435.5596</v>
      </c>
      <c r="X112" s="51"/>
      <c r="Y112" s="127">
        <f>Y113</f>
        <v>11.528052</v>
      </c>
      <c r="Z112" s="51"/>
      <c r="AA112" s="128">
        <f>AA113</f>
        <v>0</v>
      </c>
      <c r="AT112" s="21" t="s">
        <v>77</v>
      </c>
      <c r="AU112" s="21" t="s">
        <v>146</v>
      </c>
      <c r="BK112" s="129">
        <f>BK113</f>
        <v>0</v>
      </c>
    </row>
    <row r="113" spans="2:63" s="9" customFormat="1" ht="37.35" customHeight="1">
      <c r="B113" s="130"/>
      <c r="C113" s="131"/>
      <c r="D113" s="132" t="s">
        <v>147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297">
        <f>BK113</f>
        <v>0</v>
      </c>
      <c r="O113" s="285"/>
      <c r="P113" s="285"/>
      <c r="Q113" s="285"/>
      <c r="R113" s="133"/>
      <c r="T113" s="134"/>
      <c r="U113" s="131"/>
      <c r="V113" s="131"/>
      <c r="W113" s="135">
        <f>W114+W136</f>
        <v>435.5596</v>
      </c>
      <c r="X113" s="131"/>
      <c r="Y113" s="135">
        <f>Y114+Y136</f>
        <v>11.528052</v>
      </c>
      <c r="Z113" s="131"/>
      <c r="AA113" s="136">
        <f>AA114+AA136</f>
        <v>0</v>
      </c>
      <c r="AR113" s="137" t="s">
        <v>21</v>
      </c>
      <c r="AT113" s="138" t="s">
        <v>77</v>
      </c>
      <c r="AU113" s="138" t="s">
        <v>78</v>
      </c>
      <c r="AY113" s="137" t="s">
        <v>167</v>
      </c>
      <c r="BK113" s="139">
        <f>BK114+BK136</f>
        <v>0</v>
      </c>
    </row>
    <row r="114" spans="2:63" s="9" customFormat="1" ht="19.9" customHeight="1">
      <c r="B114" s="130"/>
      <c r="C114" s="131"/>
      <c r="D114" s="140" t="s">
        <v>148</v>
      </c>
      <c r="E114" s="140"/>
      <c r="F114" s="140"/>
      <c r="G114" s="140"/>
      <c r="H114" s="140"/>
      <c r="I114" s="140"/>
      <c r="J114" s="140"/>
      <c r="K114" s="140"/>
      <c r="L114" s="140"/>
      <c r="M114" s="140"/>
      <c r="N114" s="298">
        <f>BK114</f>
        <v>0</v>
      </c>
      <c r="O114" s="299"/>
      <c r="P114" s="299"/>
      <c r="Q114" s="299"/>
      <c r="R114" s="133"/>
      <c r="T114" s="134"/>
      <c r="U114" s="131"/>
      <c r="V114" s="131"/>
      <c r="W114" s="135">
        <f>SUM(W115:W135)</f>
        <v>394.75</v>
      </c>
      <c r="X114" s="131"/>
      <c r="Y114" s="135">
        <f>SUM(Y115:Y135)</f>
        <v>0.01026</v>
      </c>
      <c r="Z114" s="131"/>
      <c r="AA114" s="136">
        <f>SUM(AA115:AA135)</f>
        <v>0</v>
      </c>
      <c r="AR114" s="137" t="s">
        <v>21</v>
      </c>
      <c r="AT114" s="138" t="s">
        <v>77</v>
      </c>
      <c r="AU114" s="138" t="s">
        <v>21</v>
      </c>
      <c r="AY114" s="137" t="s">
        <v>167</v>
      </c>
      <c r="BK114" s="139">
        <f>SUM(BK115:BK135)</f>
        <v>0</v>
      </c>
    </row>
    <row r="115" spans="2:65" s="1" customFormat="1" ht="31.5" customHeight="1">
      <c r="B115" s="141"/>
      <c r="C115" s="142" t="s">
        <v>21</v>
      </c>
      <c r="D115" s="142" t="s">
        <v>168</v>
      </c>
      <c r="E115" s="143" t="s">
        <v>1133</v>
      </c>
      <c r="F115" s="293" t="s">
        <v>1134</v>
      </c>
      <c r="G115" s="293"/>
      <c r="H115" s="293"/>
      <c r="I115" s="293"/>
      <c r="J115" s="144" t="s">
        <v>176</v>
      </c>
      <c r="K115" s="145">
        <v>1050</v>
      </c>
      <c r="L115" s="294"/>
      <c r="M115" s="294"/>
      <c r="N115" s="294">
        <f>ROUND(L115*K115,2)</f>
        <v>0</v>
      </c>
      <c r="O115" s="294"/>
      <c r="P115" s="294"/>
      <c r="Q115" s="294"/>
      <c r="R115" s="146"/>
      <c r="T115" s="147" t="s">
        <v>5</v>
      </c>
      <c r="U115" s="44" t="s">
        <v>43</v>
      </c>
      <c r="V115" s="148">
        <v>0.062</v>
      </c>
      <c r="W115" s="148">
        <f>V115*K115</f>
        <v>65.1</v>
      </c>
      <c r="X115" s="148">
        <v>0</v>
      </c>
      <c r="Y115" s="148">
        <f>X115*K115</f>
        <v>0</v>
      </c>
      <c r="Z115" s="148">
        <v>0</v>
      </c>
      <c r="AA115" s="149">
        <f>Z115*K115</f>
        <v>0</v>
      </c>
      <c r="AR115" s="21" t="s">
        <v>172</v>
      </c>
      <c r="AT115" s="21" t="s">
        <v>168</v>
      </c>
      <c r="AU115" s="21" t="s">
        <v>135</v>
      </c>
      <c r="AY115" s="21" t="s">
        <v>167</v>
      </c>
      <c r="BE115" s="150">
        <f>IF(U115="základní",N115,0)</f>
        <v>0</v>
      </c>
      <c r="BF115" s="150">
        <f>IF(U115="snížená",N115,0)</f>
        <v>0</v>
      </c>
      <c r="BG115" s="150">
        <f>IF(U115="zákl. přenesená",N115,0)</f>
        <v>0</v>
      </c>
      <c r="BH115" s="150">
        <f>IF(U115="sníž. přenesená",N115,0)</f>
        <v>0</v>
      </c>
      <c r="BI115" s="150">
        <f>IF(U115="nulová",N115,0)</f>
        <v>0</v>
      </c>
      <c r="BJ115" s="21" t="s">
        <v>21</v>
      </c>
      <c r="BK115" s="150">
        <f>ROUND(L115*K115,2)</f>
        <v>0</v>
      </c>
      <c r="BL115" s="21" t="s">
        <v>172</v>
      </c>
      <c r="BM115" s="21" t="s">
        <v>1135</v>
      </c>
    </row>
    <row r="116" spans="2:65" s="1" customFormat="1" ht="22.5" customHeight="1">
      <c r="B116" s="141"/>
      <c r="C116" s="142" t="s">
        <v>135</v>
      </c>
      <c r="D116" s="142" t="s">
        <v>168</v>
      </c>
      <c r="E116" s="143" t="s">
        <v>1136</v>
      </c>
      <c r="F116" s="293" t="s">
        <v>1137</v>
      </c>
      <c r="G116" s="293"/>
      <c r="H116" s="293"/>
      <c r="I116" s="293"/>
      <c r="J116" s="144" t="s">
        <v>199</v>
      </c>
      <c r="K116" s="145">
        <v>700</v>
      </c>
      <c r="L116" s="294"/>
      <c r="M116" s="294"/>
      <c r="N116" s="294">
        <f>ROUND(L116*K116,2)</f>
        <v>0</v>
      </c>
      <c r="O116" s="294"/>
      <c r="P116" s="294"/>
      <c r="Q116" s="294"/>
      <c r="R116" s="146"/>
      <c r="T116" s="147" t="s">
        <v>5</v>
      </c>
      <c r="U116" s="44" t="s">
        <v>43</v>
      </c>
      <c r="V116" s="148">
        <v>0.018</v>
      </c>
      <c r="W116" s="148">
        <f>V116*K116</f>
        <v>12.6</v>
      </c>
      <c r="X116" s="148">
        <v>0</v>
      </c>
      <c r="Y116" s="148">
        <f>X116*K116</f>
        <v>0</v>
      </c>
      <c r="Z116" s="148">
        <v>0</v>
      </c>
      <c r="AA116" s="149">
        <f>Z116*K116</f>
        <v>0</v>
      </c>
      <c r="AR116" s="21" t="s">
        <v>172</v>
      </c>
      <c r="AT116" s="21" t="s">
        <v>168</v>
      </c>
      <c r="AU116" s="21" t="s">
        <v>135</v>
      </c>
      <c r="AY116" s="21" t="s">
        <v>167</v>
      </c>
      <c r="BE116" s="150">
        <f>IF(U116="základní",N116,0)</f>
        <v>0</v>
      </c>
      <c r="BF116" s="150">
        <f>IF(U116="snížená",N116,0)</f>
        <v>0</v>
      </c>
      <c r="BG116" s="150">
        <f>IF(U116="zákl. přenesená",N116,0)</f>
        <v>0</v>
      </c>
      <c r="BH116" s="150">
        <f>IF(U116="sníž. přenesená",N116,0)</f>
        <v>0</v>
      </c>
      <c r="BI116" s="150">
        <f>IF(U116="nulová",N116,0)</f>
        <v>0</v>
      </c>
      <c r="BJ116" s="21" t="s">
        <v>21</v>
      </c>
      <c r="BK116" s="150">
        <f>ROUND(L116*K116,2)</f>
        <v>0</v>
      </c>
      <c r="BL116" s="21" t="s">
        <v>172</v>
      </c>
      <c r="BM116" s="21" t="s">
        <v>1138</v>
      </c>
    </row>
    <row r="117" spans="2:51" s="11" customFormat="1" ht="22.5" customHeight="1">
      <c r="B117" s="159"/>
      <c r="C117" s="160"/>
      <c r="D117" s="160"/>
      <c r="E117" s="161" t="s">
        <v>5</v>
      </c>
      <c r="F117" s="308" t="s">
        <v>1139</v>
      </c>
      <c r="G117" s="309"/>
      <c r="H117" s="309"/>
      <c r="I117" s="309"/>
      <c r="J117" s="160"/>
      <c r="K117" s="162">
        <v>700</v>
      </c>
      <c r="L117" s="160"/>
      <c r="M117" s="160"/>
      <c r="N117" s="160"/>
      <c r="O117" s="160"/>
      <c r="P117" s="160"/>
      <c r="Q117" s="160"/>
      <c r="R117" s="163"/>
      <c r="T117" s="164"/>
      <c r="U117" s="160"/>
      <c r="V117" s="160"/>
      <c r="W117" s="160"/>
      <c r="X117" s="160"/>
      <c r="Y117" s="160"/>
      <c r="Z117" s="160"/>
      <c r="AA117" s="165"/>
      <c r="AT117" s="166" t="s">
        <v>179</v>
      </c>
      <c r="AU117" s="166" t="s">
        <v>135</v>
      </c>
      <c r="AV117" s="11" t="s">
        <v>135</v>
      </c>
      <c r="AW117" s="11" t="s">
        <v>35</v>
      </c>
      <c r="AX117" s="11" t="s">
        <v>21</v>
      </c>
      <c r="AY117" s="166" t="s">
        <v>167</v>
      </c>
    </row>
    <row r="118" spans="2:65" s="1" customFormat="1" ht="31.5" customHeight="1">
      <c r="B118" s="141"/>
      <c r="C118" s="142" t="s">
        <v>184</v>
      </c>
      <c r="D118" s="142" t="s">
        <v>168</v>
      </c>
      <c r="E118" s="143" t="s">
        <v>1140</v>
      </c>
      <c r="F118" s="293" t="s">
        <v>1141</v>
      </c>
      <c r="G118" s="293"/>
      <c r="H118" s="293"/>
      <c r="I118" s="293"/>
      <c r="J118" s="144" t="s">
        <v>176</v>
      </c>
      <c r="K118" s="145">
        <v>180</v>
      </c>
      <c r="L118" s="294"/>
      <c r="M118" s="294"/>
      <c r="N118" s="294">
        <f>ROUND(L118*K118,2)</f>
        <v>0</v>
      </c>
      <c r="O118" s="294"/>
      <c r="P118" s="294"/>
      <c r="Q118" s="294"/>
      <c r="R118" s="146"/>
      <c r="T118" s="147" t="s">
        <v>5</v>
      </c>
      <c r="U118" s="44" t="s">
        <v>43</v>
      </c>
      <c r="V118" s="148">
        <v>0.013</v>
      </c>
      <c r="W118" s="148">
        <f>V118*K118</f>
        <v>2.34</v>
      </c>
      <c r="X118" s="148">
        <v>0</v>
      </c>
      <c r="Y118" s="148">
        <f>X118*K118</f>
        <v>0</v>
      </c>
      <c r="Z118" s="148">
        <v>0</v>
      </c>
      <c r="AA118" s="149">
        <f>Z118*K118</f>
        <v>0</v>
      </c>
      <c r="AR118" s="21" t="s">
        <v>172</v>
      </c>
      <c r="AT118" s="21" t="s">
        <v>168</v>
      </c>
      <c r="AU118" s="21" t="s">
        <v>135</v>
      </c>
      <c r="AY118" s="21" t="s">
        <v>167</v>
      </c>
      <c r="BE118" s="150">
        <f>IF(U118="základní",N118,0)</f>
        <v>0</v>
      </c>
      <c r="BF118" s="150">
        <f>IF(U118="snížená",N118,0)</f>
        <v>0</v>
      </c>
      <c r="BG118" s="150">
        <f>IF(U118="zákl. přenesená",N118,0)</f>
        <v>0</v>
      </c>
      <c r="BH118" s="150">
        <f>IF(U118="sníž. přenesená",N118,0)</f>
        <v>0</v>
      </c>
      <c r="BI118" s="150">
        <f>IF(U118="nulová",N118,0)</f>
        <v>0</v>
      </c>
      <c r="BJ118" s="21" t="s">
        <v>21</v>
      </c>
      <c r="BK118" s="150">
        <f>ROUND(L118*K118,2)</f>
        <v>0</v>
      </c>
      <c r="BL118" s="21" t="s">
        <v>172</v>
      </c>
      <c r="BM118" s="21" t="s">
        <v>1142</v>
      </c>
    </row>
    <row r="119" spans="2:51" s="11" customFormat="1" ht="22.5" customHeight="1">
      <c r="B119" s="159"/>
      <c r="C119" s="160"/>
      <c r="D119" s="160"/>
      <c r="E119" s="161" t="s">
        <v>5</v>
      </c>
      <c r="F119" s="308" t="s">
        <v>1143</v>
      </c>
      <c r="G119" s="309"/>
      <c r="H119" s="309"/>
      <c r="I119" s="309"/>
      <c r="J119" s="160"/>
      <c r="K119" s="162">
        <v>180</v>
      </c>
      <c r="L119" s="160"/>
      <c r="M119" s="160"/>
      <c r="N119" s="160"/>
      <c r="O119" s="160"/>
      <c r="P119" s="160"/>
      <c r="Q119" s="160"/>
      <c r="R119" s="163"/>
      <c r="T119" s="164"/>
      <c r="U119" s="160"/>
      <c r="V119" s="160"/>
      <c r="W119" s="160"/>
      <c r="X119" s="160"/>
      <c r="Y119" s="160"/>
      <c r="Z119" s="160"/>
      <c r="AA119" s="165"/>
      <c r="AT119" s="166" t="s">
        <v>179</v>
      </c>
      <c r="AU119" s="166" t="s">
        <v>135</v>
      </c>
      <c r="AV119" s="11" t="s">
        <v>135</v>
      </c>
      <c r="AW119" s="11" t="s">
        <v>35</v>
      </c>
      <c r="AX119" s="11" t="s">
        <v>21</v>
      </c>
      <c r="AY119" s="166" t="s">
        <v>167</v>
      </c>
    </row>
    <row r="120" spans="2:65" s="1" customFormat="1" ht="31.5" customHeight="1">
      <c r="B120" s="141"/>
      <c r="C120" s="142" t="s">
        <v>172</v>
      </c>
      <c r="D120" s="142" t="s">
        <v>168</v>
      </c>
      <c r="E120" s="143" t="s">
        <v>248</v>
      </c>
      <c r="F120" s="293" t="s">
        <v>249</v>
      </c>
      <c r="G120" s="293"/>
      <c r="H120" s="293"/>
      <c r="I120" s="293"/>
      <c r="J120" s="144" t="s">
        <v>176</v>
      </c>
      <c r="K120" s="145">
        <v>1050</v>
      </c>
      <c r="L120" s="294"/>
      <c r="M120" s="294"/>
      <c r="N120" s="294">
        <f>ROUND(L120*K120,2)</f>
        <v>0</v>
      </c>
      <c r="O120" s="294"/>
      <c r="P120" s="294"/>
      <c r="Q120" s="294"/>
      <c r="R120" s="146"/>
      <c r="T120" s="147" t="s">
        <v>5</v>
      </c>
      <c r="U120" s="44" t="s">
        <v>43</v>
      </c>
      <c r="V120" s="148">
        <v>0.097</v>
      </c>
      <c r="W120" s="148">
        <f>V120*K120</f>
        <v>101.85000000000001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172</v>
      </c>
      <c r="AT120" s="21" t="s">
        <v>168</v>
      </c>
      <c r="AU120" s="21" t="s">
        <v>135</v>
      </c>
      <c r="AY120" s="21" t="s">
        <v>167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21</v>
      </c>
      <c r="BK120" s="150">
        <f>ROUND(L120*K120,2)</f>
        <v>0</v>
      </c>
      <c r="BL120" s="21" t="s">
        <v>172</v>
      </c>
      <c r="BM120" s="21" t="s">
        <v>1144</v>
      </c>
    </row>
    <row r="121" spans="2:51" s="10" customFormat="1" ht="22.5" customHeight="1">
      <c r="B121" s="151"/>
      <c r="C121" s="152"/>
      <c r="D121" s="152"/>
      <c r="E121" s="153" t="s">
        <v>5</v>
      </c>
      <c r="F121" s="300" t="s">
        <v>1145</v>
      </c>
      <c r="G121" s="301"/>
      <c r="H121" s="301"/>
      <c r="I121" s="301"/>
      <c r="J121" s="152"/>
      <c r="K121" s="154" t="s">
        <v>5</v>
      </c>
      <c r="L121" s="152"/>
      <c r="M121" s="152"/>
      <c r="N121" s="152"/>
      <c r="O121" s="152"/>
      <c r="P121" s="152"/>
      <c r="Q121" s="152"/>
      <c r="R121" s="155"/>
      <c r="T121" s="156"/>
      <c r="U121" s="152"/>
      <c r="V121" s="152"/>
      <c r="W121" s="152"/>
      <c r="X121" s="152"/>
      <c r="Y121" s="152"/>
      <c r="Z121" s="152"/>
      <c r="AA121" s="157"/>
      <c r="AT121" s="158" t="s">
        <v>179</v>
      </c>
      <c r="AU121" s="158" t="s">
        <v>135</v>
      </c>
      <c r="AV121" s="10" t="s">
        <v>21</v>
      </c>
      <c r="AW121" s="10" t="s">
        <v>35</v>
      </c>
      <c r="AX121" s="10" t="s">
        <v>78</v>
      </c>
      <c r="AY121" s="158" t="s">
        <v>167</v>
      </c>
    </row>
    <row r="122" spans="2:51" s="11" customFormat="1" ht="22.5" customHeight="1">
      <c r="B122" s="159"/>
      <c r="C122" s="160"/>
      <c r="D122" s="160"/>
      <c r="E122" s="161" t="s">
        <v>5</v>
      </c>
      <c r="F122" s="302" t="s">
        <v>1146</v>
      </c>
      <c r="G122" s="303"/>
      <c r="H122" s="303"/>
      <c r="I122" s="303"/>
      <c r="J122" s="160"/>
      <c r="K122" s="162">
        <v>1050</v>
      </c>
      <c r="L122" s="160"/>
      <c r="M122" s="160"/>
      <c r="N122" s="160"/>
      <c r="O122" s="160"/>
      <c r="P122" s="160"/>
      <c r="Q122" s="160"/>
      <c r="R122" s="163"/>
      <c r="T122" s="164"/>
      <c r="U122" s="160"/>
      <c r="V122" s="160"/>
      <c r="W122" s="160"/>
      <c r="X122" s="160"/>
      <c r="Y122" s="160"/>
      <c r="Z122" s="160"/>
      <c r="AA122" s="165"/>
      <c r="AT122" s="166" t="s">
        <v>179</v>
      </c>
      <c r="AU122" s="166" t="s">
        <v>135</v>
      </c>
      <c r="AV122" s="11" t="s">
        <v>135</v>
      </c>
      <c r="AW122" s="11" t="s">
        <v>35</v>
      </c>
      <c r="AX122" s="11" t="s">
        <v>21</v>
      </c>
      <c r="AY122" s="166" t="s">
        <v>167</v>
      </c>
    </row>
    <row r="123" spans="2:65" s="1" customFormat="1" ht="31.5" customHeight="1">
      <c r="B123" s="141"/>
      <c r="C123" s="142" t="s">
        <v>196</v>
      </c>
      <c r="D123" s="142" t="s">
        <v>168</v>
      </c>
      <c r="E123" s="143" t="s">
        <v>251</v>
      </c>
      <c r="F123" s="293" t="s">
        <v>515</v>
      </c>
      <c r="G123" s="293"/>
      <c r="H123" s="293"/>
      <c r="I123" s="293"/>
      <c r="J123" s="144" t="s">
        <v>176</v>
      </c>
      <c r="K123" s="145">
        <v>1050</v>
      </c>
      <c r="L123" s="294"/>
      <c r="M123" s="294"/>
      <c r="N123" s="294">
        <f>ROUND(L123*K123,2)</f>
        <v>0</v>
      </c>
      <c r="O123" s="294"/>
      <c r="P123" s="294"/>
      <c r="Q123" s="294"/>
      <c r="R123" s="146"/>
      <c r="T123" s="147" t="s">
        <v>5</v>
      </c>
      <c r="U123" s="44" t="s">
        <v>43</v>
      </c>
      <c r="V123" s="148">
        <v>0.044</v>
      </c>
      <c r="W123" s="148">
        <f>V123*K123</f>
        <v>46.199999999999996</v>
      </c>
      <c r="X123" s="148">
        <v>0</v>
      </c>
      <c r="Y123" s="148">
        <f>X123*K123</f>
        <v>0</v>
      </c>
      <c r="Z123" s="148">
        <v>0</v>
      </c>
      <c r="AA123" s="149">
        <f>Z123*K123</f>
        <v>0</v>
      </c>
      <c r="AR123" s="21" t="s">
        <v>172</v>
      </c>
      <c r="AT123" s="21" t="s">
        <v>168</v>
      </c>
      <c r="AU123" s="21" t="s">
        <v>135</v>
      </c>
      <c r="AY123" s="21" t="s">
        <v>167</v>
      </c>
      <c r="BE123" s="150">
        <f>IF(U123="základní",N123,0)</f>
        <v>0</v>
      </c>
      <c r="BF123" s="150">
        <f>IF(U123="snížená",N123,0)</f>
        <v>0</v>
      </c>
      <c r="BG123" s="150">
        <f>IF(U123="zákl. přenesená",N123,0)</f>
        <v>0</v>
      </c>
      <c r="BH123" s="150">
        <f>IF(U123="sníž. přenesená",N123,0)</f>
        <v>0</v>
      </c>
      <c r="BI123" s="150">
        <f>IF(U123="nulová",N123,0)</f>
        <v>0</v>
      </c>
      <c r="BJ123" s="21" t="s">
        <v>21</v>
      </c>
      <c r="BK123" s="150">
        <f>ROUND(L123*K123,2)</f>
        <v>0</v>
      </c>
      <c r="BL123" s="21" t="s">
        <v>172</v>
      </c>
      <c r="BM123" s="21" t="s">
        <v>1147</v>
      </c>
    </row>
    <row r="124" spans="2:65" s="1" customFormat="1" ht="31.5" customHeight="1">
      <c r="B124" s="141"/>
      <c r="C124" s="142" t="s">
        <v>203</v>
      </c>
      <c r="D124" s="142" t="s">
        <v>168</v>
      </c>
      <c r="E124" s="143" t="s">
        <v>1148</v>
      </c>
      <c r="F124" s="293" t="s">
        <v>1149</v>
      </c>
      <c r="G124" s="293"/>
      <c r="H124" s="293"/>
      <c r="I124" s="293"/>
      <c r="J124" s="144" t="s">
        <v>199</v>
      </c>
      <c r="K124" s="145">
        <v>850</v>
      </c>
      <c r="L124" s="294"/>
      <c r="M124" s="294"/>
      <c r="N124" s="294">
        <f>ROUND(L124*K124,2)</f>
        <v>0</v>
      </c>
      <c r="O124" s="294"/>
      <c r="P124" s="294"/>
      <c r="Q124" s="294"/>
      <c r="R124" s="146"/>
      <c r="T124" s="147" t="s">
        <v>5</v>
      </c>
      <c r="U124" s="44" t="s">
        <v>43</v>
      </c>
      <c r="V124" s="148">
        <v>0.019</v>
      </c>
      <c r="W124" s="148">
        <f>V124*K124</f>
        <v>16.15</v>
      </c>
      <c r="X124" s="148">
        <v>0</v>
      </c>
      <c r="Y124" s="148">
        <f>X124*K124</f>
        <v>0</v>
      </c>
      <c r="Z124" s="148">
        <v>0</v>
      </c>
      <c r="AA124" s="149">
        <f>Z124*K124</f>
        <v>0</v>
      </c>
      <c r="AR124" s="21" t="s">
        <v>172</v>
      </c>
      <c r="AT124" s="21" t="s">
        <v>168</v>
      </c>
      <c r="AU124" s="21" t="s">
        <v>135</v>
      </c>
      <c r="AY124" s="21" t="s">
        <v>167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21</v>
      </c>
      <c r="BK124" s="150">
        <f>ROUND(L124*K124,2)</f>
        <v>0</v>
      </c>
      <c r="BL124" s="21" t="s">
        <v>172</v>
      </c>
      <c r="BM124" s="21" t="s">
        <v>1150</v>
      </c>
    </row>
    <row r="125" spans="2:51" s="11" customFormat="1" ht="22.5" customHeight="1">
      <c r="B125" s="159"/>
      <c r="C125" s="160"/>
      <c r="D125" s="160"/>
      <c r="E125" s="161" t="s">
        <v>5</v>
      </c>
      <c r="F125" s="308" t="s">
        <v>1151</v>
      </c>
      <c r="G125" s="309"/>
      <c r="H125" s="309"/>
      <c r="I125" s="309"/>
      <c r="J125" s="160"/>
      <c r="K125" s="162">
        <v>850</v>
      </c>
      <c r="L125" s="160"/>
      <c r="M125" s="160"/>
      <c r="N125" s="160"/>
      <c r="O125" s="160"/>
      <c r="P125" s="160"/>
      <c r="Q125" s="160"/>
      <c r="R125" s="163"/>
      <c r="T125" s="164"/>
      <c r="U125" s="160"/>
      <c r="V125" s="160"/>
      <c r="W125" s="160"/>
      <c r="X125" s="160"/>
      <c r="Y125" s="160"/>
      <c r="Z125" s="160"/>
      <c r="AA125" s="165"/>
      <c r="AT125" s="166" t="s">
        <v>179</v>
      </c>
      <c r="AU125" s="166" t="s">
        <v>135</v>
      </c>
      <c r="AV125" s="11" t="s">
        <v>135</v>
      </c>
      <c r="AW125" s="11" t="s">
        <v>35</v>
      </c>
      <c r="AX125" s="11" t="s">
        <v>21</v>
      </c>
      <c r="AY125" s="166" t="s">
        <v>167</v>
      </c>
    </row>
    <row r="126" spans="2:65" s="1" customFormat="1" ht="44.25" customHeight="1">
      <c r="B126" s="141"/>
      <c r="C126" s="142" t="s">
        <v>207</v>
      </c>
      <c r="D126" s="142" t="s">
        <v>168</v>
      </c>
      <c r="E126" s="143" t="s">
        <v>1152</v>
      </c>
      <c r="F126" s="293" t="s">
        <v>1153</v>
      </c>
      <c r="G126" s="293"/>
      <c r="H126" s="293"/>
      <c r="I126" s="293"/>
      <c r="J126" s="144" t="s">
        <v>199</v>
      </c>
      <c r="K126" s="145">
        <v>850</v>
      </c>
      <c r="L126" s="294"/>
      <c r="M126" s="294"/>
      <c r="N126" s="294">
        <f>ROUND(L126*K126,2)</f>
        <v>0</v>
      </c>
      <c r="O126" s="294"/>
      <c r="P126" s="294"/>
      <c r="Q126" s="294"/>
      <c r="R126" s="146"/>
      <c r="T126" s="147" t="s">
        <v>5</v>
      </c>
      <c r="U126" s="44" t="s">
        <v>43</v>
      </c>
      <c r="V126" s="148">
        <v>0.09</v>
      </c>
      <c r="W126" s="148">
        <f>V126*K126</f>
        <v>76.5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172</v>
      </c>
      <c r="AT126" s="21" t="s">
        <v>168</v>
      </c>
      <c r="AU126" s="21" t="s">
        <v>135</v>
      </c>
      <c r="AY126" s="21" t="s">
        <v>167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21</v>
      </c>
      <c r="BK126" s="150">
        <f>ROUND(L126*K126,2)</f>
        <v>0</v>
      </c>
      <c r="BL126" s="21" t="s">
        <v>172</v>
      </c>
      <c r="BM126" s="21" t="s">
        <v>1154</v>
      </c>
    </row>
    <row r="127" spans="2:51" s="11" customFormat="1" ht="22.5" customHeight="1">
      <c r="B127" s="159"/>
      <c r="C127" s="160"/>
      <c r="D127" s="160"/>
      <c r="E127" s="161" t="s">
        <v>5</v>
      </c>
      <c r="F127" s="308" t="s">
        <v>1151</v>
      </c>
      <c r="G127" s="309"/>
      <c r="H127" s="309"/>
      <c r="I127" s="309"/>
      <c r="J127" s="160"/>
      <c r="K127" s="162">
        <v>850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179</v>
      </c>
      <c r="AU127" s="166" t="s">
        <v>135</v>
      </c>
      <c r="AV127" s="11" t="s">
        <v>135</v>
      </c>
      <c r="AW127" s="11" t="s">
        <v>35</v>
      </c>
      <c r="AX127" s="11" t="s">
        <v>21</v>
      </c>
      <c r="AY127" s="166" t="s">
        <v>167</v>
      </c>
    </row>
    <row r="128" spans="2:65" s="1" customFormat="1" ht="31.5" customHeight="1">
      <c r="B128" s="141"/>
      <c r="C128" s="142" t="s">
        <v>213</v>
      </c>
      <c r="D128" s="142" t="s">
        <v>168</v>
      </c>
      <c r="E128" s="143" t="s">
        <v>1155</v>
      </c>
      <c r="F128" s="293" t="s">
        <v>1156</v>
      </c>
      <c r="G128" s="293"/>
      <c r="H128" s="293"/>
      <c r="I128" s="293"/>
      <c r="J128" s="144" t="s">
        <v>199</v>
      </c>
      <c r="K128" s="145">
        <v>850</v>
      </c>
      <c r="L128" s="294"/>
      <c r="M128" s="294"/>
      <c r="N128" s="294">
        <f>ROUND(L128*K128,2)</f>
        <v>0</v>
      </c>
      <c r="O128" s="294"/>
      <c r="P128" s="294"/>
      <c r="Q128" s="294"/>
      <c r="R128" s="146"/>
      <c r="T128" s="147" t="s">
        <v>5</v>
      </c>
      <c r="U128" s="44" t="s">
        <v>43</v>
      </c>
      <c r="V128" s="148">
        <v>0.058</v>
      </c>
      <c r="W128" s="148">
        <f>V128*K128</f>
        <v>49.300000000000004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172</v>
      </c>
      <c r="AT128" s="21" t="s">
        <v>168</v>
      </c>
      <c r="AU128" s="21" t="s">
        <v>135</v>
      </c>
      <c r="AY128" s="21" t="s">
        <v>167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21</v>
      </c>
      <c r="BK128" s="150">
        <f>ROUND(L128*K128,2)</f>
        <v>0</v>
      </c>
      <c r="BL128" s="21" t="s">
        <v>172</v>
      </c>
      <c r="BM128" s="21" t="s">
        <v>1157</v>
      </c>
    </row>
    <row r="129" spans="2:51" s="11" customFormat="1" ht="22.5" customHeight="1">
      <c r="B129" s="159"/>
      <c r="C129" s="160"/>
      <c r="D129" s="160"/>
      <c r="E129" s="161" t="s">
        <v>5</v>
      </c>
      <c r="F129" s="308" t="s">
        <v>1151</v>
      </c>
      <c r="G129" s="309"/>
      <c r="H129" s="309"/>
      <c r="I129" s="309"/>
      <c r="J129" s="160"/>
      <c r="K129" s="162">
        <v>850</v>
      </c>
      <c r="L129" s="160"/>
      <c r="M129" s="160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179</v>
      </c>
      <c r="AU129" s="166" t="s">
        <v>135</v>
      </c>
      <c r="AV129" s="11" t="s">
        <v>135</v>
      </c>
      <c r="AW129" s="11" t="s">
        <v>35</v>
      </c>
      <c r="AX129" s="11" t="s">
        <v>21</v>
      </c>
      <c r="AY129" s="166" t="s">
        <v>167</v>
      </c>
    </row>
    <row r="130" spans="2:65" s="1" customFormat="1" ht="22.5" customHeight="1">
      <c r="B130" s="141"/>
      <c r="C130" s="178" t="s">
        <v>218</v>
      </c>
      <c r="D130" s="178" t="s">
        <v>317</v>
      </c>
      <c r="E130" s="179" t="s">
        <v>1158</v>
      </c>
      <c r="F130" s="313" t="s">
        <v>1159</v>
      </c>
      <c r="G130" s="313"/>
      <c r="H130" s="313"/>
      <c r="I130" s="313"/>
      <c r="J130" s="180" t="s">
        <v>1160</v>
      </c>
      <c r="K130" s="181">
        <v>10</v>
      </c>
      <c r="L130" s="314"/>
      <c r="M130" s="314"/>
      <c r="N130" s="314">
        <f>ROUND(L130*K130,2)</f>
        <v>0</v>
      </c>
      <c r="O130" s="294"/>
      <c r="P130" s="294"/>
      <c r="Q130" s="294"/>
      <c r="R130" s="146"/>
      <c r="T130" s="147" t="s">
        <v>5</v>
      </c>
      <c r="U130" s="44" t="s">
        <v>43</v>
      </c>
      <c r="V130" s="148">
        <v>0</v>
      </c>
      <c r="W130" s="148">
        <f>V130*K130</f>
        <v>0</v>
      </c>
      <c r="X130" s="148">
        <v>0.001</v>
      </c>
      <c r="Y130" s="148">
        <f>X130*K130</f>
        <v>0.01</v>
      </c>
      <c r="Z130" s="148">
        <v>0</v>
      </c>
      <c r="AA130" s="149">
        <f>Z130*K130</f>
        <v>0</v>
      </c>
      <c r="AR130" s="21" t="s">
        <v>213</v>
      </c>
      <c r="AT130" s="21" t="s">
        <v>317</v>
      </c>
      <c r="AU130" s="21" t="s">
        <v>135</v>
      </c>
      <c r="AY130" s="21" t="s">
        <v>167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21</v>
      </c>
      <c r="BK130" s="150">
        <f>ROUND(L130*K130,2)</f>
        <v>0</v>
      </c>
      <c r="BL130" s="21" t="s">
        <v>172</v>
      </c>
      <c r="BM130" s="21" t="s">
        <v>1161</v>
      </c>
    </row>
    <row r="131" spans="2:65" s="1" customFormat="1" ht="44.25" customHeight="1">
      <c r="B131" s="141"/>
      <c r="C131" s="142" t="s">
        <v>25</v>
      </c>
      <c r="D131" s="142" t="s">
        <v>168</v>
      </c>
      <c r="E131" s="143" t="s">
        <v>1162</v>
      </c>
      <c r="F131" s="293" t="s">
        <v>1163</v>
      </c>
      <c r="G131" s="293"/>
      <c r="H131" s="293"/>
      <c r="I131" s="293"/>
      <c r="J131" s="144" t="s">
        <v>199</v>
      </c>
      <c r="K131" s="145">
        <v>850</v>
      </c>
      <c r="L131" s="294"/>
      <c r="M131" s="294"/>
      <c r="N131" s="294">
        <f>ROUND(L131*K131,2)</f>
        <v>0</v>
      </c>
      <c r="O131" s="294"/>
      <c r="P131" s="294"/>
      <c r="Q131" s="294"/>
      <c r="R131" s="146"/>
      <c r="T131" s="147" t="s">
        <v>5</v>
      </c>
      <c r="U131" s="44" t="s">
        <v>43</v>
      </c>
      <c r="V131" s="148">
        <v>0.004</v>
      </c>
      <c r="W131" s="148">
        <f>V131*K131</f>
        <v>3.4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21" t="s">
        <v>172</v>
      </c>
      <c r="AT131" s="21" t="s">
        <v>168</v>
      </c>
      <c r="AU131" s="21" t="s">
        <v>135</v>
      </c>
      <c r="AY131" s="21" t="s">
        <v>167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21</v>
      </c>
      <c r="BK131" s="150">
        <f>ROUND(L131*K131,2)</f>
        <v>0</v>
      </c>
      <c r="BL131" s="21" t="s">
        <v>172</v>
      </c>
      <c r="BM131" s="21" t="s">
        <v>1164</v>
      </c>
    </row>
    <row r="132" spans="2:65" s="1" customFormat="1" ht="31.5" customHeight="1">
      <c r="B132" s="141"/>
      <c r="C132" s="142" t="s">
        <v>270</v>
      </c>
      <c r="D132" s="142" t="s">
        <v>168</v>
      </c>
      <c r="E132" s="143" t="s">
        <v>1165</v>
      </c>
      <c r="F132" s="293" t="s">
        <v>1166</v>
      </c>
      <c r="G132" s="293"/>
      <c r="H132" s="293"/>
      <c r="I132" s="293"/>
      <c r="J132" s="144" t="s">
        <v>578</v>
      </c>
      <c r="K132" s="145">
        <v>10</v>
      </c>
      <c r="L132" s="294"/>
      <c r="M132" s="294"/>
      <c r="N132" s="294">
        <f>ROUND(L132*K132,2)</f>
        <v>0</v>
      </c>
      <c r="O132" s="294"/>
      <c r="P132" s="294"/>
      <c r="Q132" s="294"/>
      <c r="R132" s="146"/>
      <c r="T132" s="147" t="s">
        <v>5</v>
      </c>
      <c r="U132" s="44" t="s">
        <v>43</v>
      </c>
      <c r="V132" s="148">
        <v>1.653</v>
      </c>
      <c r="W132" s="148">
        <f>V132*K132</f>
        <v>16.53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172</v>
      </c>
      <c r="AT132" s="21" t="s">
        <v>168</v>
      </c>
      <c r="AU132" s="21" t="s">
        <v>135</v>
      </c>
      <c r="AY132" s="21" t="s">
        <v>167</v>
      </c>
      <c r="BE132" s="150">
        <f>IF(U132="základní",N132,0)</f>
        <v>0</v>
      </c>
      <c r="BF132" s="150">
        <f>IF(U132="snížená",N132,0)</f>
        <v>0</v>
      </c>
      <c r="BG132" s="150">
        <f>IF(U132="zákl. přenesená",N132,0)</f>
        <v>0</v>
      </c>
      <c r="BH132" s="150">
        <f>IF(U132="sníž. přenesená",N132,0)</f>
        <v>0</v>
      </c>
      <c r="BI132" s="150">
        <f>IF(U132="nulová",N132,0)</f>
        <v>0</v>
      </c>
      <c r="BJ132" s="21" t="s">
        <v>21</v>
      </c>
      <c r="BK132" s="150">
        <f>ROUND(L132*K132,2)</f>
        <v>0</v>
      </c>
      <c r="BL132" s="21" t="s">
        <v>172</v>
      </c>
      <c r="BM132" s="21" t="s">
        <v>1167</v>
      </c>
    </row>
    <row r="133" spans="2:51" s="11" customFormat="1" ht="22.5" customHeight="1">
      <c r="B133" s="159"/>
      <c r="C133" s="160"/>
      <c r="D133" s="160"/>
      <c r="E133" s="161" t="s">
        <v>5</v>
      </c>
      <c r="F133" s="308" t="s">
        <v>25</v>
      </c>
      <c r="G133" s="309"/>
      <c r="H133" s="309"/>
      <c r="I133" s="309"/>
      <c r="J133" s="160"/>
      <c r="K133" s="162">
        <v>10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179</v>
      </c>
      <c r="AU133" s="166" t="s">
        <v>135</v>
      </c>
      <c r="AV133" s="11" t="s">
        <v>135</v>
      </c>
      <c r="AW133" s="11" t="s">
        <v>35</v>
      </c>
      <c r="AX133" s="11" t="s">
        <v>21</v>
      </c>
      <c r="AY133" s="166" t="s">
        <v>167</v>
      </c>
    </row>
    <row r="134" spans="2:65" s="1" customFormat="1" ht="31.5" customHeight="1">
      <c r="B134" s="141"/>
      <c r="C134" s="142" t="s">
        <v>273</v>
      </c>
      <c r="D134" s="142" t="s">
        <v>168</v>
      </c>
      <c r="E134" s="143" t="s">
        <v>1168</v>
      </c>
      <c r="F134" s="293" t="s">
        <v>1169</v>
      </c>
      <c r="G134" s="293"/>
      <c r="H134" s="293"/>
      <c r="I134" s="293"/>
      <c r="J134" s="144" t="s">
        <v>578</v>
      </c>
      <c r="K134" s="145">
        <v>10</v>
      </c>
      <c r="L134" s="294"/>
      <c r="M134" s="294"/>
      <c r="N134" s="294">
        <f>ROUND(L134*K134,2)</f>
        <v>0</v>
      </c>
      <c r="O134" s="294"/>
      <c r="P134" s="294"/>
      <c r="Q134" s="294"/>
      <c r="R134" s="146"/>
      <c r="T134" s="147" t="s">
        <v>5</v>
      </c>
      <c r="U134" s="44" t="s">
        <v>43</v>
      </c>
      <c r="V134" s="148">
        <v>0.478</v>
      </c>
      <c r="W134" s="148">
        <f>V134*K134</f>
        <v>4.779999999999999</v>
      </c>
      <c r="X134" s="148">
        <v>0</v>
      </c>
      <c r="Y134" s="148">
        <f>X134*K134</f>
        <v>0</v>
      </c>
      <c r="Z134" s="148">
        <v>0</v>
      </c>
      <c r="AA134" s="149">
        <f>Z134*K134</f>
        <v>0</v>
      </c>
      <c r="AR134" s="21" t="s">
        <v>172</v>
      </c>
      <c r="AT134" s="21" t="s">
        <v>168</v>
      </c>
      <c r="AU134" s="21" t="s">
        <v>135</v>
      </c>
      <c r="AY134" s="21" t="s">
        <v>167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21</v>
      </c>
      <c r="BK134" s="150">
        <f>ROUND(L134*K134,2)</f>
        <v>0</v>
      </c>
      <c r="BL134" s="21" t="s">
        <v>172</v>
      </c>
      <c r="BM134" s="21" t="s">
        <v>1170</v>
      </c>
    </row>
    <row r="135" spans="2:65" s="1" customFormat="1" ht="22.5" customHeight="1">
      <c r="B135" s="141"/>
      <c r="C135" s="178" t="s">
        <v>276</v>
      </c>
      <c r="D135" s="178" t="s">
        <v>317</v>
      </c>
      <c r="E135" s="179" t="s">
        <v>1171</v>
      </c>
      <c r="F135" s="313" t="s">
        <v>1172</v>
      </c>
      <c r="G135" s="313"/>
      <c r="H135" s="313"/>
      <c r="I135" s="313"/>
      <c r="J135" s="180" t="s">
        <v>578</v>
      </c>
      <c r="K135" s="181">
        <v>10</v>
      </c>
      <c r="L135" s="314"/>
      <c r="M135" s="314"/>
      <c r="N135" s="314">
        <f>ROUND(L135*K135,2)</f>
        <v>0</v>
      </c>
      <c r="O135" s="294"/>
      <c r="P135" s="294"/>
      <c r="Q135" s="294"/>
      <c r="R135" s="146"/>
      <c r="T135" s="147" t="s">
        <v>5</v>
      </c>
      <c r="U135" s="44" t="s">
        <v>43</v>
      </c>
      <c r="V135" s="148">
        <v>0</v>
      </c>
      <c r="W135" s="148">
        <f>V135*K135</f>
        <v>0</v>
      </c>
      <c r="X135" s="148">
        <v>2.6E-05</v>
      </c>
      <c r="Y135" s="148">
        <f>X135*K135</f>
        <v>0.00026</v>
      </c>
      <c r="Z135" s="148">
        <v>0</v>
      </c>
      <c r="AA135" s="149">
        <f>Z135*K135</f>
        <v>0</v>
      </c>
      <c r="AR135" s="21" t="s">
        <v>213</v>
      </c>
      <c r="AT135" s="21" t="s">
        <v>317</v>
      </c>
      <c r="AU135" s="21" t="s">
        <v>135</v>
      </c>
      <c r="AY135" s="21" t="s">
        <v>167</v>
      </c>
      <c r="BE135" s="150">
        <f>IF(U135="základní",N135,0)</f>
        <v>0</v>
      </c>
      <c r="BF135" s="150">
        <f>IF(U135="snížená",N135,0)</f>
        <v>0</v>
      </c>
      <c r="BG135" s="150">
        <f>IF(U135="zákl. přenesená",N135,0)</f>
        <v>0</v>
      </c>
      <c r="BH135" s="150">
        <f>IF(U135="sníž. přenesená",N135,0)</f>
        <v>0</v>
      </c>
      <c r="BI135" s="150">
        <f>IF(U135="nulová",N135,0)</f>
        <v>0</v>
      </c>
      <c r="BJ135" s="21" t="s">
        <v>21</v>
      </c>
      <c r="BK135" s="150">
        <f>ROUND(L135*K135,2)</f>
        <v>0</v>
      </c>
      <c r="BL135" s="21" t="s">
        <v>172</v>
      </c>
      <c r="BM135" s="21" t="s">
        <v>1173</v>
      </c>
    </row>
    <row r="136" spans="2:63" s="9" customFormat="1" ht="29.85" customHeight="1">
      <c r="B136" s="130"/>
      <c r="C136" s="131"/>
      <c r="D136" s="140" t="s">
        <v>226</v>
      </c>
      <c r="E136" s="140"/>
      <c r="F136" s="140"/>
      <c r="G136" s="140"/>
      <c r="H136" s="140"/>
      <c r="I136" s="140"/>
      <c r="J136" s="140"/>
      <c r="K136" s="140"/>
      <c r="L136" s="140"/>
      <c r="M136" s="140"/>
      <c r="N136" s="310">
        <f>BK136</f>
        <v>0</v>
      </c>
      <c r="O136" s="311"/>
      <c r="P136" s="311"/>
      <c r="Q136" s="311"/>
      <c r="R136" s="133"/>
      <c r="T136" s="134"/>
      <c r="U136" s="131"/>
      <c r="V136" s="131"/>
      <c r="W136" s="135">
        <f>SUM(W137:W139)</f>
        <v>40.8096</v>
      </c>
      <c r="X136" s="131"/>
      <c r="Y136" s="135">
        <f>SUM(Y137:Y139)</f>
        <v>11.517792</v>
      </c>
      <c r="Z136" s="131"/>
      <c r="AA136" s="136">
        <f>SUM(AA137:AA139)</f>
        <v>0</v>
      </c>
      <c r="AR136" s="137" t="s">
        <v>21</v>
      </c>
      <c r="AT136" s="138" t="s">
        <v>77</v>
      </c>
      <c r="AU136" s="138" t="s">
        <v>21</v>
      </c>
      <c r="AY136" s="137" t="s">
        <v>167</v>
      </c>
      <c r="BK136" s="139">
        <f>SUM(BK137:BK139)</f>
        <v>0</v>
      </c>
    </row>
    <row r="137" spans="2:65" s="1" customFormat="1" ht="31.5" customHeight="1">
      <c r="B137" s="141"/>
      <c r="C137" s="142" t="s">
        <v>278</v>
      </c>
      <c r="D137" s="142" t="s">
        <v>168</v>
      </c>
      <c r="E137" s="143" t="s">
        <v>1174</v>
      </c>
      <c r="F137" s="293" t="s">
        <v>1175</v>
      </c>
      <c r="G137" s="293"/>
      <c r="H137" s="293"/>
      <c r="I137" s="293"/>
      <c r="J137" s="144" t="s">
        <v>176</v>
      </c>
      <c r="K137" s="145">
        <v>7.8</v>
      </c>
      <c r="L137" s="294"/>
      <c r="M137" s="294"/>
      <c r="N137" s="294">
        <f>ROUND(L137*K137,2)</f>
        <v>0</v>
      </c>
      <c r="O137" s="294"/>
      <c r="P137" s="294"/>
      <c r="Q137" s="294"/>
      <c r="R137" s="146"/>
      <c r="T137" s="147" t="s">
        <v>5</v>
      </c>
      <c r="U137" s="44" t="s">
        <v>43</v>
      </c>
      <c r="V137" s="148">
        <v>1.962</v>
      </c>
      <c r="W137" s="148">
        <f>V137*K137</f>
        <v>15.3036</v>
      </c>
      <c r="X137" s="148">
        <v>0.55374</v>
      </c>
      <c r="Y137" s="148">
        <f>X137*K137</f>
        <v>4.319172</v>
      </c>
      <c r="Z137" s="148">
        <v>0</v>
      </c>
      <c r="AA137" s="149">
        <f>Z137*K137</f>
        <v>0</v>
      </c>
      <c r="AR137" s="21" t="s">
        <v>172</v>
      </c>
      <c r="AT137" s="21" t="s">
        <v>168</v>
      </c>
      <c r="AU137" s="21" t="s">
        <v>135</v>
      </c>
      <c r="AY137" s="21" t="s">
        <v>167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21</v>
      </c>
      <c r="BK137" s="150">
        <f>ROUND(L137*K137,2)</f>
        <v>0</v>
      </c>
      <c r="BL137" s="21" t="s">
        <v>172</v>
      </c>
      <c r="BM137" s="21" t="s">
        <v>1176</v>
      </c>
    </row>
    <row r="138" spans="2:51" s="11" customFormat="1" ht="22.5" customHeight="1">
      <c r="B138" s="159"/>
      <c r="C138" s="160"/>
      <c r="D138" s="160"/>
      <c r="E138" s="161" t="s">
        <v>5</v>
      </c>
      <c r="F138" s="308" t="s">
        <v>1177</v>
      </c>
      <c r="G138" s="309"/>
      <c r="H138" s="309"/>
      <c r="I138" s="309"/>
      <c r="J138" s="160"/>
      <c r="K138" s="162">
        <v>7.8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179</v>
      </c>
      <c r="AU138" s="166" t="s">
        <v>135</v>
      </c>
      <c r="AV138" s="11" t="s">
        <v>135</v>
      </c>
      <c r="AW138" s="11" t="s">
        <v>35</v>
      </c>
      <c r="AX138" s="11" t="s">
        <v>21</v>
      </c>
      <c r="AY138" s="166" t="s">
        <v>167</v>
      </c>
    </row>
    <row r="139" spans="2:65" s="1" customFormat="1" ht="31.5" customHeight="1">
      <c r="B139" s="141"/>
      <c r="C139" s="142" t="s">
        <v>11</v>
      </c>
      <c r="D139" s="142" t="s">
        <v>168</v>
      </c>
      <c r="E139" s="143" t="s">
        <v>1178</v>
      </c>
      <c r="F139" s="293" t="s">
        <v>1179</v>
      </c>
      <c r="G139" s="293"/>
      <c r="H139" s="293"/>
      <c r="I139" s="293"/>
      <c r="J139" s="144" t="s">
        <v>259</v>
      </c>
      <c r="K139" s="145">
        <v>13</v>
      </c>
      <c r="L139" s="294"/>
      <c r="M139" s="294"/>
      <c r="N139" s="294">
        <f>ROUND(L139*K139,2)</f>
        <v>0</v>
      </c>
      <c r="O139" s="294"/>
      <c r="P139" s="294"/>
      <c r="Q139" s="294"/>
      <c r="R139" s="146"/>
      <c r="T139" s="147" t="s">
        <v>5</v>
      </c>
      <c r="U139" s="175" t="s">
        <v>43</v>
      </c>
      <c r="V139" s="176">
        <v>1.962</v>
      </c>
      <c r="W139" s="176">
        <f>V139*K139</f>
        <v>25.506</v>
      </c>
      <c r="X139" s="176">
        <v>0.55374</v>
      </c>
      <c r="Y139" s="176">
        <f>X139*K139</f>
        <v>7.19862</v>
      </c>
      <c r="Z139" s="176">
        <v>0</v>
      </c>
      <c r="AA139" s="177">
        <f>Z139*K139</f>
        <v>0</v>
      </c>
      <c r="AR139" s="21" t="s">
        <v>172</v>
      </c>
      <c r="AT139" s="21" t="s">
        <v>168</v>
      </c>
      <c r="AU139" s="21" t="s">
        <v>135</v>
      </c>
      <c r="AY139" s="21" t="s">
        <v>167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21</v>
      </c>
      <c r="BK139" s="150">
        <f>ROUND(L139*K139,2)</f>
        <v>0</v>
      </c>
      <c r="BL139" s="21" t="s">
        <v>172</v>
      </c>
      <c r="BM139" s="21" t="s">
        <v>1180</v>
      </c>
    </row>
    <row r="140" spans="2:18" s="1" customFormat="1" ht="6.95" customHeight="1"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1"/>
    </row>
  </sheetData>
  <mergeCells count="111">
    <mergeCell ref="H1:K1"/>
    <mergeCell ref="S2:AC2"/>
    <mergeCell ref="F137:I137"/>
    <mergeCell ref="L137:M137"/>
    <mergeCell ref="N137:Q137"/>
    <mergeCell ref="F138:I138"/>
    <mergeCell ref="F139:I139"/>
    <mergeCell ref="L139:M139"/>
    <mergeCell ref="N139:Q139"/>
    <mergeCell ref="N112:Q112"/>
    <mergeCell ref="N113:Q113"/>
    <mergeCell ref="N114:Q114"/>
    <mergeCell ref="N136:Q136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L135:M135"/>
    <mergeCell ref="N135:Q135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L131:M131"/>
    <mergeCell ref="N131:Q131"/>
    <mergeCell ref="F122:I122"/>
    <mergeCell ref="F123:I123"/>
    <mergeCell ref="L123:M123"/>
    <mergeCell ref="N123:Q123"/>
    <mergeCell ref="F124:I124"/>
    <mergeCell ref="L124:M124"/>
    <mergeCell ref="N124:Q124"/>
    <mergeCell ref="F125:I125"/>
    <mergeCell ref="F126:I126"/>
    <mergeCell ref="L126:M126"/>
    <mergeCell ref="N126:Q12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L116:M116"/>
    <mergeCell ref="N116:Q116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N163"/>
  <sheetViews>
    <sheetView showGridLines="0" view="pageBreakPreview" zoomScale="98" zoomScaleSheetLayoutView="98" workbookViewId="0" topLeftCell="A1">
      <pane ySplit="1" topLeftCell="A2" activePane="bottomLeft" state="frozen"/>
      <selection pane="topLeft" activeCell="A2" sqref="A2"/>
      <selection pane="bottomLeft" activeCell="AE12" sqref="AE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116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1181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N94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ROUNDUP((SUM(BE94:BE95)+SUM(BE113:BE162)),2)</f>
        <v>0</v>
      </c>
      <c r="I32" s="275"/>
      <c r="J32" s="275"/>
      <c r="K32" s="36"/>
      <c r="L32" s="36"/>
      <c r="M32" s="279">
        <f>ROUNDUP(ROUNDUP((SUM(BE94:BE95)+SUM(BE113:BE162)),2)*F32,1)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ROUNDUP((SUM(BF94:BF95)+SUM(BF113:BF162)),2)</f>
        <v>0</v>
      </c>
      <c r="I33" s="275"/>
      <c r="J33" s="275"/>
      <c r="K33" s="36"/>
      <c r="L33" s="36"/>
      <c r="M33" s="279">
        <f>ROUNDUP(ROUNDUP((SUM(BF94:BF95)+SUM(BF113:BF162)),2)*F33,1)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ROUNDUP((SUM(BG94:BG95)+SUM(BG113:BG162)),2)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ROUNDUP((SUM(BH94:BH95)+SUM(BH113:BH162)),2)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ROUNDUP((SUM(BI94:BI95)+SUM(BI113:BI162)),2)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 xml:space="preserve">SO.1.10 - Objekt ČOV - ostatní 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N113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N114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N115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N144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150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N152</f>
        <v>0</v>
      </c>
      <c r="O92" s="288"/>
      <c r="P92" s="288"/>
      <c r="Q92" s="288"/>
      <c r="R92" s="120"/>
    </row>
    <row r="93" spans="2:18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</row>
    <row r="94" spans="2:21" s="1" customFormat="1" ht="29.25" customHeight="1">
      <c r="B94" s="35"/>
      <c r="C94" s="112" t="s">
        <v>152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84">
        <v>0</v>
      </c>
      <c r="O94" s="289"/>
      <c r="P94" s="289"/>
      <c r="Q94" s="289"/>
      <c r="R94" s="37"/>
      <c r="T94" s="121"/>
      <c r="U94" s="122" t="s">
        <v>42</v>
      </c>
    </row>
    <row r="95" spans="2:18" s="1" customFormat="1" ht="18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18" s="1" customFormat="1" ht="29.25" customHeight="1">
      <c r="B96" s="35"/>
      <c r="C96" s="103" t="s">
        <v>129</v>
      </c>
      <c r="D96" s="104"/>
      <c r="E96" s="104"/>
      <c r="F96" s="104"/>
      <c r="G96" s="104"/>
      <c r="H96" s="104"/>
      <c r="I96" s="104"/>
      <c r="J96" s="104"/>
      <c r="K96" s="104"/>
      <c r="L96" s="268">
        <f>ROUNDUP(SUM(N88+N94),2)</f>
        <v>0</v>
      </c>
      <c r="M96" s="268"/>
      <c r="N96" s="268"/>
      <c r="O96" s="268"/>
      <c r="P96" s="268"/>
      <c r="Q96" s="268"/>
      <c r="R96" s="37"/>
    </row>
    <row r="97" spans="2:18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101" spans="2:18" s="1" customFormat="1" ht="6.9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2" spans="2:18" s="1" customFormat="1" ht="36.95" customHeight="1">
      <c r="B102" s="35"/>
      <c r="C102" s="237" t="s">
        <v>153</v>
      </c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37"/>
    </row>
    <row r="103" spans="2:18" s="1" customFormat="1" ht="6.95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18" s="1" customFormat="1" ht="30" customHeight="1">
      <c r="B104" s="35"/>
      <c r="C104" s="32" t="s">
        <v>16</v>
      </c>
      <c r="D104" s="36"/>
      <c r="E104" s="36"/>
      <c r="F104" s="273" t="str">
        <f>F6</f>
        <v>ČOV a splašková kanalizace Žinkovy</v>
      </c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36"/>
      <c r="R104" s="37"/>
    </row>
    <row r="105" spans="2:18" s="1" customFormat="1" ht="36.95" customHeight="1">
      <c r="B105" s="35"/>
      <c r="C105" s="69" t="s">
        <v>137</v>
      </c>
      <c r="D105" s="36"/>
      <c r="E105" s="36"/>
      <c r="F105" s="254" t="str">
        <f>F7</f>
        <v xml:space="preserve">SO.1.10 - Objekt ČOV - ostatní </v>
      </c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36"/>
      <c r="R105" s="37"/>
    </row>
    <row r="106" spans="2:18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18" s="1" customFormat="1" ht="18" customHeight="1">
      <c r="B107" s="35"/>
      <c r="C107" s="32" t="s">
        <v>22</v>
      </c>
      <c r="D107" s="36"/>
      <c r="E107" s="36"/>
      <c r="F107" s="30" t="str">
        <f>F9</f>
        <v>Žinkovy</v>
      </c>
      <c r="G107" s="36"/>
      <c r="H107" s="36"/>
      <c r="I107" s="36"/>
      <c r="J107" s="36"/>
      <c r="K107" s="32" t="s">
        <v>24</v>
      </c>
      <c r="L107" s="36"/>
      <c r="M107" s="276">
        <f>IF(O9="","",O9)</f>
        <v>42912</v>
      </c>
      <c r="N107" s="276"/>
      <c r="O107" s="276"/>
      <c r="P107" s="276"/>
      <c r="Q107" s="36"/>
      <c r="R107" s="37"/>
    </row>
    <row r="108" spans="2:18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15">
      <c r="B109" s="35"/>
      <c r="C109" s="32" t="s">
        <v>27</v>
      </c>
      <c r="D109" s="36"/>
      <c r="E109" s="36"/>
      <c r="F109" s="30" t="str">
        <f>E12</f>
        <v>Obec Žinkovy</v>
      </c>
      <c r="G109" s="36"/>
      <c r="H109" s="36"/>
      <c r="I109" s="36"/>
      <c r="J109" s="36"/>
      <c r="K109" s="32" t="s">
        <v>33</v>
      </c>
      <c r="L109" s="36"/>
      <c r="M109" s="277" t="str">
        <f>E18</f>
        <v>PIK Vítek s.r.o.</v>
      </c>
      <c r="N109" s="277"/>
      <c r="O109" s="277"/>
      <c r="P109" s="277"/>
      <c r="Q109" s="277"/>
      <c r="R109" s="37"/>
    </row>
    <row r="110" spans="2:18" s="1" customFormat="1" ht="14.45" customHeight="1">
      <c r="B110" s="35"/>
      <c r="C110" s="32" t="s">
        <v>31</v>
      </c>
      <c r="D110" s="36"/>
      <c r="E110" s="36"/>
      <c r="F110" s="30" t="str">
        <f>IF(E15="","",E15)</f>
        <v xml:space="preserve"> </v>
      </c>
      <c r="G110" s="36"/>
      <c r="H110" s="36"/>
      <c r="I110" s="36"/>
      <c r="J110" s="36"/>
      <c r="K110" s="32" t="s">
        <v>36</v>
      </c>
      <c r="L110" s="36"/>
      <c r="M110" s="277" t="str">
        <f>E21</f>
        <v>Acrone s.r.o.</v>
      </c>
      <c r="N110" s="277"/>
      <c r="O110" s="277"/>
      <c r="P110" s="277"/>
      <c r="Q110" s="277"/>
      <c r="R110" s="37"/>
    </row>
    <row r="111" spans="2:18" s="1" customFormat="1" ht="10.3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27" s="8" customFormat="1" ht="29.25" customHeight="1">
      <c r="B112" s="123"/>
      <c r="C112" s="124" t="s">
        <v>154</v>
      </c>
      <c r="D112" s="125" t="s">
        <v>155</v>
      </c>
      <c r="E112" s="125" t="s">
        <v>60</v>
      </c>
      <c r="F112" s="290" t="s">
        <v>156</v>
      </c>
      <c r="G112" s="290"/>
      <c r="H112" s="290"/>
      <c r="I112" s="290"/>
      <c r="J112" s="125" t="s">
        <v>157</v>
      </c>
      <c r="K112" s="125" t="s">
        <v>158</v>
      </c>
      <c r="L112" s="291" t="s">
        <v>159</v>
      </c>
      <c r="M112" s="291"/>
      <c r="N112" s="290" t="s">
        <v>144</v>
      </c>
      <c r="O112" s="290"/>
      <c r="P112" s="290"/>
      <c r="Q112" s="292"/>
      <c r="R112" s="126"/>
      <c r="T112" s="76" t="s">
        <v>160</v>
      </c>
      <c r="U112" s="77" t="s">
        <v>42</v>
      </c>
      <c r="V112" s="77" t="s">
        <v>161</v>
      </c>
      <c r="W112" s="77" t="s">
        <v>162</v>
      </c>
      <c r="X112" s="77" t="s">
        <v>163</v>
      </c>
      <c r="Y112" s="77" t="s">
        <v>164</v>
      </c>
      <c r="Z112" s="77" t="s">
        <v>165</v>
      </c>
      <c r="AA112" s="78" t="s">
        <v>166</v>
      </c>
    </row>
    <row r="113" spans="2:63" s="1" customFormat="1" ht="29.25" customHeight="1">
      <c r="B113" s="35"/>
      <c r="C113" s="80" t="s">
        <v>140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295">
        <f>BK113</f>
        <v>0</v>
      </c>
      <c r="O113" s="296"/>
      <c r="P113" s="296"/>
      <c r="Q113" s="296"/>
      <c r="R113" s="37"/>
      <c r="T113" s="79"/>
      <c r="U113" s="51"/>
      <c r="V113" s="51"/>
      <c r="W113" s="127">
        <f>W114</f>
        <v>252.32975</v>
      </c>
      <c r="X113" s="51"/>
      <c r="Y113" s="127">
        <f>Y114</f>
        <v>20.3713775</v>
      </c>
      <c r="Z113" s="51"/>
      <c r="AA113" s="128">
        <f>AA114</f>
        <v>0</v>
      </c>
      <c r="AT113" s="21" t="s">
        <v>77</v>
      </c>
      <c r="AU113" s="21" t="s">
        <v>146</v>
      </c>
      <c r="BK113" s="129">
        <f>BK114</f>
        <v>0</v>
      </c>
    </row>
    <row r="114" spans="2:63" s="9" customFormat="1" ht="37.35" customHeight="1">
      <c r="B114" s="130"/>
      <c r="C114" s="131"/>
      <c r="D114" s="132" t="s">
        <v>147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297">
        <f>BK114</f>
        <v>0</v>
      </c>
      <c r="O114" s="285"/>
      <c r="P114" s="285"/>
      <c r="Q114" s="285"/>
      <c r="R114" s="133"/>
      <c r="T114" s="134"/>
      <c r="U114" s="131"/>
      <c r="V114" s="131"/>
      <c r="W114" s="135">
        <f>W115+W144+W152</f>
        <v>252.32975</v>
      </c>
      <c r="X114" s="131"/>
      <c r="Y114" s="135">
        <f>Y115+Y144+Y152</f>
        <v>20.3713775</v>
      </c>
      <c r="Z114" s="131"/>
      <c r="AA114" s="136">
        <f>AA115+AA144+AA152</f>
        <v>0</v>
      </c>
      <c r="AR114" s="137" t="s">
        <v>21</v>
      </c>
      <c r="AT114" s="138" t="s">
        <v>77</v>
      </c>
      <c r="AU114" s="138" t="s">
        <v>78</v>
      </c>
      <c r="AY114" s="137" t="s">
        <v>167</v>
      </c>
      <c r="BK114" s="139">
        <f>BK115+BK144+BK152</f>
        <v>0</v>
      </c>
    </row>
    <row r="115" spans="2:63" s="9" customFormat="1" ht="19.9" customHeight="1">
      <c r="B115" s="130"/>
      <c r="C115" s="131"/>
      <c r="D115" s="140" t="s">
        <v>148</v>
      </c>
      <c r="E115" s="140"/>
      <c r="F115" s="140"/>
      <c r="G115" s="140"/>
      <c r="H115" s="140"/>
      <c r="I115" s="140"/>
      <c r="J115" s="140"/>
      <c r="K115" s="140"/>
      <c r="L115" s="140"/>
      <c r="M115" s="140"/>
      <c r="N115" s="298">
        <f>BK115</f>
        <v>0</v>
      </c>
      <c r="O115" s="299"/>
      <c r="P115" s="299"/>
      <c r="Q115" s="299"/>
      <c r="R115" s="133"/>
      <c r="T115" s="134"/>
      <c r="U115" s="131"/>
      <c r="V115" s="131"/>
      <c r="W115" s="135">
        <f>SUM(W116:W143)</f>
        <v>188.24375</v>
      </c>
      <c r="X115" s="131"/>
      <c r="Y115" s="135">
        <f>SUM(Y116:Y143)</f>
        <v>16.4617375</v>
      </c>
      <c r="Z115" s="131"/>
      <c r="AA115" s="136">
        <f>SUM(AA116:AA143)</f>
        <v>0</v>
      </c>
      <c r="AR115" s="137" t="s">
        <v>21</v>
      </c>
      <c r="AT115" s="138" t="s">
        <v>77</v>
      </c>
      <c r="AU115" s="138" t="s">
        <v>21</v>
      </c>
      <c r="AY115" s="137" t="s">
        <v>167</v>
      </c>
      <c r="BK115" s="139">
        <f>SUM(BK116:BK143)</f>
        <v>0</v>
      </c>
    </row>
    <row r="116" spans="2:65" s="1" customFormat="1" ht="31.5" customHeight="1">
      <c r="B116" s="141"/>
      <c r="C116" s="142" t="s">
        <v>21</v>
      </c>
      <c r="D116" s="142" t="s">
        <v>168</v>
      </c>
      <c r="E116" s="143" t="s">
        <v>1182</v>
      </c>
      <c r="F116" s="293" t="s">
        <v>1183</v>
      </c>
      <c r="G116" s="293"/>
      <c r="H116" s="293"/>
      <c r="I116" s="293"/>
      <c r="J116" s="144" t="s">
        <v>176</v>
      </c>
      <c r="K116" s="145">
        <v>26.8</v>
      </c>
      <c r="L116" s="294"/>
      <c r="M116" s="294"/>
      <c r="N116" s="294">
        <f>ROUND(L116*K116,2)</f>
        <v>0</v>
      </c>
      <c r="O116" s="294"/>
      <c r="P116" s="294"/>
      <c r="Q116" s="294"/>
      <c r="R116" s="146"/>
      <c r="T116" s="147" t="s">
        <v>5</v>
      </c>
      <c r="U116" s="44" t="s">
        <v>43</v>
      </c>
      <c r="V116" s="148">
        <v>0.825</v>
      </c>
      <c r="W116" s="148">
        <f>V116*K116</f>
        <v>22.11</v>
      </c>
      <c r="X116" s="148">
        <v>0</v>
      </c>
      <c r="Y116" s="148">
        <f>X116*K116</f>
        <v>0</v>
      </c>
      <c r="Z116" s="148">
        <v>0</v>
      </c>
      <c r="AA116" s="149">
        <f>Z116*K116</f>
        <v>0</v>
      </c>
      <c r="AR116" s="21" t="s">
        <v>172</v>
      </c>
      <c r="AT116" s="21" t="s">
        <v>168</v>
      </c>
      <c r="AU116" s="21" t="s">
        <v>135</v>
      </c>
      <c r="AY116" s="21" t="s">
        <v>167</v>
      </c>
      <c r="BE116" s="150">
        <f>IF(U116="základní",N116,0)</f>
        <v>0</v>
      </c>
      <c r="BF116" s="150">
        <f>IF(U116="snížená",N116,0)</f>
        <v>0</v>
      </c>
      <c r="BG116" s="150">
        <f>IF(U116="zákl. přenesená",N116,0)</f>
        <v>0</v>
      </c>
      <c r="BH116" s="150">
        <f>IF(U116="sníž. přenesená",N116,0)</f>
        <v>0</v>
      </c>
      <c r="BI116" s="150">
        <f>IF(U116="nulová",N116,0)</f>
        <v>0</v>
      </c>
      <c r="BJ116" s="21" t="s">
        <v>21</v>
      </c>
      <c r="BK116" s="150">
        <f>ROUND(L116*K116,2)</f>
        <v>0</v>
      </c>
      <c r="BL116" s="21" t="s">
        <v>172</v>
      </c>
      <c r="BM116" s="21" t="s">
        <v>1184</v>
      </c>
    </row>
    <row r="117" spans="2:51" s="10" customFormat="1" ht="22.5" customHeight="1">
      <c r="B117" s="151"/>
      <c r="C117" s="152"/>
      <c r="D117" s="152"/>
      <c r="E117" s="153" t="s">
        <v>5</v>
      </c>
      <c r="F117" s="300" t="s">
        <v>1185</v>
      </c>
      <c r="G117" s="301"/>
      <c r="H117" s="301"/>
      <c r="I117" s="301"/>
      <c r="J117" s="152"/>
      <c r="K117" s="154" t="s">
        <v>5</v>
      </c>
      <c r="L117" s="152"/>
      <c r="M117" s="152"/>
      <c r="N117" s="152"/>
      <c r="O117" s="152"/>
      <c r="P117" s="152"/>
      <c r="Q117" s="152"/>
      <c r="R117" s="155"/>
      <c r="T117" s="156"/>
      <c r="U117" s="152"/>
      <c r="V117" s="152"/>
      <c r="W117" s="152"/>
      <c r="X117" s="152"/>
      <c r="Y117" s="152"/>
      <c r="Z117" s="152"/>
      <c r="AA117" s="157"/>
      <c r="AT117" s="158" t="s">
        <v>179</v>
      </c>
      <c r="AU117" s="158" t="s">
        <v>135</v>
      </c>
      <c r="AV117" s="10" t="s">
        <v>21</v>
      </c>
      <c r="AW117" s="10" t="s">
        <v>35</v>
      </c>
      <c r="AX117" s="10" t="s">
        <v>78</v>
      </c>
      <c r="AY117" s="158" t="s">
        <v>167</v>
      </c>
    </row>
    <row r="118" spans="2:51" s="11" customFormat="1" ht="22.5" customHeight="1">
      <c r="B118" s="159"/>
      <c r="C118" s="160"/>
      <c r="D118" s="160"/>
      <c r="E118" s="161" t="s">
        <v>5</v>
      </c>
      <c r="F118" s="302" t="s">
        <v>1186</v>
      </c>
      <c r="G118" s="303"/>
      <c r="H118" s="303"/>
      <c r="I118" s="303"/>
      <c r="J118" s="160"/>
      <c r="K118" s="162">
        <v>5.6</v>
      </c>
      <c r="L118" s="160"/>
      <c r="M118" s="160"/>
      <c r="N118" s="160"/>
      <c r="O118" s="160"/>
      <c r="P118" s="160"/>
      <c r="Q118" s="160"/>
      <c r="R118" s="163"/>
      <c r="T118" s="164"/>
      <c r="U118" s="160"/>
      <c r="V118" s="160"/>
      <c r="W118" s="160"/>
      <c r="X118" s="160"/>
      <c r="Y118" s="160"/>
      <c r="Z118" s="160"/>
      <c r="AA118" s="165"/>
      <c r="AT118" s="166" t="s">
        <v>179</v>
      </c>
      <c r="AU118" s="166" t="s">
        <v>135</v>
      </c>
      <c r="AV118" s="11" t="s">
        <v>135</v>
      </c>
      <c r="AW118" s="11" t="s">
        <v>35</v>
      </c>
      <c r="AX118" s="11" t="s">
        <v>78</v>
      </c>
      <c r="AY118" s="166" t="s">
        <v>167</v>
      </c>
    </row>
    <row r="119" spans="2:51" s="10" customFormat="1" ht="22.5" customHeight="1">
      <c r="B119" s="151"/>
      <c r="C119" s="152"/>
      <c r="D119" s="152"/>
      <c r="E119" s="153" t="s">
        <v>5</v>
      </c>
      <c r="F119" s="304" t="s">
        <v>1187</v>
      </c>
      <c r="G119" s="305"/>
      <c r="H119" s="305"/>
      <c r="I119" s="305"/>
      <c r="J119" s="152"/>
      <c r="K119" s="154" t="s">
        <v>5</v>
      </c>
      <c r="L119" s="152"/>
      <c r="M119" s="152"/>
      <c r="N119" s="152"/>
      <c r="O119" s="152"/>
      <c r="P119" s="152"/>
      <c r="Q119" s="152"/>
      <c r="R119" s="155"/>
      <c r="T119" s="156"/>
      <c r="U119" s="152"/>
      <c r="V119" s="152"/>
      <c r="W119" s="152"/>
      <c r="X119" s="152"/>
      <c r="Y119" s="152"/>
      <c r="Z119" s="152"/>
      <c r="AA119" s="157"/>
      <c r="AT119" s="158" t="s">
        <v>179</v>
      </c>
      <c r="AU119" s="158" t="s">
        <v>135</v>
      </c>
      <c r="AV119" s="10" t="s">
        <v>21</v>
      </c>
      <c r="AW119" s="10" t="s">
        <v>35</v>
      </c>
      <c r="AX119" s="10" t="s">
        <v>78</v>
      </c>
      <c r="AY119" s="158" t="s">
        <v>167</v>
      </c>
    </row>
    <row r="120" spans="2:51" s="11" customFormat="1" ht="22.5" customHeight="1">
      <c r="B120" s="159"/>
      <c r="C120" s="160"/>
      <c r="D120" s="160"/>
      <c r="E120" s="161" t="s">
        <v>5</v>
      </c>
      <c r="F120" s="302" t="s">
        <v>1188</v>
      </c>
      <c r="G120" s="303"/>
      <c r="H120" s="303"/>
      <c r="I120" s="303"/>
      <c r="J120" s="160"/>
      <c r="K120" s="162">
        <v>9.2</v>
      </c>
      <c r="L120" s="160"/>
      <c r="M120" s="160"/>
      <c r="N120" s="160"/>
      <c r="O120" s="160"/>
      <c r="P120" s="160"/>
      <c r="Q120" s="160"/>
      <c r="R120" s="163"/>
      <c r="T120" s="164"/>
      <c r="U120" s="160"/>
      <c r="V120" s="160"/>
      <c r="W120" s="160"/>
      <c r="X120" s="160"/>
      <c r="Y120" s="160"/>
      <c r="Z120" s="160"/>
      <c r="AA120" s="165"/>
      <c r="AT120" s="166" t="s">
        <v>179</v>
      </c>
      <c r="AU120" s="166" t="s">
        <v>135</v>
      </c>
      <c r="AV120" s="11" t="s">
        <v>135</v>
      </c>
      <c r="AW120" s="11" t="s">
        <v>35</v>
      </c>
      <c r="AX120" s="11" t="s">
        <v>78</v>
      </c>
      <c r="AY120" s="166" t="s">
        <v>167</v>
      </c>
    </row>
    <row r="121" spans="2:51" s="10" customFormat="1" ht="22.5" customHeight="1">
      <c r="B121" s="151"/>
      <c r="C121" s="152"/>
      <c r="D121" s="152"/>
      <c r="E121" s="153" t="s">
        <v>5</v>
      </c>
      <c r="F121" s="304" t="s">
        <v>1189</v>
      </c>
      <c r="G121" s="305"/>
      <c r="H121" s="305"/>
      <c r="I121" s="305"/>
      <c r="J121" s="152"/>
      <c r="K121" s="154" t="s">
        <v>5</v>
      </c>
      <c r="L121" s="152"/>
      <c r="M121" s="152"/>
      <c r="N121" s="152"/>
      <c r="O121" s="152"/>
      <c r="P121" s="152"/>
      <c r="Q121" s="152"/>
      <c r="R121" s="155"/>
      <c r="T121" s="156"/>
      <c r="U121" s="152"/>
      <c r="V121" s="152"/>
      <c r="W121" s="152"/>
      <c r="X121" s="152"/>
      <c r="Y121" s="152"/>
      <c r="Z121" s="152"/>
      <c r="AA121" s="157"/>
      <c r="AT121" s="158" t="s">
        <v>179</v>
      </c>
      <c r="AU121" s="158" t="s">
        <v>135</v>
      </c>
      <c r="AV121" s="10" t="s">
        <v>21</v>
      </c>
      <c r="AW121" s="10" t="s">
        <v>35</v>
      </c>
      <c r="AX121" s="10" t="s">
        <v>78</v>
      </c>
      <c r="AY121" s="158" t="s">
        <v>167</v>
      </c>
    </row>
    <row r="122" spans="2:51" s="11" customFormat="1" ht="22.5" customHeight="1">
      <c r="B122" s="159"/>
      <c r="C122" s="160"/>
      <c r="D122" s="160"/>
      <c r="E122" s="161" t="s">
        <v>5</v>
      </c>
      <c r="F122" s="302" t="s">
        <v>1190</v>
      </c>
      <c r="G122" s="303"/>
      <c r="H122" s="303"/>
      <c r="I122" s="303"/>
      <c r="J122" s="160"/>
      <c r="K122" s="162">
        <v>12</v>
      </c>
      <c r="L122" s="160"/>
      <c r="M122" s="160"/>
      <c r="N122" s="160"/>
      <c r="O122" s="160"/>
      <c r="P122" s="160"/>
      <c r="Q122" s="160"/>
      <c r="R122" s="163"/>
      <c r="T122" s="164"/>
      <c r="U122" s="160"/>
      <c r="V122" s="160"/>
      <c r="W122" s="160"/>
      <c r="X122" s="160"/>
      <c r="Y122" s="160"/>
      <c r="Z122" s="160"/>
      <c r="AA122" s="165"/>
      <c r="AT122" s="166" t="s">
        <v>179</v>
      </c>
      <c r="AU122" s="166" t="s">
        <v>135</v>
      </c>
      <c r="AV122" s="11" t="s">
        <v>135</v>
      </c>
      <c r="AW122" s="11" t="s">
        <v>35</v>
      </c>
      <c r="AX122" s="11" t="s">
        <v>78</v>
      </c>
      <c r="AY122" s="166" t="s">
        <v>167</v>
      </c>
    </row>
    <row r="123" spans="2:51" s="12" customFormat="1" ht="22.5" customHeight="1">
      <c r="B123" s="167"/>
      <c r="C123" s="168"/>
      <c r="D123" s="168"/>
      <c r="E123" s="169" t="s">
        <v>5</v>
      </c>
      <c r="F123" s="306" t="s">
        <v>183</v>
      </c>
      <c r="G123" s="307"/>
      <c r="H123" s="307"/>
      <c r="I123" s="307"/>
      <c r="J123" s="168"/>
      <c r="K123" s="170">
        <v>26.8</v>
      </c>
      <c r="L123" s="168"/>
      <c r="M123" s="168"/>
      <c r="N123" s="168"/>
      <c r="O123" s="168"/>
      <c r="P123" s="168"/>
      <c r="Q123" s="168"/>
      <c r="R123" s="171"/>
      <c r="T123" s="172"/>
      <c r="U123" s="168"/>
      <c r="V123" s="168"/>
      <c r="W123" s="168"/>
      <c r="X123" s="168"/>
      <c r="Y123" s="168"/>
      <c r="Z123" s="168"/>
      <c r="AA123" s="173"/>
      <c r="AT123" s="174" t="s">
        <v>179</v>
      </c>
      <c r="AU123" s="174" t="s">
        <v>135</v>
      </c>
      <c r="AV123" s="12" t="s">
        <v>172</v>
      </c>
      <c r="AW123" s="12" t="s">
        <v>35</v>
      </c>
      <c r="AX123" s="12" t="s">
        <v>21</v>
      </c>
      <c r="AY123" s="174" t="s">
        <v>167</v>
      </c>
    </row>
    <row r="124" spans="2:65" s="1" customFormat="1" ht="31.5" customHeight="1">
      <c r="B124" s="141"/>
      <c r="C124" s="142" t="s">
        <v>135</v>
      </c>
      <c r="D124" s="142" t="s">
        <v>168</v>
      </c>
      <c r="E124" s="143" t="s">
        <v>505</v>
      </c>
      <c r="F124" s="293" t="s">
        <v>506</v>
      </c>
      <c r="G124" s="293"/>
      <c r="H124" s="293"/>
      <c r="I124" s="293"/>
      <c r="J124" s="144" t="s">
        <v>176</v>
      </c>
      <c r="K124" s="145">
        <v>26.8</v>
      </c>
      <c r="L124" s="294"/>
      <c r="M124" s="294"/>
      <c r="N124" s="294">
        <f>ROUND(L124*K124,2)</f>
        <v>0</v>
      </c>
      <c r="O124" s="294"/>
      <c r="P124" s="294"/>
      <c r="Q124" s="294"/>
      <c r="R124" s="146"/>
      <c r="T124" s="147" t="s">
        <v>5</v>
      </c>
      <c r="U124" s="44" t="s">
        <v>43</v>
      </c>
      <c r="V124" s="148">
        <v>0.085</v>
      </c>
      <c r="W124" s="148">
        <f>V124*K124</f>
        <v>2.278</v>
      </c>
      <c r="X124" s="148">
        <v>0</v>
      </c>
      <c r="Y124" s="148">
        <f>X124*K124</f>
        <v>0</v>
      </c>
      <c r="Z124" s="148">
        <v>0</v>
      </c>
      <c r="AA124" s="149">
        <f>Z124*K124</f>
        <v>0</v>
      </c>
      <c r="AR124" s="21" t="s">
        <v>172</v>
      </c>
      <c r="AT124" s="21" t="s">
        <v>168</v>
      </c>
      <c r="AU124" s="21" t="s">
        <v>135</v>
      </c>
      <c r="AY124" s="21" t="s">
        <v>167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21</v>
      </c>
      <c r="BK124" s="150">
        <f>ROUND(L124*K124,2)</f>
        <v>0</v>
      </c>
      <c r="BL124" s="21" t="s">
        <v>172</v>
      </c>
      <c r="BM124" s="21" t="s">
        <v>1191</v>
      </c>
    </row>
    <row r="125" spans="2:65" s="1" customFormat="1" ht="44.25" customHeight="1">
      <c r="B125" s="141"/>
      <c r="C125" s="142" t="s">
        <v>184</v>
      </c>
      <c r="D125" s="142" t="s">
        <v>168</v>
      </c>
      <c r="E125" s="143" t="s">
        <v>1192</v>
      </c>
      <c r="F125" s="293" t="s">
        <v>1193</v>
      </c>
      <c r="G125" s="293"/>
      <c r="H125" s="293"/>
      <c r="I125" s="293"/>
      <c r="J125" s="144" t="s">
        <v>176</v>
      </c>
      <c r="K125" s="145">
        <v>15.75</v>
      </c>
      <c r="L125" s="294"/>
      <c r="M125" s="294"/>
      <c r="N125" s="294">
        <f>ROUND(L125*K125,2)</f>
        <v>0</v>
      </c>
      <c r="O125" s="294"/>
      <c r="P125" s="294"/>
      <c r="Q125" s="294"/>
      <c r="R125" s="146"/>
      <c r="T125" s="147" t="s">
        <v>5</v>
      </c>
      <c r="U125" s="44" t="s">
        <v>43</v>
      </c>
      <c r="V125" s="148">
        <v>8.753</v>
      </c>
      <c r="W125" s="148">
        <f>V125*K125</f>
        <v>137.85975</v>
      </c>
      <c r="X125" s="148">
        <v>0.01065</v>
      </c>
      <c r="Y125" s="148">
        <f>X125*K125</f>
        <v>0.16773749999999998</v>
      </c>
      <c r="Z125" s="148">
        <v>0</v>
      </c>
      <c r="AA125" s="149">
        <f>Z125*K125</f>
        <v>0</v>
      </c>
      <c r="AR125" s="21" t="s">
        <v>172</v>
      </c>
      <c r="AT125" s="21" t="s">
        <v>168</v>
      </c>
      <c r="AU125" s="21" t="s">
        <v>135</v>
      </c>
      <c r="AY125" s="21" t="s">
        <v>167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21</v>
      </c>
      <c r="BK125" s="150">
        <f>ROUND(L125*K125,2)</f>
        <v>0</v>
      </c>
      <c r="BL125" s="21" t="s">
        <v>172</v>
      </c>
      <c r="BM125" s="21" t="s">
        <v>1194</v>
      </c>
    </row>
    <row r="126" spans="2:51" s="11" customFormat="1" ht="22.5" customHeight="1">
      <c r="B126" s="159"/>
      <c r="C126" s="160"/>
      <c r="D126" s="160"/>
      <c r="E126" s="161" t="s">
        <v>5</v>
      </c>
      <c r="F126" s="308" t="s">
        <v>1195</v>
      </c>
      <c r="G126" s="309"/>
      <c r="H126" s="309"/>
      <c r="I126" s="309"/>
      <c r="J126" s="160"/>
      <c r="K126" s="162">
        <v>15.75</v>
      </c>
      <c r="L126" s="160"/>
      <c r="M126" s="160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179</v>
      </c>
      <c r="AU126" s="166" t="s">
        <v>135</v>
      </c>
      <c r="AV126" s="11" t="s">
        <v>135</v>
      </c>
      <c r="AW126" s="11" t="s">
        <v>35</v>
      </c>
      <c r="AX126" s="11" t="s">
        <v>21</v>
      </c>
      <c r="AY126" s="166" t="s">
        <v>167</v>
      </c>
    </row>
    <row r="127" spans="2:65" s="1" customFormat="1" ht="31.5" customHeight="1">
      <c r="B127" s="141"/>
      <c r="C127" s="142" t="s">
        <v>172</v>
      </c>
      <c r="D127" s="142" t="s">
        <v>168</v>
      </c>
      <c r="E127" s="143" t="s">
        <v>251</v>
      </c>
      <c r="F127" s="293" t="s">
        <v>515</v>
      </c>
      <c r="G127" s="293"/>
      <c r="H127" s="293"/>
      <c r="I127" s="293"/>
      <c r="J127" s="144" t="s">
        <v>176</v>
      </c>
      <c r="K127" s="145">
        <v>13.4</v>
      </c>
      <c r="L127" s="294"/>
      <c r="M127" s="294"/>
      <c r="N127" s="294">
        <f>ROUND(L127*K127,2)</f>
        <v>0</v>
      </c>
      <c r="O127" s="294"/>
      <c r="P127" s="294"/>
      <c r="Q127" s="294"/>
      <c r="R127" s="146"/>
      <c r="T127" s="147" t="s">
        <v>5</v>
      </c>
      <c r="U127" s="44" t="s">
        <v>43</v>
      </c>
      <c r="V127" s="148">
        <v>0.044</v>
      </c>
      <c r="W127" s="148">
        <f>V127*K127</f>
        <v>0.5896</v>
      </c>
      <c r="X127" s="148">
        <v>0</v>
      </c>
      <c r="Y127" s="148">
        <f>X127*K127</f>
        <v>0</v>
      </c>
      <c r="Z127" s="148">
        <v>0</v>
      </c>
      <c r="AA127" s="149">
        <f>Z127*K127</f>
        <v>0</v>
      </c>
      <c r="AR127" s="21" t="s">
        <v>172</v>
      </c>
      <c r="AT127" s="21" t="s">
        <v>168</v>
      </c>
      <c r="AU127" s="21" t="s">
        <v>135</v>
      </c>
      <c r="AY127" s="21" t="s">
        <v>167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21</v>
      </c>
      <c r="BK127" s="150">
        <f>ROUND(L127*K127,2)</f>
        <v>0</v>
      </c>
      <c r="BL127" s="21" t="s">
        <v>172</v>
      </c>
      <c r="BM127" s="21" t="s">
        <v>1196</v>
      </c>
    </row>
    <row r="128" spans="2:51" s="11" customFormat="1" ht="22.5" customHeight="1">
      <c r="B128" s="159"/>
      <c r="C128" s="160"/>
      <c r="D128" s="160"/>
      <c r="E128" s="161" t="s">
        <v>5</v>
      </c>
      <c r="F128" s="308" t="s">
        <v>1197</v>
      </c>
      <c r="G128" s="309"/>
      <c r="H128" s="309"/>
      <c r="I128" s="309"/>
      <c r="J128" s="160"/>
      <c r="K128" s="162">
        <v>13.4</v>
      </c>
      <c r="L128" s="160"/>
      <c r="M128" s="160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179</v>
      </c>
      <c r="AU128" s="166" t="s">
        <v>135</v>
      </c>
      <c r="AV128" s="11" t="s">
        <v>135</v>
      </c>
      <c r="AW128" s="11" t="s">
        <v>35</v>
      </c>
      <c r="AX128" s="11" t="s">
        <v>21</v>
      </c>
      <c r="AY128" s="166" t="s">
        <v>167</v>
      </c>
    </row>
    <row r="129" spans="2:65" s="1" customFormat="1" ht="31.5" customHeight="1">
      <c r="B129" s="141"/>
      <c r="C129" s="142" t="s">
        <v>196</v>
      </c>
      <c r="D129" s="142" t="s">
        <v>168</v>
      </c>
      <c r="E129" s="143" t="s">
        <v>248</v>
      </c>
      <c r="F129" s="293" t="s">
        <v>249</v>
      </c>
      <c r="G129" s="293"/>
      <c r="H129" s="293"/>
      <c r="I129" s="293"/>
      <c r="J129" s="144" t="s">
        <v>176</v>
      </c>
      <c r="K129" s="145">
        <v>13.4</v>
      </c>
      <c r="L129" s="294"/>
      <c r="M129" s="294"/>
      <c r="N129" s="294">
        <f>ROUND(L129*K129,2)</f>
        <v>0</v>
      </c>
      <c r="O129" s="294"/>
      <c r="P129" s="294"/>
      <c r="Q129" s="294"/>
      <c r="R129" s="146"/>
      <c r="T129" s="147" t="s">
        <v>5</v>
      </c>
      <c r="U129" s="44" t="s">
        <v>43</v>
      </c>
      <c r="V129" s="148">
        <v>0.097</v>
      </c>
      <c r="W129" s="148">
        <f>V129*K129</f>
        <v>1.2998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172</v>
      </c>
      <c r="AT129" s="21" t="s">
        <v>168</v>
      </c>
      <c r="AU129" s="21" t="s">
        <v>135</v>
      </c>
      <c r="AY129" s="21" t="s">
        <v>167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21</v>
      </c>
      <c r="BK129" s="150">
        <f>ROUND(L129*K129,2)</f>
        <v>0</v>
      </c>
      <c r="BL129" s="21" t="s">
        <v>172</v>
      </c>
      <c r="BM129" s="21" t="s">
        <v>1198</v>
      </c>
    </row>
    <row r="130" spans="2:65" s="1" customFormat="1" ht="31.5" customHeight="1">
      <c r="B130" s="141"/>
      <c r="C130" s="142" t="s">
        <v>203</v>
      </c>
      <c r="D130" s="142" t="s">
        <v>168</v>
      </c>
      <c r="E130" s="143" t="s">
        <v>522</v>
      </c>
      <c r="F130" s="293" t="s">
        <v>1199</v>
      </c>
      <c r="G130" s="293"/>
      <c r="H130" s="293"/>
      <c r="I130" s="293"/>
      <c r="J130" s="144" t="s">
        <v>176</v>
      </c>
      <c r="K130" s="145">
        <v>13.4</v>
      </c>
      <c r="L130" s="294"/>
      <c r="M130" s="294"/>
      <c r="N130" s="294">
        <f>ROUND(L130*K130,2)</f>
        <v>0</v>
      </c>
      <c r="O130" s="294"/>
      <c r="P130" s="294"/>
      <c r="Q130" s="294"/>
      <c r="R130" s="146"/>
      <c r="T130" s="147" t="s">
        <v>5</v>
      </c>
      <c r="U130" s="44" t="s">
        <v>43</v>
      </c>
      <c r="V130" s="148">
        <v>0.299</v>
      </c>
      <c r="W130" s="148">
        <f>V130*K130</f>
        <v>4.0066</v>
      </c>
      <c r="X130" s="148">
        <v>0</v>
      </c>
      <c r="Y130" s="148">
        <f>X130*K130</f>
        <v>0</v>
      </c>
      <c r="Z130" s="148">
        <v>0</v>
      </c>
      <c r="AA130" s="149">
        <f>Z130*K130</f>
        <v>0</v>
      </c>
      <c r="AR130" s="21" t="s">
        <v>172</v>
      </c>
      <c r="AT130" s="21" t="s">
        <v>168</v>
      </c>
      <c r="AU130" s="21" t="s">
        <v>135</v>
      </c>
      <c r="AY130" s="21" t="s">
        <v>167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21</v>
      </c>
      <c r="BK130" s="150">
        <f>ROUND(L130*K130,2)</f>
        <v>0</v>
      </c>
      <c r="BL130" s="21" t="s">
        <v>172</v>
      </c>
      <c r="BM130" s="21" t="s">
        <v>1200</v>
      </c>
    </row>
    <row r="131" spans="2:51" s="11" customFormat="1" ht="22.5" customHeight="1">
      <c r="B131" s="159"/>
      <c r="C131" s="160"/>
      <c r="D131" s="160"/>
      <c r="E131" s="161" t="s">
        <v>5</v>
      </c>
      <c r="F131" s="308" t="s">
        <v>1201</v>
      </c>
      <c r="G131" s="309"/>
      <c r="H131" s="309"/>
      <c r="I131" s="309"/>
      <c r="J131" s="160"/>
      <c r="K131" s="162">
        <v>13.4</v>
      </c>
      <c r="L131" s="160"/>
      <c r="M131" s="160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179</v>
      </c>
      <c r="AU131" s="166" t="s">
        <v>135</v>
      </c>
      <c r="AV131" s="11" t="s">
        <v>135</v>
      </c>
      <c r="AW131" s="11" t="s">
        <v>35</v>
      </c>
      <c r="AX131" s="11" t="s">
        <v>21</v>
      </c>
      <c r="AY131" s="166" t="s">
        <v>167</v>
      </c>
    </row>
    <row r="132" spans="2:65" s="1" customFormat="1" ht="31.5" customHeight="1">
      <c r="B132" s="141"/>
      <c r="C132" s="142" t="s">
        <v>207</v>
      </c>
      <c r="D132" s="142" t="s">
        <v>168</v>
      </c>
      <c r="E132" s="143" t="s">
        <v>1202</v>
      </c>
      <c r="F132" s="293" t="s">
        <v>1203</v>
      </c>
      <c r="G132" s="293"/>
      <c r="H132" s="293"/>
      <c r="I132" s="293"/>
      <c r="J132" s="144" t="s">
        <v>176</v>
      </c>
      <c r="K132" s="145">
        <v>10.72</v>
      </c>
      <c r="L132" s="294"/>
      <c r="M132" s="294"/>
      <c r="N132" s="294">
        <f>ROUND(L132*K132,2)</f>
        <v>0</v>
      </c>
      <c r="O132" s="294"/>
      <c r="P132" s="294"/>
      <c r="Q132" s="294"/>
      <c r="R132" s="146"/>
      <c r="T132" s="147" t="s">
        <v>5</v>
      </c>
      <c r="U132" s="44" t="s">
        <v>43</v>
      </c>
      <c r="V132" s="148">
        <v>1.5</v>
      </c>
      <c r="W132" s="148">
        <f>V132*K132</f>
        <v>16.080000000000002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172</v>
      </c>
      <c r="AT132" s="21" t="s">
        <v>168</v>
      </c>
      <c r="AU132" s="21" t="s">
        <v>135</v>
      </c>
      <c r="AY132" s="21" t="s">
        <v>167</v>
      </c>
      <c r="BE132" s="150">
        <f>IF(U132="základní",N132,0)</f>
        <v>0</v>
      </c>
      <c r="BF132" s="150">
        <f>IF(U132="snížená",N132,0)</f>
        <v>0</v>
      </c>
      <c r="BG132" s="150">
        <f>IF(U132="zákl. přenesená",N132,0)</f>
        <v>0</v>
      </c>
      <c r="BH132" s="150">
        <f>IF(U132="sníž. přenesená",N132,0)</f>
        <v>0</v>
      </c>
      <c r="BI132" s="150">
        <f>IF(U132="nulová",N132,0)</f>
        <v>0</v>
      </c>
      <c r="BJ132" s="21" t="s">
        <v>21</v>
      </c>
      <c r="BK132" s="150">
        <f>ROUND(L132*K132,2)</f>
        <v>0</v>
      </c>
      <c r="BL132" s="21" t="s">
        <v>172</v>
      </c>
      <c r="BM132" s="21" t="s">
        <v>1204</v>
      </c>
    </row>
    <row r="133" spans="2:51" s="11" customFormat="1" ht="22.5" customHeight="1">
      <c r="B133" s="159"/>
      <c r="C133" s="160"/>
      <c r="D133" s="160"/>
      <c r="E133" s="161" t="s">
        <v>5</v>
      </c>
      <c r="F133" s="308" t="s">
        <v>1205</v>
      </c>
      <c r="G133" s="309"/>
      <c r="H133" s="309"/>
      <c r="I133" s="309"/>
      <c r="J133" s="160"/>
      <c r="K133" s="162">
        <v>2.24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179</v>
      </c>
      <c r="AU133" s="166" t="s">
        <v>135</v>
      </c>
      <c r="AV133" s="11" t="s">
        <v>135</v>
      </c>
      <c r="AW133" s="11" t="s">
        <v>35</v>
      </c>
      <c r="AX133" s="11" t="s">
        <v>78</v>
      </c>
      <c r="AY133" s="166" t="s">
        <v>167</v>
      </c>
    </row>
    <row r="134" spans="2:51" s="11" customFormat="1" ht="22.5" customHeight="1">
      <c r="B134" s="159"/>
      <c r="C134" s="160"/>
      <c r="D134" s="160"/>
      <c r="E134" s="161" t="s">
        <v>5</v>
      </c>
      <c r="F134" s="302" t="s">
        <v>1206</v>
      </c>
      <c r="G134" s="303"/>
      <c r="H134" s="303"/>
      <c r="I134" s="303"/>
      <c r="J134" s="160"/>
      <c r="K134" s="162">
        <v>3.68</v>
      </c>
      <c r="L134" s="160"/>
      <c r="M134" s="160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179</v>
      </c>
      <c r="AU134" s="166" t="s">
        <v>135</v>
      </c>
      <c r="AV134" s="11" t="s">
        <v>135</v>
      </c>
      <c r="AW134" s="11" t="s">
        <v>35</v>
      </c>
      <c r="AX134" s="11" t="s">
        <v>78</v>
      </c>
      <c r="AY134" s="166" t="s">
        <v>167</v>
      </c>
    </row>
    <row r="135" spans="2:51" s="11" customFormat="1" ht="22.5" customHeight="1">
      <c r="B135" s="159"/>
      <c r="C135" s="160"/>
      <c r="D135" s="160"/>
      <c r="E135" s="161" t="s">
        <v>5</v>
      </c>
      <c r="F135" s="302" t="s">
        <v>1207</v>
      </c>
      <c r="G135" s="303"/>
      <c r="H135" s="303"/>
      <c r="I135" s="303"/>
      <c r="J135" s="160"/>
      <c r="K135" s="162">
        <v>4.8</v>
      </c>
      <c r="L135" s="160"/>
      <c r="M135" s="160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179</v>
      </c>
      <c r="AU135" s="166" t="s">
        <v>135</v>
      </c>
      <c r="AV135" s="11" t="s">
        <v>135</v>
      </c>
      <c r="AW135" s="11" t="s">
        <v>35</v>
      </c>
      <c r="AX135" s="11" t="s">
        <v>78</v>
      </c>
      <c r="AY135" s="166" t="s">
        <v>167</v>
      </c>
    </row>
    <row r="136" spans="2:51" s="12" customFormat="1" ht="22.5" customHeight="1">
      <c r="B136" s="167"/>
      <c r="C136" s="168"/>
      <c r="D136" s="168"/>
      <c r="E136" s="169" t="s">
        <v>5</v>
      </c>
      <c r="F136" s="306" t="s">
        <v>183</v>
      </c>
      <c r="G136" s="307"/>
      <c r="H136" s="307"/>
      <c r="I136" s="307"/>
      <c r="J136" s="168"/>
      <c r="K136" s="170">
        <v>10.72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179</v>
      </c>
      <c r="AU136" s="174" t="s">
        <v>135</v>
      </c>
      <c r="AV136" s="12" t="s">
        <v>172</v>
      </c>
      <c r="AW136" s="12" t="s">
        <v>35</v>
      </c>
      <c r="AX136" s="12" t="s">
        <v>21</v>
      </c>
      <c r="AY136" s="174" t="s">
        <v>167</v>
      </c>
    </row>
    <row r="137" spans="2:65" s="1" customFormat="1" ht="22.5" customHeight="1">
      <c r="B137" s="141"/>
      <c r="C137" s="178" t="s">
        <v>213</v>
      </c>
      <c r="D137" s="178" t="s">
        <v>317</v>
      </c>
      <c r="E137" s="179" t="s">
        <v>1208</v>
      </c>
      <c r="F137" s="313" t="s">
        <v>1209</v>
      </c>
      <c r="G137" s="313"/>
      <c r="H137" s="313"/>
      <c r="I137" s="313"/>
      <c r="J137" s="180" t="s">
        <v>210</v>
      </c>
      <c r="K137" s="181">
        <v>16.294</v>
      </c>
      <c r="L137" s="314"/>
      <c r="M137" s="314"/>
      <c r="N137" s="314">
        <f>ROUND(L137*K137,2)</f>
        <v>0</v>
      </c>
      <c r="O137" s="294"/>
      <c r="P137" s="294"/>
      <c r="Q137" s="294"/>
      <c r="R137" s="146"/>
      <c r="T137" s="147" t="s">
        <v>5</v>
      </c>
      <c r="U137" s="44" t="s">
        <v>43</v>
      </c>
      <c r="V137" s="148">
        <v>0</v>
      </c>
      <c r="W137" s="148">
        <f>V137*K137</f>
        <v>0</v>
      </c>
      <c r="X137" s="148">
        <v>1</v>
      </c>
      <c r="Y137" s="148">
        <f>X137*K137</f>
        <v>16.294</v>
      </c>
      <c r="Z137" s="148">
        <v>0</v>
      </c>
      <c r="AA137" s="149">
        <f>Z137*K137</f>
        <v>0</v>
      </c>
      <c r="AR137" s="21" t="s">
        <v>213</v>
      </c>
      <c r="AT137" s="21" t="s">
        <v>317</v>
      </c>
      <c r="AU137" s="21" t="s">
        <v>135</v>
      </c>
      <c r="AY137" s="21" t="s">
        <v>167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21</v>
      </c>
      <c r="BK137" s="150">
        <f>ROUND(L137*K137,2)</f>
        <v>0</v>
      </c>
      <c r="BL137" s="21" t="s">
        <v>172</v>
      </c>
      <c r="BM137" s="21" t="s">
        <v>1210</v>
      </c>
    </row>
    <row r="138" spans="2:51" s="11" customFormat="1" ht="22.5" customHeight="1">
      <c r="B138" s="159"/>
      <c r="C138" s="160"/>
      <c r="D138" s="160"/>
      <c r="E138" s="161" t="s">
        <v>5</v>
      </c>
      <c r="F138" s="308" t="s">
        <v>1211</v>
      </c>
      <c r="G138" s="309"/>
      <c r="H138" s="309"/>
      <c r="I138" s="309"/>
      <c r="J138" s="160"/>
      <c r="K138" s="162">
        <v>16.294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179</v>
      </c>
      <c r="AU138" s="166" t="s">
        <v>135</v>
      </c>
      <c r="AV138" s="11" t="s">
        <v>135</v>
      </c>
      <c r="AW138" s="11" t="s">
        <v>35</v>
      </c>
      <c r="AX138" s="11" t="s">
        <v>21</v>
      </c>
      <c r="AY138" s="166" t="s">
        <v>167</v>
      </c>
    </row>
    <row r="139" spans="2:65" s="1" customFormat="1" ht="22.5" customHeight="1">
      <c r="B139" s="141"/>
      <c r="C139" s="142" t="s">
        <v>218</v>
      </c>
      <c r="D139" s="142" t="s">
        <v>168</v>
      </c>
      <c r="E139" s="143" t="s">
        <v>1212</v>
      </c>
      <c r="F139" s="293" t="s">
        <v>1213</v>
      </c>
      <c r="G139" s="293"/>
      <c r="H139" s="293"/>
      <c r="I139" s="293"/>
      <c r="J139" s="144" t="s">
        <v>176</v>
      </c>
      <c r="K139" s="145">
        <v>2.68</v>
      </c>
      <c r="L139" s="294"/>
      <c r="M139" s="294"/>
      <c r="N139" s="294">
        <f>ROUND(L139*K139,2)</f>
        <v>0</v>
      </c>
      <c r="O139" s="294"/>
      <c r="P139" s="294"/>
      <c r="Q139" s="294"/>
      <c r="R139" s="146"/>
      <c r="T139" s="147" t="s">
        <v>5</v>
      </c>
      <c r="U139" s="44" t="s">
        <v>43</v>
      </c>
      <c r="V139" s="148">
        <v>1.5</v>
      </c>
      <c r="W139" s="148">
        <f>V139*K139</f>
        <v>4.0200000000000005</v>
      </c>
      <c r="X139" s="148">
        <v>0</v>
      </c>
      <c r="Y139" s="148">
        <f>X139*K139</f>
        <v>0</v>
      </c>
      <c r="Z139" s="148">
        <v>0</v>
      </c>
      <c r="AA139" s="149">
        <f>Z139*K139</f>
        <v>0</v>
      </c>
      <c r="AR139" s="21" t="s">
        <v>172</v>
      </c>
      <c r="AT139" s="21" t="s">
        <v>168</v>
      </c>
      <c r="AU139" s="21" t="s">
        <v>135</v>
      </c>
      <c r="AY139" s="21" t="s">
        <v>167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21</v>
      </c>
      <c r="BK139" s="150">
        <f>ROUND(L139*K139,2)</f>
        <v>0</v>
      </c>
      <c r="BL139" s="21" t="s">
        <v>172</v>
      </c>
      <c r="BM139" s="21" t="s">
        <v>1214</v>
      </c>
    </row>
    <row r="140" spans="2:51" s="11" customFormat="1" ht="22.5" customHeight="1">
      <c r="B140" s="159"/>
      <c r="C140" s="160"/>
      <c r="D140" s="160"/>
      <c r="E140" s="161" t="s">
        <v>5</v>
      </c>
      <c r="F140" s="308" t="s">
        <v>1215</v>
      </c>
      <c r="G140" s="309"/>
      <c r="H140" s="309"/>
      <c r="I140" s="309"/>
      <c r="J140" s="160"/>
      <c r="K140" s="162">
        <v>0.56</v>
      </c>
      <c r="L140" s="160"/>
      <c r="M140" s="160"/>
      <c r="N140" s="160"/>
      <c r="O140" s="160"/>
      <c r="P140" s="160"/>
      <c r="Q140" s="160"/>
      <c r="R140" s="163"/>
      <c r="T140" s="164"/>
      <c r="U140" s="160"/>
      <c r="V140" s="160"/>
      <c r="W140" s="160"/>
      <c r="X140" s="160"/>
      <c r="Y140" s="160"/>
      <c r="Z140" s="160"/>
      <c r="AA140" s="165"/>
      <c r="AT140" s="166" t="s">
        <v>179</v>
      </c>
      <c r="AU140" s="166" t="s">
        <v>135</v>
      </c>
      <c r="AV140" s="11" t="s">
        <v>135</v>
      </c>
      <c r="AW140" s="11" t="s">
        <v>35</v>
      </c>
      <c r="AX140" s="11" t="s">
        <v>78</v>
      </c>
      <c r="AY140" s="166" t="s">
        <v>167</v>
      </c>
    </row>
    <row r="141" spans="2:51" s="11" customFormat="1" ht="22.5" customHeight="1">
      <c r="B141" s="159"/>
      <c r="C141" s="160"/>
      <c r="D141" s="160"/>
      <c r="E141" s="161" t="s">
        <v>5</v>
      </c>
      <c r="F141" s="302" t="s">
        <v>1216</v>
      </c>
      <c r="G141" s="303"/>
      <c r="H141" s="303"/>
      <c r="I141" s="303"/>
      <c r="J141" s="160"/>
      <c r="K141" s="162">
        <v>0.92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179</v>
      </c>
      <c r="AU141" s="166" t="s">
        <v>135</v>
      </c>
      <c r="AV141" s="11" t="s">
        <v>135</v>
      </c>
      <c r="AW141" s="11" t="s">
        <v>35</v>
      </c>
      <c r="AX141" s="11" t="s">
        <v>78</v>
      </c>
      <c r="AY141" s="166" t="s">
        <v>167</v>
      </c>
    </row>
    <row r="142" spans="2:51" s="11" customFormat="1" ht="22.5" customHeight="1">
      <c r="B142" s="159"/>
      <c r="C142" s="160"/>
      <c r="D142" s="160"/>
      <c r="E142" s="161" t="s">
        <v>5</v>
      </c>
      <c r="F142" s="302" t="s">
        <v>1217</v>
      </c>
      <c r="G142" s="303"/>
      <c r="H142" s="303"/>
      <c r="I142" s="303"/>
      <c r="J142" s="160"/>
      <c r="K142" s="162">
        <v>1.2</v>
      </c>
      <c r="L142" s="160"/>
      <c r="M142" s="160"/>
      <c r="N142" s="160"/>
      <c r="O142" s="160"/>
      <c r="P142" s="160"/>
      <c r="Q142" s="160"/>
      <c r="R142" s="163"/>
      <c r="T142" s="164"/>
      <c r="U142" s="160"/>
      <c r="V142" s="160"/>
      <c r="W142" s="160"/>
      <c r="X142" s="160"/>
      <c r="Y142" s="160"/>
      <c r="Z142" s="160"/>
      <c r="AA142" s="165"/>
      <c r="AT142" s="166" t="s">
        <v>179</v>
      </c>
      <c r="AU142" s="166" t="s">
        <v>135</v>
      </c>
      <c r="AV142" s="11" t="s">
        <v>135</v>
      </c>
      <c r="AW142" s="11" t="s">
        <v>35</v>
      </c>
      <c r="AX142" s="11" t="s">
        <v>78</v>
      </c>
      <c r="AY142" s="166" t="s">
        <v>167</v>
      </c>
    </row>
    <row r="143" spans="2:51" s="12" customFormat="1" ht="22.5" customHeight="1">
      <c r="B143" s="167"/>
      <c r="C143" s="168"/>
      <c r="D143" s="168"/>
      <c r="E143" s="169" t="s">
        <v>5</v>
      </c>
      <c r="F143" s="306" t="s">
        <v>183</v>
      </c>
      <c r="G143" s="307"/>
      <c r="H143" s="307"/>
      <c r="I143" s="307"/>
      <c r="J143" s="168"/>
      <c r="K143" s="170">
        <v>2.68</v>
      </c>
      <c r="L143" s="168"/>
      <c r="M143" s="168"/>
      <c r="N143" s="168"/>
      <c r="O143" s="168"/>
      <c r="P143" s="168"/>
      <c r="Q143" s="168"/>
      <c r="R143" s="171"/>
      <c r="T143" s="172"/>
      <c r="U143" s="168"/>
      <c r="V143" s="168"/>
      <c r="W143" s="168"/>
      <c r="X143" s="168"/>
      <c r="Y143" s="168"/>
      <c r="Z143" s="168"/>
      <c r="AA143" s="173"/>
      <c r="AT143" s="174" t="s">
        <v>179</v>
      </c>
      <c r="AU143" s="174" t="s">
        <v>135</v>
      </c>
      <c r="AV143" s="12" t="s">
        <v>172</v>
      </c>
      <c r="AW143" s="12" t="s">
        <v>35</v>
      </c>
      <c r="AX143" s="12" t="s">
        <v>21</v>
      </c>
      <c r="AY143" s="174" t="s">
        <v>167</v>
      </c>
    </row>
    <row r="144" spans="2:63" s="9" customFormat="1" ht="29.85" customHeight="1">
      <c r="B144" s="130"/>
      <c r="C144" s="131"/>
      <c r="D144" s="140" t="s">
        <v>149</v>
      </c>
      <c r="E144" s="140"/>
      <c r="F144" s="140"/>
      <c r="G144" s="140"/>
      <c r="H144" s="140"/>
      <c r="I144" s="140"/>
      <c r="J144" s="140"/>
      <c r="K144" s="140"/>
      <c r="L144" s="140"/>
      <c r="M144" s="140"/>
      <c r="N144" s="298">
        <f>BK144</f>
        <v>0</v>
      </c>
      <c r="O144" s="299"/>
      <c r="P144" s="299"/>
      <c r="Q144" s="299"/>
      <c r="R144" s="133"/>
      <c r="T144" s="134"/>
      <c r="U144" s="131"/>
      <c r="V144" s="131"/>
      <c r="W144" s="135">
        <f>SUM(W145:W151)</f>
        <v>23.976999999999997</v>
      </c>
      <c r="X144" s="131"/>
      <c r="Y144" s="135">
        <f>SUM(Y145:Y151)</f>
        <v>1.90387</v>
      </c>
      <c r="Z144" s="131"/>
      <c r="AA144" s="136">
        <f>SUM(AA145:AA151)</f>
        <v>0</v>
      </c>
      <c r="AR144" s="137" t="s">
        <v>21</v>
      </c>
      <c r="AT144" s="138" t="s">
        <v>77</v>
      </c>
      <c r="AU144" s="138" t="s">
        <v>21</v>
      </c>
      <c r="AY144" s="137" t="s">
        <v>167</v>
      </c>
      <c r="BK144" s="139">
        <f>SUM(BK145:BK151)</f>
        <v>0</v>
      </c>
    </row>
    <row r="145" spans="2:65" s="1" customFormat="1" ht="22.5" customHeight="1">
      <c r="B145" s="141"/>
      <c r="C145" s="142" t="s">
        <v>25</v>
      </c>
      <c r="D145" s="142" t="s">
        <v>168</v>
      </c>
      <c r="E145" s="143" t="s">
        <v>1218</v>
      </c>
      <c r="F145" s="293" t="s">
        <v>1219</v>
      </c>
      <c r="G145" s="293"/>
      <c r="H145" s="293"/>
      <c r="I145" s="293"/>
      <c r="J145" s="144" t="s">
        <v>259</v>
      </c>
      <c r="K145" s="145">
        <v>7</v>
      </c>
      <c r="L145" s="294"/>
      <c r="M145" s="294"/>
      <c r="N145" s="294">
        <f aca="true" t="shared" si="0" ref="N145:N151">ROUND(L145*K145,2)</f>
        <v>0</v>
      </c>
      <c r="O145" s="294"/>
      <c r="P145" s="294"/>
      <c r="Q145" s="294"/>
      <c r="R145" s="146"/>
      <c r="T145" s="147" t="s">
        <v>5</v>
      </c>
      <c r="U145" s="44" t="s">
        <v>43</v>
      </c>
      <c r="V145" s="148">
        <v>0.825</v>
      </c>
      <c r="W145" s="148">
        <f aca="true" t="shared" si="1" ref="W145:W151">V145*K145</f>
        <v>5.7749999999999995</v>
      </c>
      <c r="X145" s="148">
        <v>0</v>
      </c>
      <c r="Y145" s="148">
        <f aca="true" t="shared" si="2" ref="Y145:Y151">X145*K145</f>
        <v>0</v>
      </c>
      <c r="Z145" s="148">
        <v>0</v>
      </c>
      <c r="AA145" s="149">
        <f aca="true" t="shared" si="3" ref="AA145:AA151">Z145*K145</f>
        <v>0</v>
      </c>
      <c r="AR145" s="21" t="s">
        <v>172</v>
      </c>
      <c r="AT145" s="21" t="s">
        <v>168</v>
      </c>
      <c r="AU145" s="21" t="s">
        <v>135</v>
      </c>
      <c r="AY145" s="21" t="s">
        <v>167</v>
      </c>
      <c r="BE145" s="150">
        <f aca="true" t="shared" si="4" ref="BE145:BE151">IF(U145="základní",N145,0)</f>
        <v>0</v>
      </c>
      <c r="BF145" s="150">
        <f aca="true" t="shared" si="5" ref="BF145:BF151">IF(U145="snížená",N145,0)</f>
        <v>0</v>
      </c>
      <c r="BG145" s="150">
        <f aca="true" t="shared" si="6" ref="BG145:BG151">IF(U145="zákl. přenesená",N145,0)</f>
        <v>0</v>
      </c>
      <c r="BH145" s="150">
        <f aca="true" t="shared" si="7" ref="BH145:BH151">IF(U145="sníž. přenesená",N145,0)</f>
        <v>0</v>
      </c>
      <c r="BI145" s="150">
        <f aca="true" t="shared" si="8" ref="BI145:BI151">IF(U145="nulová",N145,0)</f>
        <v>0</v>
      </c>
      <c r="BJ145" s="21" t="s">
        <v>21</v>
      </c>
      <c r="BK145" s="150">
        <f aca="true" t="shared" si="9" ref="BK145:BK151">ROUND(L145*K145,2)</f>
        <v>0</v>
      </c>
      <c r="BL145" s="21" t="s">
        <v>172</v>
      </c>
      <c r="BM145" s="21" t="s">
        <v>1220</v>
      </c>
    </row>
    <row r="146" spans="2:65" s="1" customFormat="1" ht="31.5" customHeight="1">
      <c r="B146" s="141"/>
      <c r="C146" s="142" t="s">
        <v>270</v>
      </c>
      <c r="D146" s="142" t="s">
        <v>168</v>
      </c>
      <c r="E146" s="143" t="s">
        <v>1221</v>
      </c>
      <c r="F146" s="293" t="s">
        <v>1222</v>
      </c>
      <c r="G146" s="293"/>
      <c r="H146" s="293"/>
      <c r="I146" s="293"/>
      <c r="J146" s="144" t="s">
        <v>259</v>
      </c>
      <c r="K146" s="145">
        <v>7</v>
      </c>
      <c r="L146" s="294"/>
      <c r="M146" s="294"/>
      <c r="N146" s="294">
        <f t="shared" si="0"/>
        <v>0</v>
      </c>
      <c r="O146" s="294"/>
      <c r="P146" s="294"/>
      <c r="Q146" s="294"/>
      <c r="R146" s="146"/>
      <c r="T146" s="147" t="s">
        <v>5</v>
      </c>
      <c r="U146" s="44" t="s">
        <v>43</v>
      </c>
      <c r="V146" s="148">
        <v>1.186</v>
      </c>
      <c r="W146" s="148">
        <f t="shared" si="1"/>
        <v>8.302</v>
      </c>
      <c r="X146" s="148">
        <v>0.00086</v>
      </c>
      <c r="Y146" s="148">
        <f t="shared" si="2"/>
        <v>0.00602</v>
      </c>
      <c r="Z146" s="148">
        <v>0</v>
      </c>
      <c r="AA146" s="149">
        <f t="shared" si="3"/>
        <v>0</v>
      </c>
      <c r="AR146" s="21" t="s">
        <v>172</v>
      </c>
      <c r="AT146" s="21" t="s">
        <v>168</v>
      </c>
      <c r="AU146" s="21" t="s">
        <v>135</v>
      </c>
      <c r="AY146" s="21" t="s">
        <v>167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21" t="s">
        <v>21</v>
      </c>
      <c r="BK146" s="150">
        <f t="shared" si="9"/>
        <v>0</v>
      </c>
      <c r="BL146" s="21" t="s">
        <v>172</v>
      </c>
      <c r="BM146" s="21" t="s">
        <v>1223</v>
      </c>
    </row>
    <row r="147" spans="2:65" s="1" customFormat="1" ht="31.5" customHeight="1">
      <c r="B147" s="141"/>
      <c r="C147" s="142" t="s">
        <v>273</v>
      </c>
      <c r="D147" s="142" t="s">
        <v>168</v>
      </c>
      <c r="E147" s="143" t="s">
        <v>1224</v>
      </c>
      <c r="F147" s="293" t="s">
        <v>1225</v>
      </c>
      <c r="G147" s="293"/>
      <c r="H147" s="293"/>
      <c r="I147" s="293"/>
      <c r="J147" s="144" t="s">
        <v>578</v>
      </c>
      <c r="K147" s="145">
        <v>3</v>
      </c>
      <c r="L147" s="294"/>
      <c r="M147" s="294"/>
      <c r="N147" s="294">
        <f t="shared" si="0"/>
        <v>0</v>
      </c>
      <c r="O147" s="294"/>
      <c r="P147" s="294"/>
      <c r="Q147" s="294"/>
      <c r="R147" s="146"/>
      <c r="T147" s="147" t="s">
        <v>5</v>
      </c>
      <c r="U147" s="44" t="s">
        <v>43</v>
      </c>
      <c r="V147" s="148">
        <v>2.75</v>
      </c>
      <c r="W147" s="148">
        <f t="shared" si="1"/>
        <v>8.25</v>
      </c>
      <c r="X147" s="148">
        <v>0.02995</v>
      </c>
      <c r="Y147" s="148">
        <f t="shared" si="2"/>
        <v>0.08985</v>
      </c>
      <c r="Z147" s="148">
        <v>0</v>
      </c>
      <c r="AA147" s="149">
        <f t="shared" si="3"/>
        <v>0</v>
      </c>
      <c r="AR147" s="21" t="s">
        <v>172</v>
      </c>
      <c r="AT147" s="21" t="s">
        <v>168</v>
      </c>
      <c r="AU147" s="21" t="s">
        <v>135</v>
      </c>
      <c r="AY147" s="21" t="s">
        <v>167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21" t="s">
        <v>21</v>
      </c>
      <c r="BK147" s="150">
        <f t="shared" si="9"/>
        <v>0</v>
      </c>
      <c r="BL147" s="21" t="s">
        <v>172</v>
      </c>
      <c r="BM147" s="21" t="s">
        <v>1226</v>
      </c>
    </row>
    <row r="148" spans="2:65" s="1" customFormat="1" ht="31.5" customHeight="1">
      <c r="B148" s="141"/>
      <c r="C148" s="178" t="s">
        <v>276</v>
      </c>
      <c r="D148" s="178" t="s">
        <v>317</v>
      </c>
      <c r="E148" s="179" t="s">
        <v>1227</v>
      </c>
      <c r="F148" s="313" t="s">
        <v>1228</v>
      </c>
      <c r="G148" s="313"/>
      <c r="H148" s="313"/>
      <c r="I148" s="313"/>
      <c r="J148" s="180" t="s">
        <v>578</v>
      </c>
      <c r="K148" s="181">
        <v>2</v>
      </c>
      <c r="L148" s="314"/>
      <c r="M148" s="314"/>
      <c r="N148" s="314">
        <f t="shared" si="0"/>
        <v>0</v>
      </c>
      <c r="O148" s="294"/>
      <c r="P148" s="294"/>
      <c r="Q148" s="294"/>
      <c r="R148" s="146"/>
      <c r="T148" s="147" t="s">
        <v>5</v>
      </c>
      <c r="U148" s="44" t="s">
        <v>43</v>
      </c>
      <c r="V148" s="148">
        <v>0</v>
      </c>
      <c r="W148" s="148">
        <f t="shared" si="1"/>
        <v>0</v>
      </c>
      <c r="X148" s="148">
        <v>0.79</v>
      </c>
      <c r="Y148" s="148">
        <f t="shared" si="2"/>
        <v>1.58</v>
      </c>
      <c r="Z148" s="148">
        <v>0</v>
      </c>
      <c r="AA148" s="149">
        <f t="shared" si="3"/>
        <v>0</v>
      </c>
      <c r="AR148" s="21" t="s">
        <v>213</v>
      </c>
      <c r="AT148" s="21" t="s">
        <v>317</v>
      </c>
      <c r="AU148" s="21" t="s">
        <v>135</v>
      </c>
      <c r="AY148" s="21" t="s">
        <v>167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21" t="s">
        <v>21</v>
      </c>
      <c r="BK148" s="150">
        <f t="shared" si="9"/>
        <v>0</v>
      </c>
      <c r="BL148" s="21" t="s">
        <v>172</v>
      </c>
      <c r="BM148" s="21" t="s">
        <v>1229</v>
      </c>
    </row>
    <row r="149" spans="2:65" s="1" customFormat="1" ht="31.5" customHeight="1">
      <c r="B149" s="141"/>
      <c r="C149" s="178" t="s">
        <v>278</v>
      </c>
      <c r="D149" s="178" t="s">
        <v>317</v>
      </c>
      <c r="E149" s="179" t="s">
        <v>1230</v>
      </c>
      <c r="F149" s="313" t="s">
        <v>1231</v>
      </c>
      <c r="G149" s="313"/>
      <c r="H149" s="313"/>
      <c r="I149" s="313"/>
      <c r="J149" s="180" t="s">
        <v>578</v>
      </c>
      <c r="K149" s="181">
        <v>1</v>
      </c>
      <c r="L149" s="314"/>
      <c r="M149" s="314"/>
      <c r="N149" s="314">
        <f t="shared" si="0"/>
        <v>0</v>
      </c>
      <c r="O149" s="294"/>
      <c r="P149" s="294"/>
      <c r="Q149" s="294"/>
      <c r="R149" s="146"/>
      <c r="T149" s="147" t="s">
        <v>5</v>
      </c>
      <c r="U149" s="44" t="s">
        <v>43</v>
      </c>
      <c r="V149" s="148">
        <v>0</v>
      </c>
      <c r="W149" s="148">
        <f t="shared" si="1"/>
        <v>0</v>
      </c>
      <c r="X149" s="148">
        <v>0.228</v>
      </c>
      <c r="Y149" s="148">
        <f t="shared" si="2"/>
        <v>0.228</v>
      </c>
      <c r="Z149" s="148">
        <v>0</v>
      </c>
      <c r="AA149" s="149">
        <f t="shared" si="3"/>
        <v>0</v>
      </c>
      <c r="AR149" s="21" t="s">
        <v>213</v>
      </c>
      <c r="AT149" s="21" t="s">
        <v>317</v>
      </c>
      <c r="AU149" s="21" t="s">
        <v>135</v>
      </c>
      <c r="AY149" s="21" t="s">
        <v>167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21" t="s">
        <v>21</v>
      </c>
      <c r="BK149" s="150">
        <f t="shared" si="9"/>
        <v>0</v>
      </c>
      <c r="BL149" s="21" t="s">
        <v>172</v>
      </c>
      <c r="BM149" s="21" t="s">
        <v>1232</v>
      </c>
    </row>
    <row r="150" spans="2:65" s="1" customFormat="1" ht="22.5" customHeight="1">
      <c r="B150" s="141"/>
      <c r="C150" s="142" t="s">
        <v>281</v>
      </c>
      <c r="D150" s="142" t="s">
        <v>168</v>
      </c>
      <c r="E150" s="143" t="s">
        <v>1233</v>
      </c>
      <c r="F150" s="293" t="s">
        <v>1234</v>
      </c>
      <c r="G150" s="293"/>
      <c r="H150" s="293"/>
      <c r="I150" s="293"/>
      <c r="J150" s="144" t="s">
        <v>595</v>
      </c>
      <c r="K150" s="145">
        <v>1</v>
      </c>
      <c r="L150" s="294"/>
      <c r="M150" s="294"/>
      <c r="N150" s="294">
        <f t="shared" si="0"/>
        <v>0</v>
      </c>
      <c r="O150" s="294"/>
      <c r="P150" s="294"/>
      <c r="Q150" s="294"/>
      <c r="R150" s="146"/>
      <c r="T150" s="147" t="s">
        <v>5</v>
      </c>
      <c r="U150" s="44" t="s">
        <v>43</v>
      </c>
      <c r="V150" s="148">
        <v>0.825</v>
      </c>
      <c r="W150" s="148">
        <f t="shared" si="1"/>
        <v>0.825</v>
      </c>
      <c r="X150" s="148">
        <v>0</v>
      </c>
      <c r="Y150" s="148">
        <f t="shared" si="2"/>
        <v>0</v>
      </c>
      <c r="Z150" s="148">
        <v>0</v>
      </c>
      <c r="AA150" s="149">
        <f t="shared" si="3"/>
        <v>0</v>
      </c>
      <c r="AR150" s="21" t="s">
        <v>172</v>
      </c>
      <c r="AT150" s="21" t="s">
        <v>168</v>
      </c>
      <c r="AU150" s="21" t="s">
        <v>135</v>
      </c>
      <c r="AY150" s="21" t="s">
        <v>167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21" t="s">
        <v>21</v>
      </c>
      <c r="BK150" s="150">
        <f t="shared" si="9"/>
        <v>0</v>
      </c>
      <c r="BL150" s="21" t="s">
        <v>172</v>
      </c>
      <c r="BM150" s="21" t="s">
        <v>1235</v>
      </c>
    </row>
    <row r="151" spans="2:65" s="1" customFormat="1" ht="22.5" customHeight="1">
      <c r="B151" s="141"/>
      <c r="C151" s="142" t="s">
        <v>288</v>
      </c>
      <c r="D151" s="142" t="s">
        <v>168</v>
      </c>
      <c r="E151" s="143" t="s">
        <v>1236</v>
      </c>
      <c r="F151" s="293" t="s">
        <v>1237</v>
      </c>
      <c r="G151" s="293"/>
      <c r="H151" s="293"/>
      <c r="I151" s="293"/>
      <c r="J151" s="144" t="s">
        <v>595</v>
      </c>
      <c r="K151" s="145">
        <v>1</v>
      </c>
      <c r="L151" s="294"/>
      <c r="M151" s="294"/>
      <c r="N151" s="294">
        <f t="shared" si="0"/>
        <v>0</v>
      </c>
      <c r="O151" s="294"/>
      <c r="P151" s="294"/>
      <c r="Q151" s="294"/>
      <c r="R151" s="146"/>
      <c r="T151" s="147" t="s">
        <v>5</v>
      </c>
      <c r="U151" s="44" t="s">
        <v>43</v>
      </c>
      <c r="V151" s="148">
        <v>0.825</v>
      </c>
      <c r="W151" s="148">
        <f t="shared" si="1"/>
        <v>0.825</v>
      </c>
      <c r="X151" s="148">
        <v>0</v>
      </c>
      <c r="Y151" s="148">
        <f t="shared" si="2"/>
        <v>0</v>
      </c>
      <c r="Z151" s="148">
        <v>0</v>
      </c>
      <c r="AA151" s="149">
        <f t="shared" si="3"/>
        <v>0</v>
      </c>
      <c r="AR151" s="21" t="s">
        <v>172</v>
      </c>
      <c r="AT151" s="21" t="s">
        <v>168</v>
      </c>
      <c r="AU151" s="21" t="s">
        <v>135</v>
      </c>
      <c r="AY151" s="21" t="s">
        <v>167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21" t="s">
        <v>21</v>
      </c>
      <c r="BK151" s="150">
        <f t="shared" si="9"/>
        <v>0</v>
      </c>
      <c r="BL151" s="21" t="s">
        <v>172</v>
      </c>
      <c r="BM151" s="21" t="s">
        <v>1238</v>
      </c>
    </row>
    <row r="152" spans="2:63" s="9" customFormat="1" ht="29.85" customHeight="1">
      <c r="B152" s="130"/>
      <c r="C152" s="131"/>
      <c r="D152" s="140" t="s">
        <v>150</v>
      </c>
      <c r="E152" s="140"/>
      <c r="F152" s="140"/>
      <c r="G152" s="140"/>
      <c r="H152" s="140"/>
      <c r="I152" s="140"/>
      <c r="J152" s="140"/>
      <c r="K152" s="140"/>
      <c r="L152" s="140"/>
      <c r="M152" s="140"/>
      <c r="N152" s="310">
        <f>BK152</f>
        <v>0</v>
      </c>
      <c r="O152" s="311"/>
      <c r="P152" s="311"/>
      <c r="Q152" s="311"/>
      <c r="R152" s="133"/>
      <c r="T152" s="134"/>
      <c r="U152" s="131"/>
      <c r="V152" s="131"/>
      <c r="W152" s="135">
        <f>SUM(W153:W162)</f>
        <v>40.108999999999995</v>
      </c>
      <c r="X152" s="131"/>
      <c r="Y152" s="135">
        <f>SUM(Y153:Y162)</f>
        <v>2.00577</v>
      </c>
      <c r="Z152" s="131"/>
      <c r="AA152" s="136">
        <f>SUM(AA153:AA162)</f>
        <v>0</v>
      </c>
      <c r="AR152" s="137" t="s">
        <v>21</v>
      </c>
      <c r="AT152" s="138" t="s">
        <v>77</v>
      </c>
      <c r="AU152" s="138" t="s">
        <v>21</v>
      </c>
      <c r="AY152" s="137" t="s">
        <v>167</v>
      </c>
      <c r="BK152" s="139">
        <f>SUM(BK153:BK162)</f>
        <v>0</v>
      </c>
    </row>
    <row r="153" spans="2:65" s="1" customFormat="1" ht="22.5" customHeight="1">
      <c r="B153" s="141"/>
      <c r="C153" s="142" t="s">
        <v>295</v>
      </c>
      <c r="D153" s="142" t="s">
        <v>168</v>
      </c>
      <c r="E153" s="143" t="s">
        <v>1239</v>
      </c>
      <c r="F153" s="293" t="s">
        <v>1240</v>
      </c>
      <c r="G153" s="293"/>
      <c r="H153" s="293"/>
      <c r="I153" s="293"/>
      <c r="J153" s="144" t="s">
        <v>259</v>
      </c>
      <c r="K153" s="145">
        <v>13</v>
      </c>
      <c r="L153" s="294"/>
      <c r="M153" s="294"/>
      <c r="N153" s="294">
        <f>ROUND(L153*K153,2)</f>
        <v>0</v>
      </c>
      <c r="O153" s="294"/>
      <c r="P153" s="294"/>
      <c r="Q153" s="294"/>
      <c r="R153" s="146"/>
      <c r="T153" s="147" t="s">
        <v>5</v>
      </c>
      <c r="U153" s="44" t="s">
        <v>43</v>
      </c>
      <c r="V153" s="148">
        <v>0.044</v>
      </c>
      <c r="W153" s="148">
        <f>V153*K153</f>
        <v>0.572</v>
      </c>
      <c r="X153" s="148">
        <v>0</v>
      </c>
      <c r="Y153" s="148">
        <f>X153*K153</f>
        <v>0</v>
      </c>
      <c r="Z153" s="148">
        <v>0</v>
      </c>
      <c r="AA153" s="149">
        <f>Z153*K153</f>
        <v>0</v>
      </c>
      <c r="AR153" s="21" t="s">
        <v>172</v>
      </c>
      <c r="AT153" s="21" t="s">
        <v>168</v>
      </c>
      <c r="AU153" s="21" t="s">
        <v>135</v>
      </c>
      <c r="AY153" s="21" t="s">
        <v>167</v>
      </c>
      <c r="BE153" s="150">
        <f>IF(U153="základní",N153,0)</f>
        <v>0</v>
      </c>
      <c r="BF153" s="150">
        <f>IF(U153="snížená",N153,0)</f>
        <v>0</v>
      </c>
      <c r="BG153" s="150">
        <f>IF(U153="zákl. přenesená",N153,0)</f>
        <v>0</v>
      </c>
      <c r="BH153" s="150">
        <f>IF(U153="sníž. přenesená",N153,0)</f>
        <v>0</v>
      </c>
      <c r="BI153" s="150">
        <f>IF(U153="nulová",N153,0)</f>
        <v>0</v>
      </c>
      <c r="BJ153" s="21" t="s">
        <v>21</v>
      </c>
      <c r="BK153" s="150">
        <f>ROUND(L153*K153,2)</f>
        <v>0</v>
      </c>
      <c r="BL153" s="21" t="s">
        <v>172</v>
      </c>
      <c r="BM153" s="21" t="s">
        <v>1241</v>
      </c>
    </row>
    <row r="154" spans="2:65" s="1" customFormat="1" ht="31.5" customHeight="1">
      <c r="B154" s="141"/>
      <c r="C154" s="142" t="s">
        <v>301</v>
      </c>
      <c r="D154" s="142" t="s">
        <v>168</v>
      </c>
      <c r="E154" s="143" t="s">
        <v>1242</v>
      </c>
      <c r="F154" s="293" t="s">
        <v>1243</v>
      </c>
      <c r="G154" s="293"/>
      <c r="H154" s="293"/>
      <c r="I154" s="293"/>
      <c r="J154" s="144" t="s">
        <v>259</v>
      </c>
      <c r="K154" s="145">
        <v>26.5</v>
      </c>
      <c r="L154" s="294"/>
      <c r="M154" s="294"/>
      <c r="N154" s="294">
        <f>ROUND(L154*K154,2)</f>
        <v>0</v>
      </c>
      <c r="O154" s="294"/>
      <c r="P154" s="294"/>
      <c r="Q154" s="294"/>
      <c r="R154" s="146"/>
      <c r="T154" s="147" t="s">
        <v>5</v>
      </c>
      <c r="U154" s="44" t="s">
        <v>43</v>
      </c>
      <c r="V154" s="148">
        <v>0.292</v>
      </c>
      <c r="W154" s="148">
        <f>V154*K154</f>
        <v>7.7379999999999995</v>
      </c>
      <c r="X154" s="148">
        <v>0.0033</v>
      </c>
      <c r="Y154" s="148">
        <f>X154*K154</f>
        <v>0.08745</v>
      </c>
      <c r="Z154" s="148">
        <v>0</v>
      </c>
      <c r="AA154" s="149">
        <f>Z154*K154</f>
        <v>0</v>
      </c>
      <c r="AR154" s="21" t="s">
        <v>172</v>
      </c>
      <c r="AT154" s="21" t="s">
        <v>168</v>
      </c>
      <c r="AU154" s="21" t="s">
        <v>135</v>
      </c>
      <c r="AY154" s="21" t="s">
        <v>167</v>
      </c>
      <c r="BE154" s="150">
        <f>IF(U154="základní",N154,0)</f>
        <v>0</v>
      </c>
      <c r="BF154" s="150">
        <f>IF(U154="snížená",N154,0)</f>
        <v>0</v>
      </c>
      <c r="BG154" s="150">
        <f>IF(U154="zákl. přenesená",N154,0)</f>
        <v>0</v>
      </c>
      <c r="BH154" s="150">
        <f>IF(U154="sníž. přenesená",N154,0)</f>
        <v>0</v>
      </c>
      <c r="BI154" s="150">
        <f>IF(U154="nulová",N154,0)</f>
        <v>0</v>
      </c>
      <c r="BJ154" s="21" t="s">
        <v>21</v>
      </c>
      <c r="BK154" s="150">
        <f>ROUND(L154*K154,2)</f>
        <v>0</v>
      </c>
      <c r="BL154" s="21" t="s">
        <v>172</v>
      </c>
      <c r="BM154" s="21" t="s">
        <v>1244</v>
      </c>
    </row>
    <row r="155" spans="2:51" s="11" customFormat="1" ht="22.5" customHeight="1">
      <c r="B155" s="159"/>
      <c r="C155" s="160"/>
      <c r="D155" s="160"/>
      <c r="E155" s="161" t="s">
        <v>5</v>
      </c>
      <c r="F155" s="308" t="s">
        <v>1245</v>
      </c>
      <c r="G155" s="309"/>
      <c r="H155" s="309"/>
      <c r="I155" s="309"/>
      <c r="J155" s="160"/>
      <c r="K155" s="162">
        <v>26.5</v>
      </c>
      <c r="L155" s="160"/>
      <c r="M155" s="160"/>
      <c r="N155" s="160"/>
      <c r="O155" s="160"/>
      <c r="P155" s="160"/>
      <c r="Q155" s="160"/>
      <c r="R155" s="163"/>
      <c r="T155" s="164"/>
      <c r="U155" s="160"/>
      <c r="V155" s="160"/>
      <c r="W155" s="160"/>
      <c r="X155" s="160"/>
      <c r="Y155" s="160"/>
      <c r="Z155" s="160"/>
      <c r="AA155" s="165"/>
      <c r="AT155" s="166" t="s">
        <v>179</v>
      </c>
      <c r="AU155" s="166" t="s">
        <v>135</v>
      </c>
      <c r="AV155" s="11" t="s">
        <v>135</v>
      </c>
      <c r="AW155" s="11" t="s">
        <v>35</v>
      </c>
      <c r="AX155" s="11" t="s">
        <v>21</v>
      </c>
      <c r="AY155" s="166" t="s">
        <v>167</v>
      </c>
    </row>
    <row r="156" spans="2:65" s="1" customFormat="1" ht="31.5" customHeight="1">
      <c r="B156" s="141"/>
      <c r="C156" s="142" t="s">
        <v>305</v>
      </c>
      <c r="D156" s="142" t="s">
        <v>168</v>
      </c>
      <c r="E156" s="143" t="s">
        <v>1246</v>
      </c>
      <c r="F156" s="293" t="s">
        <v>1247</v>
      </c>
      <c r="G156" s="293"/>
      <c r="H156" s="293"/>
      <c r="I156" s="293"/>
      <c r="J156" s="144" t="s">
        <v>259</v>
      </c>
      <c r="K156" s="145">
        <v>39</v>
      </c>
      <c r="L156" s="294"/>
      <c r="M156" s="294"/>
      <c r="N156" s="294">
        <f>ROUND(L156*K156,2)</f>
        <v>0</v>
      </c>
      <c r="O156" s="294"/>
      <c r="P156" s="294"/>
      <c r="Q156" s="294"/>
      <c r="R156" s="146"/>
      <c r="T156" s="147" t="s">
        <v>5</v>
      </c>
      <c r="U156" s="44" t="s">
        <v>43</v>
      </c>
      <c r="V156" s="148">
        <v>0.572</v>
      </c>
      <c r="W156" s="148">
        <f>V156*K156</f>
        <v>22.308</v>
      </c>
      <c r="X156" s="148">
        <v>0</v>
      </c>
      <c r="Y156" s="148">
        <f>X156*K156</f>
        <v>0</v>
      </c>
      <c r="Z156" s="148">
        <v>0</v>
      </c>
      <c r="AA156" s="149">
        <f>Z156*K156</f>
        <v>0</v>
      </c>
      <c r="AR156" s="21" t="s">
        <v>172</v>
      </c>
      <c r="AT156" s="21" t="s">
        <v>168</v>
      </c>
      <c r="AU156" s="21" t="s">
        <v>135</v>
      </c>
      <c r="AY156" s="21" t="s">
        <v>167</v>
      </c>
      <c r="BE156" s="150">
        <f>IF(U156="základní",N156,0)</f>
        <v>0</v>
      </c>
      <c r="BF156" s="150">
        <f>IF(U156="snížená",N156,0)</f>
        <v>0</v>
      </c>
      <c r="BG156" s="150">
        <f>IF(U156="zákl. přenesená",N156,0)</f>
        <v>0</v>
      </c>
      <c r="BH156" s="150">
        <f>IF(U156="sníž. přenesená",N156,0)</f>
        <v>0</v>
      </c>
      <c r="BI156" s="150">
        <f>IF(U156="nulová",N156,0)</f>
        <v>0</v>
      </c>
      <c r="BJ156" s="21" t="s">
        <v>21</v>
      </c>
      <c r="BK156" s="150">
        <f>ROUND(L156*K156,2)</f>
        <v>0</v>
      </c>
      <c r="BL156" s="21" t="s">
        <v>172</v>
      </c>
      <c r="BM156" s="21" t="s">
        <v>1248</v>
      </c>
    </row>
    <row r="157" spans="2:51" s="11" customFormat="1" ht="22.5" customHeight="1">
      <c r="B157" s="159"/>
      <c r="C157" s="160"/>
      <c r="D157" s="160"/>
      <c r="E157" s="161" t="s">
        <v>5</v>
      </c>
      <c r="F157" s="308" t="s">
        <v>1249</v>
      </c>
      <c r="G157" s="309"/>
      <c r="H157" s="309"/>
      <c r="I157" s="309"/>
      <c r="J157" s="160"/>
      <c r="K157" s="162">
        <v>39</v>
      </c>
      <c r="L157" s="160"/>
      <c r="M157" s="160"/>
      <c r="N157" s="160"/>
      <c r="O157" s="160"/>
      <c r="P157" s="160"/>
      <c r="Q157" s="160"/>
      <c r="R157" s="163"/>
      <c r="T157" s="164"/>
      <c r="U157" s="160"/>
      <c r="V157" s="160"/>
      <c r="W157" s="160"/>
      <c r="X157" s="160"/>
      <c r="Y157" s="160"/>
      <c r="Z157" s="160"/>
      <c r="AA157" s="165"/>
      <c r="AT157" s="166" t="s">
        <v>179</v>
      </c>
      <c r="AU157" s="166" t="s">
        <v>135</v>
      </c>
      <c r="AV157" s="11" t="s">
        <v>135</v>
      </c>
      <c r="AW157" s="11" t="s">
        <v>35</v>
      </c>
      <c r="AX157" s="11" t="s">
        <v>21</v>
      </c>
      <c r="AY157" s="166" t="s">
        <v>167</v>
      </c>
    </row>
    <row r="158" spans="2:65" s="1" customFormat="1" ht="22.5" customHeight="1">
      <c r="B158" s="141"/>
      <c r="C158" s="142" t="s">
        <v>10</v>
      </c>
      <c r="D158" s="142" t="s">
        <v>168</v>
      </c>
      <c r="E158" s="143" t="s">
        <v>1250</v>
      </c>
      <c r="F158" s="293" t="s">
        <v>1251</v>
      </c>
      <c r="G158" s="293"/>
      <c r="H158" s="293"/>
      <c r="I158" s="293"/>
      <c r="J158" s="144" t="s">
        <v>259</v>
      </c>
      <c r="K158" s="145">
        <v>39</v>
      </c>
      <c r="L158" s="294"/>
      <c r="M158" s="294"/>
      <c r="N158" s="294">
        <f>ROUND(L158*K158,2)</f>
        <v>0</v>
      </c>
      <c r="O158" s="294"/>
      <c r="P158" s="294"/>
      <c r="Q158" s="294"/>
      <c r="R158" s="146"/>
      <c r="T158" s="147" t="s">
        <v>5</v>
      </c>
      <c r="U158" s="44" t="s">
        <v>43</v>
      </c>
      <c r="V158" s="148">
        <v>0.044</v>
      </c>
      <c r="W158" s="148">
        <f>V158*K158</f>
        <v>1.716</v>
      </c>
      <c r="X158" s="148">
        <v>0</v>
      </c>
      <c r="Y158" s="148">
        <f>X158*K158</f>
        <v>0</v>
      </c>
      <c r="Z158" s="148">
        <v>0</v>
      </c>
      <c r="AA158" s="149">
        <f>Z158*K158</f>
        <v>0</v>
      </c>
      <c r="AR158" s="21" t="s">
        <v>172</v>
      </c>
      <c r="AT158" s="21" t="s">
        <v>168</v>
      </c>
      <c r="AU158" s="21" t="s">
        <v>135</v>
      </c>
      <c r="AY158" s="21" t="s">
        <v>167</v>
      </c>
      <c r="BE158" s="150">
        <f>IF(U158="základní",N158,0)</f>
        <v>0</v>
      </c>
      <c r="BF158" s="150">
        <f>IF(U158="snížená",N158,0)</f>
        <v>0</v>
      </c>
      <c r="BG158" s="150">
        <f>IF(U158="zákl. přenesená",N158,0)</f>
        <v>0</v>
      </c>
      <c r="BH158" s="150">
        <f>IF(U158="sníž. přenesená",N158,0)</f>
        <v>0</v>
      </c>
      <c r="BI158" s="150">
        <f>IF(U158="nulová",N158,0)</f>
        <v>0</v>
      </c>
      <c r="BJ158" s="21" t="s">
        <v>21</v>
      </c>
      <c r="BK158" s="150">
        <f>ROUND(L158*K158,2)</f>
        <v>0</v>
      </c>
      <c r="BL158" s="21" t="s">
        <v>172</v>
      </c>
      <c r="BM158" s="21" t="s">
        <v>1252</v>
      </c>
    </row>
    <row r="159" spans="2:65" s="1" customFormat="1" ht="22.5" customHeight="1">
      <c r="B159" s="141"/>
      <c r="C159" s="142" t="s">
        <v>316</v>
      </c>
      <c r="D159" s="142" t="s">
        <v>168</v>
      </c>
      <c r="E159" s="143" t="s">
        <v>1253</v>
      </c>
      <c r="F159" s="293" t="s">
        <v>1254</v>
      </c>
      <c r="G159" s="293"/>
      <c r="H159" s="293"/>
      <c r="I159" s="293"/>
      <c r="J159" s="144" t="s">
        <v>259</v>
      </c>
      <c r="K159" s="145">
        <v>33</v>
      </c>
      <c r="L159" s="294"/>
      <c r="M159" s="294"/>
      <c r="N159" s="294">
        <f>ROUND(L159*K159,2)</f>
        <v>0</v>
      </c>
      <c r="O159" s="294"/>
      <c r="P159" s="294"/>
      <c r="Q159" s="294"/>
      <c r="R159" s="146"/>
      <c r="T159" s="147" t="s">
        <v>5</v>
      </c>
      <c r="U159" s="44" t="s">
        <v>43</v>
      </c>
      <c r="V159" s="148">
        <v>0.054</v>
      </c>
      <c r="W159" s="148">
        <f>V159*K159</f>
        <v>1.782</v>
      </c>
      <c r="X159" s="148">
        <v>0.00019</v>
      </c>
      <c r="Y159" s="148">
        <f>X159*K159</f>
        <v>0.00627</v>
      </c>
      <c r="Z159" s="148">
        <v>0</v>
      </c>
      <c r="AA159" s="149">
        <f>Z159*K159</f>
        <v>0</v>
      </c>
      <c r="AR159" s="21" t="s">
        <v>172</v>
      </c>
      <c r="AT159" s="21" t="s">
        <v>168</v>
      </c>
      <c r="AU159" s="21" t="s">
        <v>135</v>
      </c>
      <c r="AY159" s="21" t="s">
        <v>167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21" t="s">
        <v>21</v>
      </c>
      <c r="BK159" s="150">
        <f>ROUND(L159*K159,2)</f>
        <v>0</v>
      </c>
      <c r="BL159" s="21" t="s">
        <v>172</v>
      </c>
      <c r="BM159" s="21" t="s">
        <v>1255</v>
      </c>
    </row>
    <row r="160" spans="2:51" s="11" customFormat="1" ht="22.5" customHeight="1">
      <c r="B160" s="159"/>
      <c r="C160" s="160"/>
      <c r="D160" s="160"/>
      <c r="E160" s="161" t="s">
        <v>5</v>
      </c>
      <c r="F160" s="308" t="s">
        <v>1256</v>
      </c>
      <c r="G160" s="309"/>
      <c r="H160" s="309"/>
      <c r="I160" s="309"/>
      <c r="J160" s="160"/>
      <c r="K160" s="162">
        <v>33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179</v>
      </c>
      <c r="AU160" s="166" t="s">
        <v>135</v>
      </c>
      <c r="AV160" s="11" t="s">
        <v>135</v>
      </c>
      <c r="AW160" s="11" t="s">
        <v>35</v>
      </c>
      <c r="AX160" s="11" t="s">
        <v>21</v>
      </c>
      <c r="AY160" s="166" t="s">
        <v>167</v>
      </c>
    </row>
    <row r="161" spans="2:65" s="1" customFormat="1" ht="31.5" customHeight="1">
      <c r="B161" s="141"/>
      <c r="C161" s="142" t="s">
        <v>321</v>
      </c>
      <c r="D161" s="142" t="s">
        <v>168</v>
      </c>
      <c r="E161" s="143" t="s">
        <v>1257</v>
      </c>
      <c r="F161" s="293" t="s">
        <v>1258</v>
      </c>
      <c r="G161" s="293"/>
      <c r="H161" s="293"/>
      <c r="I161" s="293"/>
      <c r="J161" s="144" t="s">
        <v>259</v>
      </c>
      <c r="K161" s="145">
        <v>33</v>
      </c>
      <c r="L161" s="294"/>
      <c r="M161" s="294"/>
      <c r="N161" s="294">
        <f>ROUND(L161*K161,2)</f>
        <v>0</v>
      </c>
      <c r="O161" s="294"/>
      <c r="P161" s="294"/>
      <c r="Q161" s="294"/>
      <c r="R161" s="146"/>
      <c r="T161" s="147" t="s">
        <v>5</v>
      </c>
      <c r="U161" s="44" t="s">
        <v>43</v>
      </c>
      <c r="V161" s="148">
        <v>0.027</v>
      </c>
      <c r="W161" s="148">
        <f>V161*K161</f>
        <v>0.891</v>
      </c>
      <c r="X161" s="148">
        <v>0.00013</v>
      </c>
      <c r="Y161" s="148">
        <f>X161*K161</f>
        <v>0.0042899999999999995</v>
      </c>
      <c r="Z161" s="148">
        <v>0</v>
      </c>
      <c r="AA161" s="149">
        <f>Z161*K161</f>
        <v>0</v>
      </c>
      <c r="AR161" s="21" t="s">
        <v>172</v>
      </c>
      <c r="AT161" s="21" t="s">
        <v>168</v>
      </c>
      <c r="AU161" s="21" t="s">
        <v>135</v>
      </c>
      <c r="AY161" s="21" t="s">
        <v>167</v>
      </c>
      <c r="BE161" s="150">
        <f>IF(U161="základní",N161,0)</f>
        <v>0</v>
      </c>
      <c r="BF161" s="150">
        <f>IF(U161="snížená",N161,0)</f>
        <v>0</v>
      </c>
      <c r="BG161" s="150">
        <f>IF(U161="zákl. přenesená",N161,0)</f>
        <v>0</v>
      </c>
      <c r="BH161" s="150">
        <f>IF(U161="sníž. přenesená",N161,0)</f>
        <v>0</v>
      </c>
      <c r="BI161" s="150">
        <f>IF(U161="nulová",N161,0)</f>
        <v>0</v>
      </c>
      <c r="BJ161" s="21" t="s">
        <v>21</v>
      </c>
      <c r="BK161" s="150">
        <f>ROUND(L161*K161,2)</f>
        <v>0</v>
      </c>
      <c r="BL161" s="21" t="s">
        <v>172</v>
      </c>
      <c r="BM161" s="21" t="s">
        <v>1259</v>
      </c>
    </row>
    <row r="162" spans="2:65" s="1" customFormat="1" ht="22.5" customHeight="1">
      <c r="B162" s="141"/>
      <c r="C162" s="142" t="s">
        <v>326</v>
      </c>
      <c r="D162" s="142" t="s">
        <v>168</v>
      </c>
      <c r="E162" s="143" t="s">
        <v>1260</v>
      </c>
      <c r="F162" s="293" t="s">
        <v>1261</v>
      </c>
      <c r="G162" s="293"/>
      <c r="H162" s="293"/>
      <c r="I162" s="293"/>
      <c r="J162" s="144" t="s">
        <v>578</v>
      </c>
      <c r="K162" s="145">
        <v>1</v>
      </c>
      <c r="L162" s="294"/>
      <c r="M162" s="294"/>
      <c r="N162" s="294">
        <f>ROUND(L162*K162,2)</f>
        <v>0</v>
      </c>
      <c r="O162" s="294"/>
      <c r="P162" s="294"/>
      <c r="Q162" s="294"/>
      <c r="R162" s="146"/>
      <c r="T162" s="147" t="s">
        <v>5</v>
      </c>
      <c r="U162" s="175" t="s">
        <v>43</v>
      </c>
      <c r="V162" s="176">
        <v>5.102</v>
      </c>
      <c r="W162" s="176">
        <f>V162*K162</f>
        <v>5.102</v>
      </c>
      <c r="X162" s="176">
        <v>1.90776</v>
      </c>
      <c r="Y162" s="176">
        <f>X162*K162</f>
        <v>1.90776</v>
      </c>
      <c r="Z162" s="176">
        <v>0</v>
      </c>
      <c r="AA162" s="177">
        <f>Z162*K162</f>
        <v>0</v>
      </c>
      <c r="AR162" s="21" t="s">
        <v>172</v>
      </c>
      <c r="AT162" s="21" t="s">
        <v>168</v>
      </c>
      <c r="AU162" s="21" t="s">
        <v>135</v>
      </c>
      <c r="AY162" s="21" t="s">
        <v>167</v>
      </c>
      <c r="BE162" s="150">
        <f>IF(U162="základní",N162,0)</f>
        <v>0</v>
      </c>
      <c r="BF162" s="150">
        <f>IF(U162="snížená",N162,0)</f>
        <v>0</v>
      </c>
      <c r="BG162" s="150">
        <f>IF(U162="zákl. přenesená",N162,0)</f>
        <v>0</v>
      </c>
      <c r="BH162" s="150">
        <f>IF(U162="sníž. přenesená",N162,0)</f>
        <v>0</v>
      </c>
      <c r="BI162" s="150">
        <f>IF(U162="nulová",N162,0)</f>
        <v>0</v>
      </c>
      <c r="BJ162" s="21" t="s">
        <v>21</v>
      </c>
      <c r="BK162" s="150">
        <f>ROUND(L162*K162,2)</f>
        <v>0</v>
      </c>
      <c r="BL162" s="21" t="s">
        <v>172</v>
      </c>
      <c r="BM162" s="21" t="s">
        <v>1262</v>
      </c>
    </row>
    <row r="163" spans="2:18" s="1" customFormat="1" ht="6.95" customHeight="1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1"/>
    </row>
  </sheetData>
  <mergeCells count="150">
    <mergeCell ref="H1:K1"/>
    <mergeCell ref="S2:AC2"/>
    <mergeCell ref="F159:I159"/>
    <mergeCell ref="L159:M159"/>
    <mergeCell ref="N159:Q159"/>
    <mergeCell ref="F160:I160"/>
    <mergeCell ref="F161:I161"/>
    <mergeCell ref="L161:M161"/>
    <mergeCell ref="N161:Q161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N152:Q152"/>
    <mergeCell ref="F147:I147"/>
    <mergeCell ref="L147:M147"/>
    <mergeCell ref="N147:Q147"/>
    <mergeCell ref="F148:I148"/>
    <mergeCell ref="L148:M148"/>
    <mergeCell ref="F162:I162"/>
    <mergeCell ref="L162:M162"/>
    <mergeCell ref="N162:Q162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N148:Q148"/>
    <mergeCell ref="F149:I149"/>
    <mergeCell ref="L149:M149"/>
    <mergeCell ref="N149:Q149"/>
    <mergeCell ref="F140:I140"/>
    <mergeCell ref="F141:I141"/>
    <mergeCell ref="F142:I142"/>
    <mergeCell ref="F143:I143"/>
    <mergeCell ref="F145:I145"/>
    <mergeCell ref="L145:M145"/>
    <mergeCell ref="N145:Q145"/>
    <mergeCell ref="F146:I146"/>
    <mergeCell ref="L146:M146"/>
    <mergeCell ref="N146:Q146"/>
    <mergeCell ref="N144:Q144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29:I129"/>
    <mergeCell ref="L129:M129"/>
    <mergeCell ref="N129:Q129"/>
    <mergeCell ref="F130:I130"/>
    <mergeCell ref="L130:M130"/>
    <mergeCell ref="N130:Q130"/>
    <mergeCell ref="F131:I131"/>
    <mergeCell ref="F132:I132"/>
    <mergeCell ref="L132:M132"/>
    <mergeCell ref="N132:Q132"/>
    <mergeCell ref="N124:Q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17:I117"/>
    <mergeCell ref="F118:I118"/>
    <mergeCell ref="F119:I119"/>
    <mergeCell ref="F120:I120"/>
    <mergeCell ref="F121:I121"/>
    <mergeCell ref="F122:I122"/>
    <mergeCell ref="F123:I123"/>
    <mergeCell ref="F124:I124"/>
    <mergeCell ref="L124:M124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113:Q113"/>
    <mergeCell ref="N114:Q114"/>
    <mergeCell ref="N115:Q115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N573"/>
  <sheetViews>
    <sheetView showGridLines="0" view="pageBreakPreview" zoomScaleSheetLayoutView="100" workbookViewId="0" topLeftCell="A1">
      <pane ySplit="1" topLeftCell="A448" activePane="bottomLeft" state="frozen"/>
      <selection pane="topLeft" activeCell="A2" sqref="A2"/>
      <selection pane="bottomLeft" activeCell="AE464" sqref="AE464:AF46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119</v>
      </c>
      <c r="AZ2" s="185" t="s">
        <v>1263</v>
      </c>
      <c r="BA2" s="185" t="s">
        <v>5</v>
      </c>
      <c r="BB2" s="185" t="s">
        <v>5</v>
      </c>
      <c r="BC2" s="185" t="s">
        <v>795</v>
      </c>
      <c r="BD2" s="185" t="s">
        <v>135</v>
      </c>
    </row>
    <row r="3" spans="2:5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  <c r="AZ3" s="185" t="s">
        <v>1264</v>
      </c>
      <c r="BA3" s="185" t="s">
        <v>5</v>
      </c>
      <c r="BB3" s="185" t="s">
        <v>5</v>
      </c>
      <c r="BC3" s="185" t="s">
        <v>1265</v>
      </c>
      <c r="BD3" s="185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1266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N100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ROUNDUP((SUM(BE100:BE101)+SUM(BE119:BE520)),2)</f>
        <v>0</v>
      </c>
      <c r="I32" s="275"/>
      <c r="J32" s="275"/>
      <c r="K32" s="36"/>
      <c r="L32" s="36"/>
      <c r="M32" s="279">
        <f>ROUNDUP(ROUNDUP((SUM(BE100:BE101)+SUM(BE119:BE520)),2)*F32,1)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ROUNDUP((SUM(BF100:BF101)+SUM(BF119:BF520)),2)</f>
        <v>0</v>
      </c>
      <c r="I33" s="275"/>
      <c r="J33" s="275"/>
      <c r="K33" s="36"/>
      <c r="L33" s="36"/>
      <c r="M33" s="279">
        <f>ROUNDUP(ROUNDUP((SUM(BF100:BF101)+SUM(BF119:BF520)),2)*F33,1)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ROUNDUP((SUM(BG100:BG101)+SUM(BG119:BG520)),2)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ROUNDUP((SUM(BH100:BH101)+SUM(BH119:BH520)),2)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ROUNDUP((SUM(BI100:BI101)+SUM(BI119:BI520)),2)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SO.2.01 - Kanalizace - část 1 včetně ČS4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N119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N120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1267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N121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148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N264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149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N406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227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N415</f>
        <v>0</v>
      </c>
      <c r="O93" s="288"/>
      <c r="P93" s="288"/>
      <c r="Q93" s="288"/>
      <c r="R93" s="120"/>
    </row>
    <row r="94" spans="2:18" s="7" customFormat="1" ht="19.9" customHeight="1">
      <c r="B94" s="117"/>
      <c r="C94" s="118"/>
      <c r="D94" s="119" t="s">
        <v>1268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N423</f>
        <v>0</v>
      </c>
      <c r="O94" s="288"/>
      <c r="P94" s="288"/>
      <c r="Q94" s="288"/>
      <c r="R94" s="120"/>
    </row>
    <row r="95" spans="2:18" s="7" customFormat="1" ht="19.9" customHeight="1">
      <c r="B95" s="117"/>
      <c r="C95" s="118"/>
      <c r="D95" s="119" t="s">
        <v>1094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87">
        <f>N440</f>
        <v>0</v>
      </c>
      <c r="O95" s="288"/>
      <c r="P95" s="288"/>
      <c r="Q95" s="288"/>
      <c r="R95" s="120"/>
    </row>
    <row r="96" spans="2:18" s="7" customFormat="1" ht="19.9" customHeight="1">
      <c r="B96" s="117"/>
      <c r="C96" s="118"/>
      <c r="D96" s="119" t="s">
        <v>150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87">
        <f>N448</f>
        <v>0</v>
      </c>
      <c r="O96" s="288"/>
      <c r="P96" s="288"/>
      <c r="Q96" s="288"/>
      <c r="R96" s="120"/>
    </row>
    <row r="97" spans="2:18" s="7" customFormat="1" ht="19.9" customHeight="1">
      <c r="B97" s="117"/>
      <c r="C97" s="118"/>
      <c r="D97" s="119" t="s">
        <v>1269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87">
        <f>N486</f>
        <v>0</v>
      </c>
      <c r="O97" s="288"/>
      <c r="P97" s="288"/>
      <c r="Q97" s="288"/>
      <c r="R97" s="120"/>
    </row>
    <row r="98" spans="2:18" s="7" customFormat="1" ht="19.9" customHeight="1">
      <c r="B98" s="117"/>
      <c r="C98" s="118"/>
      <c r="D98" s="119" t="s">
        <v>1270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87">
        <f>N515</f>
        <v>0</v>
      </c>
      <c r="O98" s="288"/>
      <c r="P98" s="288"/>
      <c r="Q98" s="288"/>
      <c r="R98" s="120"/>
    </row>
    <row r="99" spans="2:18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12" t="s">
        <v>152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84">
        <v>0</v>
      </c>
      <c r="O100" s="289"/>
      <c r="P100" s="289"/>
      <c r="Q100" s="289"/>
      <c r="R100" s="37"/>
      <c r="T100" s="121"/>
      <c r="U100" s="122" t="s">
        <v>42</v>
      </c>
    </row>
    <row r="101" spans="2:18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18" s="1" customFormat="1" ht="29.25" customHeight="1">
      <c r="B102" s="35"/>
      <c r="C102" s="103" t="s">
        <v>129</v>
      </c>
      <c r="D102" s="104"/>
      <c r="E102" s="104"/>
      <c r="F102" s="104"/>
      <c r="G102" s="104"/>
      <c r="H102" s="104"/>
      <c r="I102" s="104"/>
      <c r="J102" s="104"/>
      <c r="K102" s="104"/>
      <c r="L102" s="268">
        <f>ROUNDUP(SUM(N88+N100),2)</f>
        <v>0</v>
      </c>
      <c r="M102" s="268"/>
      <c r="N102" s="268"/>
      <c r="O102" s="268"/>
      <c r="P102" s="268"/>
      <c r="Q102" s="268"/>
      <c r="R102" s="37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18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5" customHeight="1">
      <c r="B108" s="35"/>
      <c r="C108" s="237" t="s">
        <v>153</v>
      </c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2" t="s">
        <v>16</v>
      </c>
      <c r="D110" s="36"/>
      <c r="E110" s="36"/>
      <c r="F110" s="273" t="str">
        <f>F6</f>
        <v>ČOV a splašková kanalizace Žinkovy</v>
      </c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36"/>
      <c r="R110" s="37"/>
    </row>
    <row r="111" spans="2:18" s="1" customFormat="1" ht="36.95" customHeight="1">
      <c r="B111" s="35"/>
      <c r="C111" s="69" t="s">
        <v>137</v>
      </c>
      <c r="D111" s="36"/>
      <c r="E111" s="36"/>
      <c r="F111" s="254" t="str">
        <f>F7</f>
        <v>SO.2.01 - Kanalizace - část 1 včetně ČS4</v>
      </c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36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8" customHeight="1">
      <c r="B113" s="35"/>
      <c r="C113" s="32" t="s">
        <v>22</v>
      </c>
      <c r="D113" s="36"/>
      <c r="E113" s="36"/>
      <c r="F113" s="30" t="str">
        <f>F9</f>
        <v>Žinkovy</v>
      </c>
      <c r="G113" s="36"/>
      <c r="H113" s="36"/>
      <c r="I113" s="36"/>
      <c r="J113" s="36"/>
      <c r="K113" s="32" t="s">
        <v>24</v>
      </c>
      <c r="L113" s="36"/>
      <c r="M113" s="276">
        <f>IF(O9="","",O9)</f>
        <v>42912</v>
      </c>
      <c r="N113" s="276"/>
      <c r="O113" s="276"/>
      <c r="P113" s="276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5">
      <c r="B115" s="35"/>
      <c r="C115" s="32" t="s">
        <v>27</v>
      </c>
      <c r="D115" s="36"/>
      <c r="E115" s="36"/>
      <c r="F115" s="30" t="str">
        <f>E12</f>
        <v>Obec Žinkovy</v>
      </c>
      <c r="G115" s="36"/>
      <c r="H115" s="36"/>
      <c r="I115" s="36"/>
      <c r="J115" s="36"/>
      <c r="K115" s="32" t="s">
        <v>33</v>
      </c>
      <c r="L115" s="36"/>
      <c r="M115" s="277" t="str">
        <f>E18</f>
        <v>PIK Vítek s.r.o.</v>
      </c>
      <c r="N115" s="277"/>
      <c r="O115" s="277"/>
      <c r="P115" s="277"/>
      <c r="Q115" s="277"/>
      <c r="R115" s="37"/>
    </row>
    <row r="116" spans="2:18" s="1" customFormat="1" ht="14.45" customHeight="1">
      <c r="B116" s="35"/>
      <c r="C116" s="32" t="s">
        <v>31</v>
      </c>
      <c r="D116" s="36"/>
      <c r="E116" s="36"/>
      <c r="F116" s="30" t="str">
        <f>IF(E15="","",E15)</f>
        <v xml:space="preserve"> </v>
      </c>
      <c r="G116" s="36"/>
      <c r="H116" s="36"/>
      <c r="I116" s="36"/>
      <c r="J116" s="36"/>
      <c r="K116" s="32" t="s">
        <v>36</v>
      </c>
      <c r="L116" s="36"/>
      <c r="M116" s="277" t="str">
        <f>E21</f>
        <v>Acrone s.r.o.</v>
      </c>
      <c r="N116" s="277"/>
      <c r="O116" s="277"/>
      <c r="P116" s="277"/>
      <c r="Q116" s="277"/>
      <c r="R116" s="37"/>
    </row>
    <row r="117" spans="2:18" s="1" customFormat="1" ht="10.3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27" s="8" customFormat="1" ht="29.25" customHeight="1">
      <c r="B118" s="123"/>
      <c r="C118" s="124" t="s">
        <v>154</v>
      </c>
      <c r="D118" s="125" t="s">
        <v>155</v>
      </c>
      <c r="E118" s="125" t="s">
        <v>60</v>
      </c>
      <c r="F118" s="290" t="s">
        <v>156</v>
      </c>
      <c r="G118" s="290"/>
      <c r="H118" s="290"/>
      <c r="I118" s="290"/>
      <c r="J118" s="125" t="s">
        <v>157</v>
      </c>
      <c r="K118" s="125" t="s">
        <v>158</v>
      </c>
      <c r="L118" s="291" t="s">
        <v>159</v>
      </c>
      <c r="M118" s="291"/>
      <c r="N118" s="290" t="s">
        <v>144</v>
      </c>
      <c r="O118" s="290"/>
      <c r="P118" s="290"/>
      <c r="Q118" s="292"/>
      <c r="R118" s="126"/>
      <c r="T118" s="76" t="s">
        <v>160</v>
      </c>
      <c r="U118" s="77" t="s">
        <v>42</v>
      </c>
      <c r="V118" s="77" t="s">
        <v>161</v>
      </c>
      <c r="W118" s="77" t="s">
        <v>162</v>
      </c>
      <c r="X118" s="77" t="s">
        <v>163</v>
      </c>
      <c r="Y118" s="77" t="s">
        <v>164</v>
      </c>
      <c r="Z118" s="77" t="s">
        <v>165</v>
      </c>
      <c r="AA118" s="78" t="s">
        <v>166</v>
      </c>
    </row>
    <row r="119" spans="2:63" s="1" customFormat="1" ht="29.25" customHeight="1">
      <c r="B119" s="35"/>
      <c r="C119" s="80" t="s">
        <v>140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95">
        <f>BK119</f>
        <v>0</v>
      </c>
      <c r="O119" s="296"/>
      <c r="P119" s="296"/>
      <c r="Q119" s="296"/>
      <c r="R119" s="37"/>
      <c r="T119" s="79"/>
      <c r="U119" s="51"/>
      <c r="V119" s="51"/>
      <c r="W119" s="127">
        <f>W120</f>
        <v>36446.4940505</v>
      </c>
      <c r="X119" s="51"/>
      <c r="Y119" s="127">
        <f>Y120</f>
        <v>2660.1440886</v>
      </c>
      <c r="Z119" s="51"/>
      <c r="AA119" s="128">
        <f>AA120</f>
        <v>2654.3815830000003</v>
      </c>
      <c r="AT119" s="21" t="s">
        <v>77</v>
      </c>
      <c r="AU119" s="21" t="s">
        <v>146</v>
      </c>
      <c r="BK119" s="129">
        <f>BK120</f>
        <v>0</v>
      </c>
    </row>
    <row r="120" spans="2:63" s="9" customFormat="1" ht="37.35" customHeight="1">
      <c r="B120" s="130"/>
      <c r="C120" s="131"/>
      <c r="D120" s="132" t="s">
        <v>147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297">
        <f>BK120</f>
        <v>0</v>
      </c>
      <c r="O120" s="285"/>
      <c r="P120" s="285"/>
      <c r="Q120" s="285"/>
      <c r="R120" s="133"/>
      <c r="T120" s="134"/>
      <c r="U120" s="131"/>
      <c r="V120" s="131"/>
      <c r="W120" s="135">
        <f>W121+W264+W406+W415+W423+W440+W448+W486+W515</f>
        <v>36446.4940505</v>
      </c>
      <c r="X120" s="131"/>
      <c r="Y120" s="135">
        <f>Y121+Y264+Y406+Y415+Y423+Y440+Y448+Y486+Y515</f>
        <v>2660.1440886</v>
      </c>
      <c r="Z120" s="131"/>
      <c r="AA120" s="136">
        <f>AA121+AA264+AA406+AA415+AA423+AA440+AA448+AA486+AA515</f>
        <v>2654.3815830000003</v>
      </c>
      <c r="AR120" s="137" t="s">
        <v>21</v>
      </c>
      <c r="AT120" s="138" t="s">
        <v>77</v>
      </c>
      <c r="AU120" s="138" t="s">
        <v>78</v>
      </c>
      <c r="AY120" s="137" t="s">
        <v>167</v>
      </c>
      <c r="BK120" s="139">
        <f>BK121+BK264+BK406+BK415+BK423+BK440+BK448+BK486+BK515</f>
        <v>0</v>
      </c>
    </row>
    <row r="121" spans="2:63" s="9" customFormat="1" ht="19.9" customHeight="1">
      <c r="B121" s="130"/>
      <c r="C121" s="131"/>
      <c r="D121" s="140" t="s">
        <v>1267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298">
        <f>BK121</f>
        <v>0</v>
      </c>
      <c r="O121" s="299"/>
      <c r="P121" s="299"/>
      <c r="Q121" s="299"/>
      <c r="R121" s="133"/>
      <c r="T121" s="134"/>
      <c r="U121" s="131"/>
      <c r="V121" s="131"/>
      <c r="W121" s="135">
        <f>SUM(W122:W263)</f>
        <v>4929.8268800000005</v>
      </c>
      <c r="X121" s="131"/>
      <c r="Y121" s="135">
        <f>SUM(Y122:Y263)</f>
        <v>0</v>
      </c>
      <c r="Z121" s="131"/>
      <c r="AA121" s="136">
        <f>SUM(AA122:AA263)</f>
        <v>0</v>
      </c>
      <c r="AR121" s="137" t="s">
        <v>21</v>
      </c>
      <c r="AT121" s="138" t="s">
        <v>77</v>
      </c>
      <c r="AU121" s="138" t="s">
        <v>21</v>
      </c>
      <c r="AY121" s="137" t="s">
        <v>167</v>
      </c>
      <c r="BK121" s="139">
        <f>SUM(BK122:BK263)</f>
        <v>0</v>
      </c>
    </row>
    <row r="122" spans="2:65" s="1" customFormat="1" ht="22.5" customHeight="1">
      <c r="B122" s="141"/>
      <c r="C122" s="201" t="s">
        <v>21</v>
      </c>
      <c r="D122" s="201" t="s">
        <v>168</v>
      </c>
      <c r="E122" s="202" t="s">
        <v>169</v>
      </c>
      <c r="F122" s="317" t="s">
        <v>1271</v>
      </c>
      <c r="G122" s="317"/>
      <c r="H122" s="317"/>
      <c r="I122" s="317"/>
      <c r="J122" s="203" t="s">
        <v>259</v>
      </c>
      <c r="K122" s="204">
        <f>+K144</f>
        <v>2387.97</v>
      </c>
      <c r="L122" s="318">
        <v>0</v>
      </c>
      <c r="M122" s="318"/>
      <c r="N122" s="318">
        <f>ROUND(L122*K122,2)</f>
        <v>0</v>
      </c>
      <c r="O122" s="318"/>
      <c r="P122" s="318"/>
      <c r="Q122" s="318"/>
      <c r="R122" s="205"/>
      <c r="T122" s="147" t="s">
        <v>5</v>
      </c>
      <c r="U122" s="44" t="s">
        <v>43</v>
      </c>
      <c r="V122" s="148">
        <v>0.44</v>
      </c>
      <c r="W122" s="148">
        <f>V122*K122</f>
        <v>1050.7068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172</v>
      </c>
      <c r="AT122" s="21" t="s">
        <v>168</v>
      </c>
      <c r="AU122" s="21" t="s">
        <v>135</v>
      </c>
      <c r="AY122" s="21" t="s">
        <v>167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21</v>
      </c>
      <c r="BK122" s="150">
        <f>ROUND(L122*K122,2)</f>
        <v>0</v>
      </c>
      <c r="BL122" s="21" t="s">
        <v>172</v>
      </c>
      <c r="BM122" s="21" t="s">
        <v>1272</v>
      </c>
    </row>
    <row r="123" spans="2:51" s="10" customFormat="1" ht="22.5" customHeight="1">
      <c r="B123" s="151"/>
      <c r="C123" s="206"/>
      <c r="D123" s="206"/>
      <c r="E123" s="207" t="s">
        <v>5</v>
      </c>
      <c r="F123" s="319" t="s">
        <v>1273</v>
      </c>
      <c r="G123" s="320"/>
      <c r="H123" s="320"/>
      <c r="I123" s="320"/>
      <c r="J123" s="206"/>
      <c r="K123" s="208" t="s">
        <v>5</v>
      </c>
      <c r="L123" s="206"/>
      <c r="M123" s="206"/>
      <c r="N123" s="206"/>
      <c r="O123" s="206"/>
      <c r="P123" s="206"/>
      <c r="Q123" s="206"/>
      <c r="R123" s="209"/>
      <c r="T123" s="156"/>
      <c r="U123" s="152"/>
      <c r="V123" s="152"/>
      <c r="W123" s="152"/>
      <c r="X123" s="152"/>
      <c r="Y123" s="152"/>
      <c r="Z123" s="152"/>
      <c r="AA123" s="157"/>
      <c r="AT123" s="158" t="s">
        <v>179</v>
      </c>
      <c r="AU123" s="158" t="s">
        <v>135</v>
      </c>
      <c r="AV123" s="10" t="s">
        <v>21</v>
      </c>
      <c r="AW123" s="10" t="s">
        <v>35</v>
      </c>
      <c r="AX123" s="10" t="s">
        <v>78</v>
      </c>
      <c r="AY123" s="158" t="s">
        <v>167</v>
      </c>
    </row>
    <row r="124" spans="2:51" s="11" customFormat="1" ht="22.5" customHeight="1">
      <c r="B124" s="159"/>
      <c r="C124" s="210"/>
      <c r="D124" s="210"/>
      <c r="E124" s="211" t="s">
        <v>5</v>
      </c>
      <c r="F124" s="321" t="s">
        <v>1274</v>
      </c>
      <c r="G124" s="322"/>
      <c r="H124" s="322"/>
      <c r="I124" s="322"/>
      <c r="J124" s="210"/>
      <c r="K124" s="212">
        <v>17</v>
      </c>
      <c r="L124" s="210"/>
      <c r="M124" s="210"/>
      <c r="N124" s="210"/>
      <c r="O124" s="210"/>
      <c r="P124" s="210"/>
      <c r="Q124" s="210"/>
      <c r="R124" s="21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78</v>
      </c>
      <c r="AY124" s="166" t="s">
        <v>167</v>
      </c>
    </row>
    <row r="125" spans="2:51" s="11" customFormat="1" ht="22.5" customHeight="1">
      <c r="B125" s="159"/>
      <c r="C125" s="210"/>
      <c r="D125" s="210"/>
      <c r="E125" s="211" t="s">
        <v>5</v>
      </c>
      <c r="F125" s="321" t="s">
        <v>1275</v>
      </c>
      <c r="G125" s="322"/>
      <c r="H125" s="322"/>
      <c r="I125" s="322"/>
      <c r="J125" s="210"/>
      <c r="K125" s="212">
        <v>4</v>
      </c>
      <c r="L125" s="210"/>
      <c r="M125" s="210"/>
      <c r="N125" s="210"/>
      <c r="O125" s="210"/>
      <c r="P125" s="210"/>
      <c r="Q125" s="210"/>
      <c r="R125" s="213"/>
      <c r="T125" s="164"/>
      <c r="U125" s="160"/>
      <c r="V125" s="160"/>
      <c r="W125" s="160"/>
      <c r="X125" s="160"/>
      <c r="Y125" s="160"/>
      <c r="Z125" s="160"/>
      <c r="AA125" s="165"/>
      <c r="AT125" s="166" t="s">
        <v>179</v>
      </c>
      <c r="AU125" s="166" t="s">
        <v>135</v>
      </c>
      <c r="AV125" s="11" t="s">
        <v>135</v>
      </c>
      <c r="AW125" s="11" t="s">
        <v>35</v>
      </c>
      <c r="AX125" s="11" t="s">
        <v>78</v>
      </c>
      <c r="AY125" s="166" t="s">
        <v>167</v>
      </c>
    </row>
    <row r="126" spans="2:51" s="11" customFormat="1" ht="22.5" customHeight="1">
      <c r="B126" s="159"/>
      <c r="C126" s="210"/>
      <c r="D126" s="210"/>
      <c r="E126" s="211" t="s">
        <v>5</v>
      </c>
      <c r="F126" s="321" t="s">
        <v>1276</v>
      </c>
      <c r="G126" s="322"/>
      <c r="H126" s="322"/>
      <c r="I126" s="322"/>
      <c r="J126" s="210"/>
      <c r="K126" s="212">
        <v>16</v>
      </c>
      <c r="L126" s="210"/>
      <c r="M126" s="210"/>
      <c r="N126" s="210"/>
      <c r="O126" s="210"/>
      <c r="P126" s="210"/>
      <c r="Q126" s="210"/>
      <c r="R126" s="213"/>
      <c r="T126" s="164"/>
      <c r="U126" s="160"/>
      <c r="V126" s="160"/>
      <c r="W126" s="160"/>
      <c r="X126" s="160"/>
      <c r="Y126" s="160"/>
      <c r="Z126" s="160"/>
      <c r="AA126" s="165"/>
      <c r="AT126" s="166" t="s">
        <v>179</v>
      </c>
      <c r="AU126" s="166" t="s">
        <v>135</v>
      </c>
      <c r="AV126" s="11" t="s">
        <v>135</v>
      </c>
      <c r="AW126" s="11" t="s">
        <v>35</v>
      </c>
      <c r="AX126" s="11" t="s">
        <v>78</v>
      </c>
      <c r="AY126" s="166" t="s">
        <v>167</v>
      </c>
    </row>
    <row r="127" spans="2:51" s="11" customFormat="1" ht="22.5" customHeight="1">
      <c r="B127" s="159"/>
      <c r="C127" s="210"/>
      <c r="D127" s="210"/>
      <c r="E127" s="211" t="s">
        <v>5</v>
      </c>
      <c r="F127" s="321" t="s">
        <v>1277</v>
      </c>
      <c r="G127" s="322"/>
      <c r="H127" s="322"/>
      <c r="I127" s="322"/>
      <c r="J127" s="210"/>
      <c r="K127" s="212">
        <v>7</v>
      </c>
      <c r="L127" s="210"/>
      <c r="M127" s="210"/>
      <c r="N127" s="210"/>
      <c r="O127" s="210"/>
      <c r="P127" s="210"/>
      <c r="Q127" s="210"/>
      <c r="R127" s="213"/>
      <c r="T127" s="164"/>
      <c r="U127" s="160"/>
      <c r="V127" s="160"/>
      <c r="W127" s="160"/>
      <c r="X127" s="160"/>
      <c r="Y127" s="160"/>
      <c r="Z127" s="160"/>
      <c r="AA127" s="165"/>
      <c r="AT127" s="166" t="s">
        <v>179</v>
      </c>
      <c r="AU127" s="166" t="s">
        <v>135</v>
      </c>
      <c r="AV127" s="11" t="s">
        <v>135</v>
      </c>
      <c r="AW127" s="11" t="s">
        <v>35</v>
      </c>
      <c r="AX127" s="11" t="s">
        <v>78</v>
      </c>
      <c r="AY127" s="166" t="s">
        <v>167</v>
      </c>
    </row>
    <row r="128" spans="2:51" s="13" customFormat="1" ht="22.5" customHeight="1">
      <c r="B128" s="186"/>
      <c r="C128" s="214"/>
      <c r="D128" s="214"/>
      <c r="E128" s="215" t="s">
        <v>1263</v>
      </c>
      <c r="F128" s="323" t="s">
        <v>1278</v>
      </c>
      <c r="G128" s="324"/>
      <c r="H128" s="324"/>
      <c r="I128" s="324"/>
      <c r="J128" s="214"/>
      <c r="K128" s="216">
        <v>44</v>
      </c>
      <c r="L128" s="214"/>
      <c r="M128" s="214"/>
      <c r="N128" s="214"/>
      <c r="O128" s="214"/>
      <c r="P128" s="214"/>
      <c r="Q128" s="214"/>
      <c r="R128" s="217"/>
      <c r="T128" s="191"/>
      <c r="U128" s="187"/>
      <c r="V128" s="187"/>
      <c r="W128" s="187"/>
      <c r="X128" s="187"/>
      <c r="Y128" s="187"/>
      <c r="Z128" s="187"/>
      <c r="AA128" s="192"/>
      <c r="AT128" s="193" t="s">
        <v>179</v>
      </c>
      <c r="AU128" s="193" t="s">
        <v>135</v>
      </c>
      <c r="AV128" s="13" t="s">
        <v>184</v>
      </c>
      <c r="AW128" s="13" t="s">
        <v>35</v>
      </c>
      <c r="AX128" s="13" t="s">
        <v>78</v>
      </c>
      <c r="AY128" s="193" t="s">
        <v>167</v>
      </c>
    </row>
    <row r="129" spans="2:51" s="10" customFormat="1" ht="22.5" customHeight="1">
      <c r="B129" s="151"/>
      <c r="C129" s="206"/>
      <c r="D129" s="206"/>
      <c r="E129" s="207" t="s">
        <v>5</v>
      </c>
      <c r="F129" s="325" t="s">
        <v>1279</v>
      </c>
      <c r="G129" s="326"/>
      <c r="H129" s="326"/>
      <c r="I129" s="326"/>
      <c r="J129" s="206"/>
      <c r="K129" s="208" t="s">
        <v>5</v>
      </c>
      <c r="L129" s="206"/>
      <c r="M129" s="206"/>
      <c r="N129" s="206"/>
      <c r="O129" s="206"/>
      <c r="P129" s="206"/>
      <c r="Q129" s="206"/>
      <c r="R129" s="209"/>
      <c r="T129" s="156"/>
      <c r="U129" s="152"/>
      <c r="V129" s="152"/>
      <c r="W129" s="152"/>
      <c r="X129" s="152"/>
      <c r="Y129" s="152"/>
      <c r="Z129" s="152"/>
      <c r="AA129" s="157"/>
      <c r="AT129" s="158" t="s">
        <v>179</v>
      </c>
      <c r="AU129" s="158" t="s">
        <v>135</v>
      </c>
      <c r="AV129" s="10" t="s">
        <v>21</v>
      </c>
      <c r="AW129" s="10" t="s">
        <v>35</v>
      </c>
      <c r="AX129" s="10" t="s">
        <v>78</v>
      </c>
      <c r="AY129" s="158" t="s">
        <v>167</v>
      </c>
    </row>
    <row r="130" spans="2:51" s="11" customFormat="1" ht="22.5" customHeight="1">
      <c r="B130" s="159"/>
      <c r="C130" s="210"/>
      <c r="D130" s="210"/>
      <c r="E130" s="211" t="s">
        <v>5</v>
      </c>
      <c r="F130" s="321" t="s">
        <v>1280</v>
      </c>
      <c r="G130" s="322"/>
      <c r="H130" s="322"/>
      <c r="I130" s="322"/>
      <c r="J130" s="210"/>
      <c r="K130" s="212">
        <v>4</v>
      </c>
      <c r="L130" s="210"/>
      <c r="M130" s="210"/>
      <c r="N130" s="210"/>
      <c r="O130" s="210"/>
      <c r="P130" s="210"/>
      <c r="Q130" s="210"/>
      <c r="R130" s="213"/>
      <c r="T130" s="164"/>
      <c r="U130" s="160"/>
      <c r="V130" s="160"/>
      <c r="W130" s="160"/>
      <c r="X130" s="160"/>
      <c r="Y130" s="160"/>
      <c r="Z130" s="160"/>
      <c r="AA130" s="165"/>
      <c r="AT130" s="166" t="s">
        <v>179</v>
      </c>
      <c r="AU130" s="166" t="s">
        <v>135</v>
      </c>
      <c r="AV130" s="11" t="s">
        <v>135</v>
      </c>
      <c r="AW130" s="11" t="s">
        <v>35</v>
      </c>
      <c r="AX130" s="11" t="s">
        <v>78</v>
      </c>
      <c r="AY130" s="166" t="s">
        <v>167</v>
      </c>
    </row>
    <row r="131" spans="2:51" s="11" customFormat="1" ht="22.5" customHeight="1">
      <c r="B131" s="159"/>
      <c r="C131" s="210"/>
      <c r="D131" s="210"/>
      <c r="E131" s="211" t="s">
        <v>5</v>
      </c>
      <c r="F131" s="321" t="s">
        <v>1281</v>
      </c>
      <c r="G131" s="322"/>
      <c r="H131" s="322"/>
      <c r="I131" s="322"/>
      <c r="J131" s="210"/>
      <c r="K131" s="212">
        <v>4</v>
      </c>
      <c r="L131" s="210"/>
      <c r="M131" s="210"/>
      <c r="N131" s="210"/>
      <c r="O131" s="210"/>
      <c r="P131" s="210"/>
      <c r="Q131" s="210"/>
      <c r="R131" s="213"/>
      <c r="T131" s="164"/>
      <c r="U131" s="160"/>
      <c r="V131" s="160"/>
      <c r="W131" s="160"/>
      <c r="X131" s="160"/>
      <c r="Y131" s="160"/>
      <c r="Z131" s="160"/>
      <c r="AA131" s="165"/>
      <c r="AT131" s="166" t="s">
        <v>179</v>
      </c>
      <c r="AU131" s="166" t="s">
        <v>135</v>
      </c>
      <c r="AV131" s="11" t="s">
        <v>135</v>
      </c>
      <c r="AW131" s="11" t="s">
        <v>35</v>
      </c>
      <c r="AX131" s="11" t="s">
        <v>78</v>
      </c>
      <c r="AY131" s="166" t="s">
        <v>167</v>
      </c>
    </row>
    <row r="132" spans="2:51" s="13" customFormat="1" ht="22.5" customHeight="1">
      <c r="B132" s="186"/>
      <c r="C132" s="214"/>
      <c r="D132" s="214"/>
      <c r="E132" s="215" t="s">
        <v>1282</v>
      </c>
      <c r="F132" s="323" t="s">
        <v>1278</v>
      </c>
      <c r="G132" s="324"/>
      <c r="H132" s="324"/>
      <c r="I132" s="324"/>
      <c r="J132" s="214"/>
      <c r="K132" s="216">
        <v>8</v>
      </c>
      <c r="L132" s="214"/>
      <c r="M132" s="214"/>
      <c r="N132" s="214"/>
      <c r="O132" s="214"/>
      <c r="P132" s="214"/>
      <c r="Q132" s="214"/>
      <c r="R132" s="217"/>
      <c r="T132" s="191"/>
      <c r="U132" s="187"/>
      <c r="V132" s="187"/>
      <c r="W132" s="187"/>
      <c r="X132" s="187"/>
      <c r="Y132" s="187"/>
      <c r="Z132" s="187"/>
      <c r="AA132" s="192"/>
      <c r="AT132" s="193" t="s">
        <v>179</v>
      </c>
      <c r="AU132" s="193" t="s">
        <v>135</v>
      </c>
      <c r="AV132" s="13" t="s">
        <v>184</v>
      </c>
      <c r="AW132" s="13" t="s">
        <v>35</v>
      </c>
      <c r="AX132" s="13" t="s">
        <v>78</v>
      </c>
      <c r="AY132" s="193" t="s">
        <v>167</v>
      </c>
    </row>
    <row r="133" spans="2:51" s="10" customFormat="1" ht="22.5" customHeight="1">
      <c r="B133" s="151"/>
      <c r="C133" s="206"/>
      <c r="D133" s="206"/>
      <c r="E133" s="207" t="s">
        <v>5</v>
      </c>
      <c r="F133" s="325" t="s">
        <v>1283</v>
      </c>
      <c r="G133" s="326"/>
      <c r="H133" s="326"/>
      <c r="I133" s="326"/>
      <c r="J133" s="206"/>
      <c r="K133" s="208" t="s">
        <v>5</v>
      </c>
      <c r="L133" s="206"/>
      <c r="M133" s="206"/>
      <c r="N133" s="206"/>
      <c r="O133" s="206"/>
      <c r="P133" s="206"/>
      <c r="Q133" s="206"/>
      <c r="R133" s="209"/>
      <c r="T133" s="156"/>
      <c r="U133" s="152"/>
      <c r="V133" s="152"/>
      <c r="W133" s="152"/>
      <c r="X133" s="152"/>
      <c r="Y133" s="152"/>
      <c r="Z133" s="152"/>
      <c r="AA133" s="157"/>
      <c r="AT133" s="158" t="s">
        <v>179</v>
      </c>
      <c r="AU133" s="158" t="s">
        <v>135</v>
      </c>
      <c r="AV133" s="10" t="s">
        <v>21</v>
      </c>
      <c r="AW133" s="10" t="s">
        <v>35</v>
      </c>
      <c r="AX133" s="10" t="s">
        <v>78</v>
      </c>
      <c r="AY133" s="158" t="s">
        <v>167</v>
      </c>
    </row>
    <row r="134" spans="2:51" s="11" customFormat="1" ht="22.5" customHeight="1">
      <c r="B134" s="159"/>
      <c r="C134" s="210"/>
      <c r="D134" s="210"/>
      <c r="E134" s="211" t="s">
        <v>5</v>
      </c>
      <c r="F134" s="321" t="s">
        <v>1284</v>
      </c>
      <c r="G134" s="322"/>
      <c r="H134" s="322"/>
      <c r="I134" s="322"/>
      <c r="J134" s="210"/>
      <c r="K134" s="212">
        <v>103</v>
      </c>
      <c r="L134" s="210"/>
      <c r="M134" s="210"/>
      <c r="N134" s="210"/>
      <c r="O134" s="210"/>
      <c r="P134" s="210"/>
      <c r="Q134" s="210"/>
      <c r="R134" s="213"/>
      <c r="T134" s="164"/>
      <c r="U134" s="160"/>
      <c r="V134" s="160"/>
      <c r="W134" s="160"/>
      <c r="X134" s="160"/>
      <c r="Y134" s="160"/>
      <c r="Z134" s="160"/>
      <c r="AA134" s="165"/>
      <c r="AT134" s="166" t="s">
        <v>179</v>
      </c>
      <c r="AU134" s="166" t="s">
        <v>135</v>
      </c>
      <c r="AV134" s="11" t="s">
        <v>135</v>
      </c>
      <c r="AW134" s="11" t="s">
        <v>35</v>
      </c>
      <c r="AX134" s="11" t="s">
        <v>78</v>
      </c>
      <c r="AY134" s="166" t="s">
        <v>167</v>
      </c>
    </row>
    <row r="135" spans="2:51" s="11" customFormat="1" ht="22.5" customHeight="1">
      <c r="B135" s="159"/>
      <c r="C135" s="210"/>
      <c r="D135" s="210"/>
      <c r="E135" s="211" t="s">
        <v>5</v>
      </c>
      <c r="F135" s="321" t="s">
        <v>1285</v>
      </c>
      <c r="G135" s="322"/>
      <c r="H135" s="322"/>
      <c r="I135" s="322"/>
      <c r="J135" s="210"/>
      <c r="K135" s="212">
        <v>557.82</v>
      </c>
      <c r="L135" s="210"/>
      <c r="M135" s="210"/>
      <c r="N135" s="210"/>
      <c r="O135" s="210"/>
      <c r="P135" s="210"/>
      <c r="Q135" s="210"/>
      <c r="R135" s="213"/>
      <c r="T135" s="164"/>
      <c r="U135" s="160"/>
      <c r="V135" s="160"/>
      <c r="W135" s="160"/>
      <c r="X135" s="160"/>
      <c r="Y135" s="160"/>
      <c r="Z135" s="160"/>
      <c r="AA135" s="165"/>
      <c r="AT135" s="166" t="s">
        <v>179</v>
      </c>
      <c r="AU135" s="166" t="s">
        <v>135</v>
      </c>
      <c r="AV135" s="11" t="s">
        <v>135</v>
      </c>
      <c r="AW135" s="11" t="s">
        <v>35</v>
      </c>
      <c r="AX135" s="11" t="s">
        <v>78</v>
      </c>
      <c r="AY135" s="166" t="s">
        <v>167</v>
      </c>
    </row>
    <row r="136" spans="2:51" s="11" customFormat="1" ht="22.5" customHeight="1">
      <c r="B136" s="159"/>
      <c r="C136" s="210"/>
      <c r="D136" s="210"/>
      <c r="E136" s="211" t="s">
        <v>5</v>
      </c>
      <c r="F136" s="321" t="s">
        <v>2221</v>
      </c>
      <c r="G136" s="322"/>
      <c r="H136" s="322"/>
      <c r="I136" s="322"/>
      <c r="J136" s="210"/>
      <c r="K136" s="212">
        <f>603-242</f>
        <v>361</v>
      </c>
      <c r="L136" s="210"/>
      <c r="M136" s="210"/>
      <c r="N136" s="210"/>
      <c r="O136" s="210"/>
      <c r="P136" s="210"/>
      <c r="Q136" s="210"/>
      <c r="R136" s="213"/>
      <c r="T136" s="164"/>
      <c r="U136" s="160"/>
      <c r="V136" s="160"/>
      <c r="W136" s="160"/>
      <c r="X136" s="160"/>
      <c r="Y136" s="160"/>
      <c r="Z136" s="160"/>
      <c r="AA136" s="165"/>
      <c r="AT136" s="166" t="s">
        <v>179</v>
      </c>
      <c r="AU136" s="166" t="s">
        <v>135</v>
      </c>
      <c r="AV136" s="11" t="s">
        <v>135</v>
      </c>
      <c r="AW136" s="11" t="s">
        <v>35</v>
      </c>
      <c r="AX136" s="11" t="s">
        <v>78</v>
      </c>
      <c r="AY136" s="166" t="s">
        <v>167</v>
      </c>
    </row>
    <row r="137" spans="2:51" s="11" customFormat="1" ht="22.5" customHeight="1">
      <c r="B137" s="159"/>
      <c r="C137" s="210"/>
      <c r="D137" s="210"/>
      <c r="E137" s="211" t="s">
        <v>5</v>
      </c>
      <c r="F137" s="321" t="s">
        <v>1286</v>
      </c>
      <c r="G137" s="322"/>
      <c r="H137" s="322"/>
      <c r="I137" s="322"/>
      <c r="J137" s="210"/>
      <c r="K137" s="212">
        <v>267.8</v>
      </c>
      <c r="L137" s="210"/>
      <c r="M137" s="210"/>
      <c r="N137" s="210"/>
      <c r="O137" s="210"/>
      <c r="P137" s="210"/>
      <c r="Q137" s="210"/>
      <c r="R137" s="213"/>
      <c r="T137" s="164"/>
      <c r="U137" s="160"/>
      <c r="V137" s="160"/>
      <c r="W137" s="160"/>
      <c r="X137" s="160"/>
      <c r="Y137" s="160"/>
      <c r="Z137" s="160"/>
      <c r="AA137" s="165"/>
      <c r="AT137" s="166" t="s">
        <v>179</v>
      </c>
      <c r="AU137" s="166" t="s">
        <v>135</v>
      </c>
      <c r="AV137" s="11" t="s">
        <v>135</v>
      </c>
      <c r="AW137" s="11" t="s">
        <v>35</v>
      </c>
      <c r="AX137" s="11" t="s">
        <v>78</v>
      </c>
      <c r="AY137" s="166" t="s">
        <v>167</v>
      </c>
    </row>
    <row r="138" spans="2:51" s="11" customFormat="1" ht="22.5" customHeight="1">
      <c r="B138" s="159"/>
      <c r="C138" s="210"/>
      <c r="D138" s="210"/>
      <c r="E138" s="211" t="s">
        <v>5</v>
      </c>
      <c r="F138" s="321" t="s">
        <v>1287</v>
      </c>
      <c r="G138" s="322"/>
      <c r="H138" s="322"/>
      <c r="I138" s="322"/>
      <c r="J138" s="210"/>
      <c r="K138" s="212">
        <v>489</v>
      </c>
      <c r="L138" s="210"/>
      <c r="M138" s="210"/>
      <c r="N138" s="210"/>
      <c r="O138" s="210"/>
      <c r="P138" s="210"/>
      <c r="Q138" s="210"/>
      <c r="R138" s="213"/>
      <c r="T138" s="164"/>
      <c r="U138" s="160"/>
      <c r="V138" s="160"/>
      <c r="W138" s="160"/>
      <c r="X138" s="160"/>
      <c r="Y138" s="160"/>
      <c r="Z138" s="160"/>
      <c r="AA138" s="165"/>
      <c r="AT138" s="166" t="s">
        <v>179</v>
      </c>
      <c r="AU138" s="166" t="s">
        <v>135</v>
      </c>
      <c r="AV138" s="11" t="s">
        <v>135</v>
      </c>
      <c r="AW138" s="11" t="s">
        <v>35</v>
      </c>
      <c r="AX138" s="11" t="s">
        <v>78</v>
      </c>
      <c r="AY138" s="166" t="s">
        <v>167</v>
      </c>
    </row>
    <row r="139" spans="2:51" s="11" customFormat="1" ht="22.5" customHeight="1">
      <c r="B139" s="159"/>
      <c r="C139" s="210"/>
      <c r="D139" s="210"/>
      <c r="E139" s="211" t="s">
        <v>5</v>
      </c>
      <c r="F139" s="321" t="s">
        <v>1288</v>
      </c>
      <c r="G139" s="322"/>
      <c r="H139" s="322"/>
      <c r="I139" s="322"/>
      <c r="J139" s="210"/>
      <c r="K139" s="212">
        <v>96</v>
      </c>
      <c r="L139" s="210"/>
      <c r="M139" s="210"/>
      <c r="N139" s="210"/>
      <c r="O139" s="210"/>
      <c r="P139" s="210"/>
      <c r="Q139" s="210"/>
      <c r="R139" s="213"/>
      <c r="T139" s="164"/>
      <c r="U139" s="160"/>
      <c r="V139" s="160"/>
      <c r="W139" s="160"/>
      <c r="X139" s="160"/>
      <c r="Y139" s="160"/>
      <c r="Z139" s="160"/>
      <c r="AA139" s="165"/>
      <c r="AT139" s="166" t="s">
        <v>179</v>
      </c>
      <c r="AU139" s="166" t="s">
        <v>135</v>
      </c>
      <c r="AV139" s="11" t="s">
        <v>135</v>
      </c>
      <c r="AW139" s="11" t="s">
        <v>35</v>
      </c>
      <c r="AX139" s="11" t="s">
        <v>78</v>
      </c>
      <c r="AY139" s="166" t="s">
        <v>167</v>
      </c>
    </row>
    <row r="140" spans="2:51" s="11" customFormat="1" ht="22.5" customHeight="1">
      <c r="B140" s="159"/>
      <c r="C140" s="210"/>
      <c r="D140" s="210"/>
      <c r="E140" s="211" t="s">
        <v>5</v>
      </c>
      <c r="F140" s="321" t="s">
        <v>1289</v>
      </c>
      <c r="G140" s="322"/>
      <c r="H140" s="322"/>
      <c r="I140" s="322"/>
      <c r="J140" s="210"/>
      <c r="K140" s="212">
        <v>167</v>
      </c>
      <c r="L140" s="210"/>
      <c r="M140" s="210"/>
      <c r="N140" s="210"/>
      <c r="O140" s="210"/>
      <c r="P140" s="210"/>
      <c r="Q140" s="210"/>
      <c r="R140" s="213"/>
      <c r="T140" s="164"/>
      <c r="U140" s="160"/>
      <c r="V140" s="160"/>
      <c r="W140" s="160"/>
      <c r="X140" s="160"/>
      <c r="Y140" s="160"/>
      <c r="Z140" s="160"/>
      <c r="AA140" s="165"/>
      <c r="AT140" s="166" t="s">
        <v>179</v>
      </c>
      <c r="AU140" s="166" t="s">
        <v>135</v>
      </c>
      <c r="AV140" s="11" t="s">
        <v>135</v>
      </c>
      <c r="AW140" s="11" t="s">
        <v>35</v>
      </c>
      <c r="AX140" s="11" t="s">
        <v>78</v>
      </c>
      <c r="AY140" s="166" t="s">
        <v>167</v>
      </c>
    </row>
    <row r="141" spans="2:51" s="11" customFormat="1" ht="22.5" customHeight="1">
      <c r="B141" s="159"/>
      <c r="C141" s="210"/>
      <c r="D141" s="210"/>
      <c r="E141" s="211" t="s">
        <v>5</v>
      </c>
      <c r="F141" s="321" t="s">
        <v>1290</v>
      </c>
      <c r="G141" s="322"/>
      <c r="H141" s="322"/>
      <c r="I141" s="322"/>
      <c r="J141" s="210"/>
      <c r="K141" s="212">
        <v>184</v>
      </c>
      <c r="L141" s="210"/>
      <c r="M141" s="210"/>
      <c r="N141" s="210"/>
      <c r="O141" s="210"/>
      <c r="P141" s="210"/>
      <c r="Q141" s="210"/>
      <c r="R141" s="213"/>
      <c r="T141" s="164"/>
      <c r="U141" s="160"/>
      <c r="V141" s="160"/>
      <c r="W141" s="160"/>
      <c r="X141" s="160"/>
      <c r="Y141" s="160"/>
      <c r="Z141" s="160"/>
      <c r="AA141" s="165"/>
      <c r="AT141" s="166" t="s">
        <v>179</v>
      </c>
      <c r="AU141" s="166" t="s">
        <v>135</v>
      </c>
      <c r="AV141" s="11" t="s">
        <v>135</v>
      </c>
      <c r="AW141" s="11" t="s">
        <v>35</v>
      </c>
      <c r="AX141" s="11" t="s">
        <v>78</v>
      </c>
      <c r="AY141" s="166" t="s">
        <v>167</v>
      </c>
    </row>
    <row r="142" spans="2:51" s="11" customFormat="1" ht="22.5" customHeight="1">
      <c r="B142" s="159"/>
      <c r="C142" s="210"/>
      <c r="D142" s="210"/>
      <c r="E142" s="211" t="s">
        <v>5</v>
      </c>
      <c r="F142" s="321" t="s">
        <v>1291</v>
      </c>
      <c r="G142" s="322"/>
      <c r="H142" s="322"/>
      <c r="I142" s="322"/>
      <c r="J142" s="210"/>
      <c r="K142" s="212">
        <v>110.35</v>
      </c>
      <c r="L142" s="210"/>
      <c r="M142" s="210"/>
      <c r="N142" s="210"/>
      <c r="O142" s="210"/>
      <c r="P142" s="210"/>
      <c r="Q142" s="210"/>
      <c r="R142" s="213"/>
      <c r="T142" s="164"/>
      <c r="U142" s="160"/>
      <c r="V142" s="160"/>
      <c r="W142" s="160"/>
      <c r="X142" s="160"/>
      <c r="Y142" s="160"/>
      <c r="Z142" s="160"/>
      <c r="AA142" s="165"/>
      <c r="AT142" s="166" t="s">
        <v>179</v>
      </c>
      <c r="AU142" s="166" t="s">
        <v>135</v>
      </c>
      <c r="AV142" s="11" t="s">
        <v>135</v>
      </c>
      <c r="AW142" s="11" t="s">
        <v>35</v>
      </c>
      <c r="AX142" s="11" t="s">
        <v>78</v>
      </c>
      <c r="AY142" s="166" t="s">
        <v>167</v>
      </c>
    </row>
    <row r="143" spans="2:51" s="13" customFormat="1" ht="22.5" customHeight="1">
      <c r="B143" s="186"/>
      <c r="C143" s="214"/>
      <c r="D143" s="214"/>
      <c r="E143" s="215" t="s">
        <v>1264</v>
      </c>
      <c r="F143" s="323" t="s">
        <v>1278</v>
      </c>
      <c r="G143" s="324"/>
      <c r="H143" s="324"/>
      <c r="I143" s="324"/>
      <c r="J143" s="214"/>
      <c r="K143" s="216">
        <f>SUM(K134:K142)</f>
        <v>2335.97</v>
      </c>
      <c r="L143" s="214"/>
      <c r="M143" s="214"/>
      <c r="N143" s="214"/>
      <c r="O143" s="214"/>
      <c r="P143" s="214"/>
      <c r="Q143" s="214"/>
      <c r="R143" s="217"/>
      <c r="T143" s="191"/>
      <c r="U143" s="187"/>
      <c r="V143" s="187"/>
      <c r="W143" s="187"/>
      <c r="X143" s="187"/>
      <c r="Y143" s="187"/>
      <c r="Z143" s="187"/>
      <c r="AA143" s="192"/>
      <c r="AT143" s="193" t="s">
        <v>179</v>
      </c>
      <c r="AU143" s="193" t="s">
        <v>135</v>
      </c>
      <c r="AV143" s="13" t="s">
        <v>184</v>
      </c>
      <c r="AW143" s="13" t="s">
        <v>35</v>
      </c>
      <c r="AX143" s="13" t="s">
        <v>78</v>
      </c>
      <c r="AY143" s="193" t="s">
        <v>167</v>
      </c>
    </row>
    <row r="144" spans="2:51" s="12" customFormat="1" ht="22.5" customHeight="1">
      <c r="B144" s="167"/>
      <c r="C144" s="218"/>
      <c r="D144" s="218"/>
      <c r="E144" s="219" t="s">
        <v>5</v>
      </c>
      <c r="F144" s="327" t="s">
        <v>183</v>
      </c>
      <c r="G144" s="328"/>
      <c r="H144" s="328"/>
      <c r="I144" s="328"/>
      <c r="J144" s="218"/>
      <c r="K144" s="220">
        <f>+K143+K132+K128</f>
        <v>2387.97</v>
      </c>
      <c r="L144" s="218"/>
      <c r="M144" s="218"/>
      <c r="N144" s="218"/>
      <c r="O144" s="218"/>
      <c r="P144" s="218"/>
      <c r="Q144" s="218"/>
      <c r="R144" s="221"/>
      <c r="T144" s="172"/>
      <c r="U144" s="168"/>
      <c r="V144" s="168"/>
      <c r="W144" s="168"/>
      <c r="X144" s="168"/>
      <c r="Y144" s="168"/>
      <c r="Z144" s="168"/>
      <c r="AA144" s="173"/>
      <c r="AT144" s="174" t="s">
        <v>179</v>
      </c>
      <c r="AU144" s="174" t="s">
        <v>135</v>
      </c>
      <c r="AV144" s="12" t="s">
        <v>172</v>
      </c>
      <c r="AW144" s="12" t="s">
        <v>35</v>
      </c>
      <c r="AX144" s="12" t="s">
        <v>21</v>
      </c>
      <c r="AY144" s="174" t="s">
        <v>167</v>
      </c>
    </row>
    <row r="145" spans="2:65" s="1" customFormat="1" ht="22.5" customHeight="1">
      <c r="B145" s="141"/>
      <c r="C145" s="201" t="s">
        <v>135</v>
      </c>
      <c r="D145" s="201" t="s">
        <v>168</v>
      </c>
      <c r="E145" s="202" t="s">
        <v>1292</v>
      </c>
      <c r="F145" s="317" t="s">
        <v>1293</v>
      </c>
      <c r="G145" s="317"/>
      <c r="H145" s="317"/>
      <c r="I145" s="317"/>
      <c r="J145" s="203" t="s">
        <v>176</v>
      </c>
      <c r="K145" s="204">
        <f>+K191</f>
        <v>6229.108</v>
      </c>
      <c r="L145" s="318">
        <v>0</v>
      </c>
      <c r="M145" s="318"/>
      <c r="N145" s="318">
        <f>ROUND(L145*K145,2)</f>
        <v>0</v>
      </c>
      <c r="O145" s="318"/>
      <c r="P145" s="318"/>
      <c r="Q145" s="318"/>
      <c r="R145" s="205"/>
      <c r="T145" s="147" t="s">
        <v>5</v>
      </c>
      <c r="U145" s="44" t="s">
        <v>43</v>
      </c>
      <c r="V145" s="148">
        <v>0.44</v>
      </c>
      <c r="W145" s="148">
        <f>V145*K145</f>
        <v>2740.8075200000003</v>
      </c>
      <c r="X145" s="148">
        <v>0</v>
      </c>
      <c r="Y145" s="148">
        <f>X145*K145</f>
        <v>0</v>
      </c>
      <c r="Z145" s="148">
        <v>0</v>
      </c>
      <c r="AA145" s="149">
        <f>Z145*K145</f>
        <v>0</v>
      </c>
      <c r="AR145" s="21" t="s">
        <v>172</v>
      </c>
      <c r="AT145" s="21" t="s">
        <v>168</v>
      </c>
      <c r="AU145" s="21" t="s">
        <v>135</v>
      </c>
      <c r="AY145" s="21" t="s">
        <v>167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21</v>
      </c>
      <c r="BK145" s="150">
        <f>ROUND(L145*K145,2)</f>
        <v>0</v>
      </c>
      <c r="BL145" s="21" t="s">
        <v>172</v>
      </c>
      <c r="BM145" s="21" t="s">
        <v>1294</v>
      </c>
    </row>
    <row r="146" spans="2:51" s="10" customFormat="1" ht="22.5" customHeight="1">
      <c r="B146" s="151"/>
      <c r="C146" s="206"/>
      <c r="D146" s="206"/>
      <c r="E146" s="207" t="s">
        <v>5</v>
      </c>
      <c r="F146" s="319" t="s">
        <v>1295</v>
      </c>
      <c r="G146" s="320"/>
      <c r="H146" s="320"/>
      <c r="I146" s="320"/>
      <c r="J146" s="206"/>
      <c r="K146" s="208" t="s">
        <v>5</v>
      </c>
      <c r="L146" s="206"/>
      <c r="M146" s="206"/>
      <c r="N146" s="206"/>
      <c r="O146" s="206"/>
      <c r="P146" s="206"/>
      <c r="Q146" s="206"/>
      <c r="R146" s="209"/>
      <c r="T146" s="156"/>
      <c r="U146" s="152"/>
      <c r="V146" s="152"/>
      <c r="W146" s="152"/>
      <c r="X146" s="152"/>
      <c r="Y146" s="152"/>
      <c r="Z146" s="152"/>
      <c r="AA146" s="157"/>
      <c r="AT146" s="158" t="s">
        <v>179</v>
      </c>
      <c r="AU146" s="158" t="s">
        <v>135</v>
      </c>
      <c r="AV146" s="10" t="s">
        <v>21</v>
      </c>
      <c r="AW146" s="10" t="s">
        <v>35</v>
      </c>
      <c r="AX146" s="10" t="s">
        <v>78</v>
      </c>
      <c r="AY146" s="158" t="s">
        <v>167</v>
      </c>
    </row>
    <row r="147" spans="2:51" s="11" customFormat="1" ht="22.5" customHeight="1">
      <c r="B147" s="159"/>
      <c r="C147" s="210"/>
      <c r="D147" s="210"/>
      <c r="E147" s="211" t="s">
        <v>5</v>
      </c>
      <c r="F147" s="321" t="s">
        <v>1296</v>
      </c>
      <c r="G147" s="322"/>
      <c r="H147" s="322"/>
      <c r="I147" s="322"/>
      <c r="J147" s="210"/>
      <c r="K147" s="212">
        <v>22.33</v>
      </c>
      <c r="L147" s="210"/>
      <c r="M147" s="210"/>
      <c r="N147" s="210"/>
      <c r="O147" s="210"/>
      <c r="P147" s="210"/>
      <c r="Q147" s="210"/>
      <c r="R147" s="213"/>
      <c r="T147" s="164"/>
      <c r="U147" s="160"/>
      <c r="V147" s="160"/>
      <c r="W147" s="160"/>
      <c r="X147" s="160"/>
      <c r="Y147" s="160"/>
      <c r="Z147" s="160"/>
      <c r="AA147" s="165"/>
      <c r="AT147" s="166" t="s">
        <v>179</v>
      </c>
      <c r="AU147" s="166" t="s">
        <v>135</v>
      </c>
      <c r="AV147" s="11" t="s">
        <v>135</v>
      </c>
      <c r="AW147" s="11" t="s">
        <v>35</v>
      </c>
      <c r="AX147" s="11" t="s">
        <v>78</v>
      </c>
      <c r="AY147" s="166" t="s">
        <v>167</v>
      </c>
    </row>
    <row r="148" spans="2:51" s="11" customFormat="1" ht="22.5" customHeight="1">
      <c r="B148" s="159"/>
      <c r="C148" s="210"/>
      <c r="D148" s="210"/>
      <c r="E148" s="211" t="s">
        <v>5</v>
      </c>
      <c r="F148" s="321" t="s">
        <v>1297</v>
      </c>
      <c r="G148" s="322"/>
      <c r="H148" s="322"/>
      <c r="I148" s="322"/>
      <c r="J148" s="210"/>
      <c r="K148" s="212">
        <v>296.01</v>
      </c>
      <c r="L148" s="210"/>
      <c r="M148" s="210"/>
      <c r="N148" s="210"/>
      <c r="O148" s="210"/>
      <c r="P148" s="210"/>
      <c r="Q148" s="210"/>
      <c r="R148" s="213"/>
      <c r="T148" s="164"/>
      <c r="U148" s="160"/>
      <c r="V148" s="160"/>
      <c r="W148" s="160"/>
      <c r="X148" s="160"/>
      <c r="Y148" s="160"/>
      <c r="Z148" s="160"/>
      <c r="AA148" s="165"/>
      <c r="AT148" s="166" t="s">
        <v>179</v>
      </c>
      <c r="AU148" s="166" t="s">
        <v>135</v>
      </c>
      <c r="AV148" s="11" t="s">
        <v>135</v>
      </c>
      <c r="AW148" s="11" t="s">
        <v>35</v>
      </c>
      <c r="AX148" s="11" t="s">
        <v>78</v>
      </c>
      <c r="AY148" s="166" t="s">
        <v>167</v>
      </c>
    </row>
    <row r="149" spans="2:51" s="13" customFormat="1" ht="22.5" customHeight="1">
      <c r="B149" s="186"/>
      <c r="C149" s="214"/>
      <c r="D149" s="214"/>
      <c r="E149" s="215" t="s">
        <v>5</v>
      </c>
      <c r="F149" s="323" t="s">
        <v>1278</v>
      </c>
      <c r="G149" s="324"/>
      <c r="H149" s="324"/>
      <c r="I149" s="324"/>
      <c r="J149" s="214"/>
      <c r="K149" s="216">
        <v>318.34</v>
      </c>
      <c r="L149" s="214"/>
      <c r="M149" s="214"/>
      <c r="N149" s="214"/>
      <c r="O149" s="214"/>
      <c r="P149" s="214"/>
      <c r="Q149" s="214"/>
      <c r="R149" s="217"/>
      <c r="T149" s="191"/>
      <c r="U149" s="187"/>
      <c r="V149" s="187"/>
      <c r="W149" s="187"/>
      <c r="X149" s="187"/>
      <c r="Y149" s="187"/>
      <c r="Z149" s="187"/>
      <c r="AA149" s="192"/>
      <c r="AT149" s="193" t="s">
        <v>179</v>
      </c>
      <c r="AU149" s="193" t="s">
        <v>135</v>
      </c>
      <c r="AV149" s="13" t="s">
        <v>184</v>
      </c>
      <c r="AW149" s="13" t="s">
        <v>35</v>
      </c>
      <c r="AX149" s="13" t="s">
        <v>78</v>
      </c>
      <c r="AY149" s="193" t="s">
        <v>167</v>
      </c>
    </row>
    <row r="150" spans="2:51" s="10" customFormat="1" ht="22.5" customHeight="1">
      <c r="B150" s="151"/>
      <c r="C150" s="206"/>
      <c r="D150" s="206"/>
      <c r="E150" s="207" t="s">
        <v>5</v>
      </c>
      <c r="F150" s="325" t="s">
        <v>1298</v>
      </c>
      <c r="G150" s="326"/>
      <c r="H150" s="326"/>
      <c r="I150" s="326"/>
      <c r="J150" s="206"/>
      <c r="K150" s="208" t="s">
        <v>5</v>
      </c>
      <c r="L150" s="206"/>
      <c r="M150" s="206"/>
      <c r="N150" s="206"/>
      <c r="O150" s="206"/>
      <c r="P150" s="206"/>
      <c r="Q150" s="206"/>
      <c r="R150" s="209"/>
      <c r="T150" s="156"/>
      <c r="U150" s="152"/>
      <c r="V150" s="152"/>
      <c r="W150" s="152"/>
      <c r="X150" s="152"/>
      <c r="Y150" s="152"/>
      <c r="Z150" s="152"/>
      <c r="AA150" s="157"/>
      <c r="AT150" s="158" t="s">
        <v>179</v>
      </c>
      <c r="AU150" s="158" t="s">
        <v>135</v>
      </c>
      <c r="AV150" s="10" t="s">
        <v>21</v>
      </c>
      <c r="AW150" s="10" t="s">
        <v>35</v>
      </c>
      <c r="AX150" s="10" t="s">
        <v>78</v>
      </c>
      <c r="AY150" s="158" t="s">
        <v>167</v>
      </c>
    </row>
    <row r="151" spans="2:51" s="11" customFormat="1" ht="22.5" customHeight="1">
      <c r="B151" s="159"/>
      <c r="C151" s="210"/>
      <c r="D151" s="210"/>
      <c r="E151" s="211" t="s">
        <v>5</v>
      </c>
      <c r="F151" s="321" t="s">
        <v>1299</v>
      </c>
      <c r="G151" s="322"/>
      <c r="H151" s="322"/>
      <c r="I151" s="322"/>
      <c r="J151" s="210"/>
      <c r="K151" s="212">
        <v>327.36</v>
      </c>
      <c r="L151" s="210"/>
      <c r="M151" s="210"/>
      <c r="N151" s="210"/>
      <c r="O151" s="210"/>
      <c r="P151" s="210"/>
      <c r="Q151" s="210"/>
      <c r="R151" s="213"/>
      <c r="T151" s="164"/>
      <c r="U151" s="160"/>
      <c r="V151" s="160"/>
      <c r="W151" s="160"/>
      <c r="X151" s="160"/>
      <c r="Y151" s="160"/>
      <c r="Z151" s="160"/>
      <c r="AA151" s="165"/>
      <c r="AT151" s="166" t="s">
        <v>179</v>
      </c>
      <c r="AU151" s="166" t="s">
        <v>135</v>
      </c>
      <c r="AV151" s="11" t="s">
        <v>135</v>
      </c>
      <c r="AW151" s="11" t="s">
        <v>35</v>
      </c>
      <c r="AX151" s="11" t="s">
        <v>78</v>
      </c>
      <c r="AY151" s="166" t="s">
        <v>167</v>
      </c>
    </row>
    <row r="152" spans="2:51" s="11" customFormat="1" ht="22.5" customHeight="1">
      <c r="B152" s="159"/>
      <c r="C152" s="210"/>
      <c r="D152" s="210"/>
      <c r="E152" s="211" t="s">
        <v>5</v>
      </c>
      <c r="F152" s="321" t="s">
        <v>1300</v>
      </c>
      <c r="G152" s="322"/>
      <c r="H152" s="322"/>
      <c r="I152" s="322"/>
      <c r="J152" s="210"/>
      <c r="K152" s="212">
        <v>247.5</v>
      </c>
      <c r="L152" s="210"/>
      <c r="M152" s="210"/>
      <c r="N152" s="210"/>
      <c r="O152" s="210"/>
      <c r="P152" s="210"/>
      <c r="Q152" s="210"/>
      <c r="R152" s="213"/>
      <c r="T152" s="164"/>
      <c r="U152" s="160"/>
      <c r="V152" s="160"/>
      <c r="W152" s="160"/>
      <c r="X152" s="160"/>
      <c r="Y152" s="160"/>
      <c r="Z152" s="160"/>
      <c r="AA152" s="165"/>
      <c r="AT152" s="166" t="s">
        <v>179</v>
      </c>
      <c r="AU152" s="166" t="s">
        <v>135</v>
      </c>
      <c r="AV152" s="11" t="s">
        <v>135</v>
      </c>
      <c r="AW152" s="11" t="s">
        <v>35</v>
      </c>
      <c r="AX152" s="11" t="s">
        <v>78</v>
      </c>
      <c r="AY152" s="166" t="s">
        <v>167</v>
      </c>
    </row>
    <row r="153" spans="2:51" s="11" customFormat="1" ht="22.5" customHeight="1">
      <c r="B153" s="159"/>
      <c r="C153" s="210"/>
      <c r="D153" s="210"/>
      <c r="E153" s="211" t="s">
        <v>5</v>
      </c>
      <c r="F153" s="321" t="s">
        <v>1301</v>
      </c>
      <c r="G153" s="322"/>
      <c r="H153" s="322"/>
      <c r="I153" s="322"/>
      <c r="J153" s="210"/>
      <c r="K153" s="212">
        <v>103.95</v>
      </c>
      <c r="L153" s="210"/>
      <c r="M153" s="210"/>
      <c r="N153" s="210"/>
      <c r="O153" s="210"/>
      <c r="P153" s="210"/>
      <c r="Q153" s="210"/>
      <c r="R153" s="213"/>
      <c r="T153" s="164"/>
      <c r="U153" s="160"/>
      <c r="V153" s="160"/>
      <c r="W153" s="160"/>
      <c r="X153" s="160"/>
      <c r="Y153" s="160"/>
      <c r="Z153" s="160"/>
      <c r="AA153" s="165"/>
      <c r="AT153" s="166" t="s">
        <v>179</v>
      </c>
      <c r="AU153" s="166" t="s">
        <v>135</v>
      </c>
      <c r="AV153" s="11" t="s">
        <v>135</v>
      </c>
      <c r="AW153" s="11" t="s">
        <v>35</v>
      </c>
      <c r="AX153" s="11" t="s">
        <v>78</v>
      </c>
      <c r="AY153" s="166" t="s">
        <v>167</v>
      </c>
    </row>
    <row r="154" spans="2:51" s="11" customFormat="1" ht="22.5" customHeight="1">
      <c r="B154" s="159"/>
      <c r="C154" s="210"/>
      <c r="D154" s="210"/>
      <c r="E154" s="211" t="s">
        <v>5</v>
      </c>
      <c r="F154" s="321" t="s">
        <v>1302</v>
      </c>
      <c r="G154" s="322"/>
      <c r="H154" s="322"/>
      <c r="I154" s="322"/>
      <c r="J154" s="210"/>
      <c r="K154" s="212">
        <v>807.844</v>
      </c>
      <c r="L154" s="210"/>
      <c r="M154" s="210"/>
      <c r="N154" s="210"/>
      <c r="O154" s="210"/>
      <c r="P154" s="210"/>
      <c r="Q154" s="210"/>
      <c r="R154" s="213"/>
      <c r="T154" s="164"/>
      <c r="U154" s="160"/>
      <c r="V154" s="160"/>
      <c r="W154" s="160"/>
      <c r="X154" s="160"/>
      <c r="Y154" s="160"/>
      <c r="Z154" s="160"/>
      <c r="AA154" s="165"/>
      <c r="AT154" s="166" t="s">
        <v>179</v>
      </c>
      <c r="AU154" s="166" t="s">
        <v>135</v>
      </c>
      <c r="AV154" s="11" t="s">
        <v>135</v>
      </c>
      <c r="AW154" s="11" t="s">
        <v>35</v>
      </c>
      <c r="AX154" s="11" t="s">
        <v>78</v>
      </c>
      <c r="AY154" s="166" t="s">
        <v>167</v>
      </c>
    </row>
    <row r="155" spans="2:51" s="13" customFormat="1" ht="22.5" customHeight="1">
      <c r="B155" s="186"/>
      <c r="C155" s="214"/>
      <c r="D155" s="214"/>
      <c r="E155" s="215" t="s">
        <v>5</v>
      </c>
      <c r="F155" s="323" t="s">
        <v>1278</v>
      </c>
      <c r="G155" s="324"/>
      <c r="H155" s="324"/>
      <c r="I155" s="324"/>
      <c r="J155" s="214"/>
      <c r="K155" s="216">
        <v>1486.654</v>
      </c>
      <c r="L155" s="214"/>
      <c r="M155" s="214"/>
      <c r="N155" s="214"/>
      <c r="O155" s="214"/>
      <c r="P155" s="214"/>
      <c r="Q155" s="214"/>
      <c r="R155" s="217"/>
      <c r="T155" s="191"/>
      <c r="U155" s="187"/>
      <c r="V155" s="187"/>
      <c r="W155" s="187"/>
      <c r="X155" s="187"/>
      <c r="Y155" s="187"/>
      <c r="Z155" s="187"/>
      <c r="AA155" s="192"/>
      <c r="AT155" s="193" t="s">
        <v>179</v>
      </c>
      <c r="AU155" s="193" t="s">
        <v>135</v>
      </c>
      <c r="AV155" s="13" t="s">
        <v>184</v>
      </c>
      <c r="AW155" s="13" t="s">
        <v>35</v>
      </c>
      <c r="AX155" s="13" t="s">
        <v>78</v>
      </c>
      <c r="AY155" s="193" t="s">
        <v>167</v>
      </c>
    </row>
    <row r="156" spans="2:51" s="10" customFormat="1" ht="22.5" customHeight="1">
      <c r="B156" s="151"/>
      <c r="C156" s="206"/>
      <c r="D156" s="206"/>
      <c r="E156" s="207" t="s">
        <v>5</v>
      </c>
      <c r="F156" s="325" t="s">
        <v>1303</v>
      </c>
      <c r="G156" s="326"/>
      <c r="H156" s="326"/>
      <c r="I156" s="326"/>
      <c r="J156" s="206"/>
      <c r="K156" s="208" t="s">
        <v>5</v>
      </c>
      <c r="L156" s="206"/>
      <c r="M156" s="206"/>
      <c r="N156" s="206"/>
      <c r="O156" s="206"/>
      <c r="P156" s="206"/>
      <c r="Q156" s="206"/>
      <c r="R156" s="209"/>
      <c r="T156" s="156"/>
      <c r="U156" s="152"/>
      <c r="V156" s="152"/>
      <c r="W156" s="152"/>
      <c r="X156" s="152"/>
      <c r="Y156" s="152"/>
      <c r="Z156" s="152"/>
      <c r="AA156" s="157"/>
      <c r="AT156" s="158" t="s">
        <v>179</v>
      </c>
      <c r="AU156" s="158" t="s">
        <v>135</v>
      </c>
      <c r="AV156" s="10" t="s">
        <v>21</v>
      </c>
      <c r="AW156" s="10" t="s">
        <v>35</v>
      </c>
      <c r="AX156" s="10" t="s">
        <v>78</v>
      </c>
      <c r="AY156" s="158" t="s">
        <v>167</v>
      </c>
    </row>
    <row r="157" spans="2:51" s="11" customFormat="1" ht="22.5" customHeight="1">
      <c r="B157" s="159"/>
      <c r="C157" s="210"/>
      <c r="D157" s="210"/>
      <c r="E157" s="211" t="s">
        <v>5</v>
      </c>
      <c r="F157" s="321" t="s">
        <v>1304</v>
      </c>
      <c r="G157" s="322"/>
      <c r="H157" s="322"/>
      <c r="I157" s="322"/>
      <c r="J157" s="210"/>
      <c r="K157" s="212">
        <v>633.6</v>
      </c>
      <c r="L157" s="210"/>
      <c r="M157" s="210"/>
      <c r="N157" s="210"/>
      <c r="O157" s="210"/>
      <c r="P157" s="210"/>
      <c r="Q157" s="210"/>
      <c r="R157" s="213"/>
      <c r="T157" s="164"/>
      <c r="U157" s="160"/>
      <c r="V157" s="160"/>
      <c r="W157" s="160"/>
      <c r="X157" s="160"/>
      <c r="Y157" s="160"/>
      <c r="Z157" s="160"/>
      <c r="AA157" s="165"/>
      <c r="AT157" s="166" t="s">
        <v>179</v>
      </c>
      <c r="AU157" s="166" t="s">
        <v>135</v>
      </c>
      <c r="AV157" s="11" t="s">
        <v>135</v>
      </c>
      <c r="AW157" s="11" t="s">
        <v>35</v>
      </c>
      <c r="AX157" s="11" t="s">
        <v>78</v>
      </c>
      <c r="AY157" s="166" t="s">
        <v>167</v>
      </c>
    </row>
    <row r="158" spans="2:51" s="11" customFormat="1" ht="22.5" customHeight="1">
      <c r="B158" s="159"/>
      <c r="C158" s="210"/>
      <c r="D158" s="210"/>
      <c r="E158" s="211" t="s">
        <v>5</v>
      </c>
      <c r="F158" s="321" t="s">
        <v>1305</v>
      </c>
      <c r="G158" s="322"/>
      <c r="H158" s="322"/>
      <c r="I158" s="322"/>
      <c r="J158" s="210"/>
      <c r="K158" s="212">
        <v>554.4</v>
      </c>
      <c r="L158" s="210"/>
      <c r="M158" s="210"/>
      <c r="N158" s="210"/>
      <c r="O158" s="210"/>
      <c r="P158" s="210"/>
      <c r="Q158" s="210"/>
      <c r="R158" s="213"/>
      <c r="T158" s="164"/>
      <c r="U158" s="160"/>
      <c r="V158" s="160"/>
      <c r="W158" s="160"/>
      <c r="X158" s="160"/>
      <c r="Y158" s="160"/>
      <c r="Z158" s="160"/>
      <c r="AA158" s="165"/>
      <c r="AT158" s="166" t="s">
        <v>179</v>
      </c>
      <c r="AU158" s="166" t="s">
        <v>135</v>
      </c>
      <c r="AV158" s="11" t="s">
        <v>135</v>
      </c>
      <c r="AW158" s="11" t="s">
        <v>35</v>
      </c>
      <c r="AX158" s="11" t="s">
        <v>78</v>
      </c>
      <c r="AY158" s="166" t="s">
        <v>167</v>
      </c>
    </row>
    <row r="159" spans="2:51" s="11" customFormat="1" ht="22.5" customHeight="1">
      <c r="B159" s="159"/>
      <c r="C159" s="210"/>
      <c r="D159" s="210"/>
      <c r="E159" s="211" t="s">
        <v>5</v>
      </c>
      <c r="F159" s="321">
        <v>0</v>
      </c>
      <c r="G159" s="322"/>
      <c r="H159" s="322"/>
      <c r="I159" s="322"/>
      <c r="J159" s="210"/>
      <c r="K159" s="212">
        <v>0</v>
      </c>
      <c r="L159" s="210"/>
      <c r="M159" s="210"/>
      <c r="N159" s="210"/>
      <c r="O159" s="210"/>
      <c r="P159" s="210"/>
      <c r="Q159" s="210"/>
      <c r="R159" s="213"/>
      <c r="T159" s="164"/>
      <c r="U159" s="160"/>
      <c r="V159" s="160"/>
      <c r="W159" s="160"/>
      <c r="X159" s="160"/>
      <c r="Y159" s="160"/>
      <c r="Z159" s="160"/>
      <c r="AA159" s="165"/>
      <c r="AT159" s="166" t="s">
        <v>179</v>
      </c>
      <c r="AU159" s="166" t="s">
        <v>135</v>
      </c>
      <c r="AV159" s="11" t="s">
        <v>135</v>
      </c>
      <c r="AW159" s="11" t="s">
        <v>35</v>
      </c>
      <c r="AX159" s="11" t="s">
        <v>78</v>
      </c>
      <c r="AY159" s="166" t="s">
        <v>167</v>
      </c>
    </row>
    <row r="160" spans="2:51" s="11" customFormat="1" ht="22.5" customHeight="1">
      <c r="B160" s="159"/>
      <c r="C160" s="210"/>
      <c r="D160" s="210"/>
      <c r="E160" s="211" t="s">
        <v>5</v>
      </c>
      <c r="F160" s="321">
        <v>0</v>
      </c>
      <c r="G160" s="322"/>
      <c r="H160" s="322"/>
      <c r="I160" s="322"/>
      <c r="J160" s="210"/>
      <c r="K160" s="212">
        <v>0</v>
      </c>
      <c r="L160" s="210"/>
      <c r="M160" s="210"/>
      <c r="N160" s="210"/>
      <c r="O160" s="210"/>
      <c r="P160" s="210"/>
      <c r="Q160" s="210"/>
      <c r="R160" s="213"/>
      <c r="T160" s="164"/>
      <c r="U160" s="160"/>
      <c r="V160" s="160"/>
      <c r="W160" s="160"/>
      <c r="X160" s="160"/>
      <c r="Y160" s="160"/>
      <c r="Z160" s="160"/>
      <c r="AA160" s="165"/>
      <c r="AT160" s="166" t="s">
        <v>179</v>
      </c>
      <c r="AU160" s="166" t="s">
        <v>135</v>
      </c>
      <c r="AV160" s="11" t="s">
        <v>135</v>
      </c>
      <c r="AW160" s="11" t="s">
        <v>35</v>
      </c>
      <c r="AX160" s="11" t="s">
        <v>78</v>
      </c>
      <c r="AY160" s="166" t="s">
        <v>167</v>
      </c>
    </row>
    <row r="161" spans="2:51" s="13" customFormat="1" ht="22.5" customHeight="1">
      <c r="B161" s="186"/>
      <c r="C161" s="214"/>
      <c r="D161" s="214"/>
      <c r="E161" s="215" t="s">
        <v>5</v>
      </c>
      <c r="F161" s="323" t="s">
        <v>1278</v>
      </c>
      <c r="G161" s="324"/>
      <c r="H161" s="324"/>
      <c r="I161" s="324"/>
      <c r="J161" s="214"/>
      <c r="K161" s="216">
        <f>SUM(K157:K160)</f>
        <v>1188</v>
      </c>
      <c r="L161" s="214"/>
      <c r="M161" s="214"/>
      <c r="N161" s="214"/>
      <c r="O161" s="214"/>
      <c r="P161" s="214"/>
      <c r="Q161" s="214"/>
      <c r="R161" s="217"/>
      <c r="T161" s="191"/>
      <c r="U161" s="187"/>
      <c r="V161" s="187"/>
      <c r="W161" s="187"/>
      <c r="X161" s="187"/>
      <c r="Y161" s="187"/>
      <c r="Z161" s="187"/>
      <c r="AA161" s="192"/>
      <c r="AT161" s="193" t="s">
        <v>179</v>
      </c>
      <c r="AU161" s="193" t="s">
        <v>135</v>
      </c>
      <c r="AV161" s="13" t="s">
        <v>184</v>
      </c>
      <c r="AW161" s="13" t="s">
        <v>35</v>
      </c>
      <c r="AX161" s="13" t="s">
        <v>78</v>
      </c>
      <c r="AY161" s="193" t="s">
        <v>167</v>
      </c>
    </row>
    <row r="162" spans="2:51" s="10" customFormat="1" ht="22.5" customHeight="1">
      <c r="B162" s="151"/>
      <c r="C162" s="206"/>
      <c r="D162" s="206"/>
      <c r="E162" s="207" t="s">
        <v>5</v>
      </c>
      <c r="F162" s="325" t="s">
        <v>1306</v>
      </c>
      <c r="G162" s="326"/>
      <c r="H162" s="326"/>
      <c r="I162" s="326"/>
      <c r="J162" s="206"/>
      <c r="K162" s="208" t="s">
        <v>5</v>
      </c>
      <c r="L162" s="206"/>
      <c r="M162" s="206"/>
      <c r="N162" s="206"/>
      <c r="O162" s="206"/>
      <c r="P162" s="206"/>
      <c r="Q162" s="206"/>
      <c r="R162" s="209"/>
      <c r="T162" s="156"/>
      <c r="U162" s="152"/>
      <c r="V162" s="152"/>
      <c r="W162" s="152"/>
      <c r="X162" s="152"/>
      <c r="Y162" s="152"/>
      <c r="Z162" s="152"/>
      <c r="AA162" s="157"/>
      <c r="AT162" s="158" t="s">
        <v>179</v>
      </c>
      <c r="AU162" s="158" t="s">
        <v>135</v>
      </c>
      <c r="AV162" s="10" t="s">
        <v>21</v>
      </c>
      <c r="AW162" s="10" t="s">
        <v>35</v>
      </c>
      <c r="AX162" s="10" t="s">
        <v>78</v>
      </c>
      <c r="AY162" s="158" t="s">
        <v>167</v>
      </c>
    </row>
    <row r="163" spans="2:51" s="11" customFormat="1" ht="22.5" customHeight="1">
      <c r="B163" s="159"/>
      <c r="C163" s="210"/>
      <c r="D163" s="210"/>
      <c r="E163" s="211" t="s">
        <v>5</v>
      </c>
      <c r="F163" s="321" t="s">
        <v>1307</v>
      </c>
      <c r="G163" s="322"/>
      <c r="H163" s="322"/>
      <c r="I163" s="322"/>
      <c r="J163" s="210"/>
      <c r="K163" s="212">
        <v>589.16</v>
      </c>
      <c r="L163" s="210"/>
      <c r="M163" s="210"/>
      <c r="N163" s="210"/>
      <c r="O163" s="210"/>
      <c r="P163" s="210"/>
      <c r="Q163" s="210"/>
      <c r="R163" s="213"/>
      <c r="T163" s="164"/>
      <c r="U163" s="160"/>
      <c r="V163" s="160"/>
      <c r="W163" s="160"/>
      <c r="X163" s="160"/>
      <c r="Y163" s="160"/>
      <c r="Z163" s="160"/>
      <c r="AA163" s="165"/>
      <c r="AT163" s="166" t="s">
        <v>179</v>
      </c>
      <c r="AU163" s="166" t="s">
        <v>135</v>
      </c>
      <c r="AV163" s="11" t="s">
        <v>135</v>
      </c>
      <c r="AW163" s="11" t="s">
        <v>35</v>
      </c>
      <c r="AX163" s="11" t="s">
        <v>78</v>
      </c>
      <c r="AY163" s="166" t="s">
        <v>167</v>
      </c>
    </row>
    <row r="164" spans="2:51" s="13" customFormat="1" ht="22.5" customHeight="1">
      <c r="B164" s="186"/>
      <c r="C164" s="214"/>
      <c r="D164" s="214"/>
      <c r="E164" s="215" t="s">
        <v>5</v>
      </c>
      <c r="F164" s="323" t="s">
        <v>1278</v>
      </c>
      <c r="G164" s="324"/>
      <c r="H164" s="324"/>
      <c r="I164" s="324"/>
      <c r="J164" s="214"/>
      <c r="K164" s="216">
        <v>589.16</v>
      </c>
      <c r="L164" s="214"/>
      <c r="M164" s="214"/>
      <c r="N164" s="214"/>
      <c r="O164" s="214"/>
      <c r="P164" s="214"/>
      <c r="Q164" s="214"/>
      <c r="R164" s="217"/>
      <c r="T164" s="191"/>
      <c r="U164" s="187"/>
      <c r="V164" s="187"/>
      <c r="W164" s="187"/>
      <c r="X164" s="187"/>
      <c r="Y164" s="187"/>
      <c r="Z164" s="187"/>
      <c r="AA164" s="192"/>
      <c r="AT164" s="193" t="s">
        <v>179</v>
      </c>
      <c r="AU164" s="193" t="s">
        <v>135</v>
      </c>
      <c r="AV164" s="13" t="s">
        <v>184</v>
      </c>
      <c r="AW164" s="13" t="s">
        <v>35</v>
      </c>
      <c r="AX164" s="13" t="s">
        <v>78</v>
      </c>
      <c r="AY164" s="193" t="s">
        <v>167</v>
      </c>
    </row>
    <row r="165" spans="2:51" s="10" customFormat="1" ht="22.5" customHeight="1">
      <c r="B165" s="151"/>
      <c r="C165" s="206"/>
      <c r="D165" s="206"/>
      <c r="E165" s="207" t="s">
        <v>5</v>
      </c>
      <c r="F165" s="325" t="s">
        <v>1308</v>
      </c>
      <c r="G165" s="326"/>
      <c r="H165" s="326"/>
      <c r="I165" s="326"/>
      <c r="J165" s="206"/>
      <c r="K165" s="208" t="s">
        <v>5</v>
      </c>
      <c r="L165" s="206"/>
      <c r="M165" s="206"/>
      <c r="N165" s="206"/>
      <c r="O165" s="206"/>
      <c r="P165" s="206"/>
      <c r="Q165" s="206"/>
      <c r="R165" s="209"/>
      <c r="T165" s="156"/>
      <c r="U165" s="152"/>
      <c r="V165" s="152"/>
      <c r="W165" s="152"/>
      <c r="X165" s="152"/>
      <c r="Y165" s="152"/>
      <c r="Z165" s="152"/>
      <c r="AA165" s="157"/>
      <c r="AT165" s="158" t="s">
        <v>179</v>
      </c>
      <c r="AU165" s="158" t="s">
        <v>135</v>
      </c>
      <c r="AV165" s="10" t="s">
        <v>21</v>
      </c>
      <c r="AW165" s="10" t="s">
        <v>35</v>
      </c>
      <c r="AX165" s="10" t="s">
        <v>78</v>
      </c>
      <c r="AY165" s="158" t="s">
        <v>167</v>
      </c>
    </row>
    <row r="166" spans="2:51" s="11" customFormat="1" ht="22.5" customHeight="1">
      <c r="B166" s="159"/>
      <c r="C166" s="210"/>
      <c r="D166" s="210"/>
      <c r="E166" s="211" t="s">
        <v>5</v>
      </c>
      <c r="F166" s="321" t="s">
        <v>1309</v>
      </c>
      <c r="G166" s="322"/>
      <c r="H166" s="322"/>
      <c r="I166" s="322"/>
      <c r="J166" s="210"/>
      <c r="K166" s="212">
        <v>48.62</v>
      </c>
      <c r="L166" s="210"/>
      <c r="M166" s="210"/>
      <c r="N166" s="210"/>
      <c r="O166" s="210"/>
      <c r="P166" s="210"/>
      <c r="Q166" s="210"/>
      <c r="R166" s="213"/>
      <c r="T166" s="164"/>
      <c r="U166" s="160"/>
      <c r="V166" s="160"/>
      <c r="W166" s="160"/>
      <c r="X166" s="160"/>
      <c r="Y166" s="160"/>
      <c r="Z166" s="160"/>
      <c r="AA166" s="165"/>
      <c r="AT166" s="166" t="s">
        <v>179</v>
      </c>
      <c r="AU166" s="166" t="s">
        <v>135</v>
      </c>
      <c r="AV166" s="11" t="s">
        <v>135</v>
      </c>
      <c r="AW166" s="11" t="s">
        <v>35</v>
      </c>
      <c r="AX166" s="11" t="s">
        <v>78</v>
      </c>
      <c r="AY166" s="166" t="s">
        <v>167</v>
      </c>
    </row>
    <row r="167" spans="2:51" s="11" customFormat="1" ht="22.5" customHeight="1">
      <c r="B167" s="159"/>
      <c r="C167" s="210"/>
      <c r="D167" s="210"/>
      <c r="E167" s="211" t="s">
        <v>5</v>
      </c>
      <c r="F167" s="321" t="s">
        <v>1310</v>
      </c>
      <c r="G167" s="322"/>
      <c r="H167" s="322"/>
      <c r="I167" s="322"/>
      <c r="J167" s="210"/>
      <c r="K167" s="212">
        <v>138.6</v>
      </c>
      <c r="L167" s="210"/>
      <c r="M167" s="210"/>
      <c r="N167" s="210"/>
      <c r="O167" s="210"/>
      <c r="P167" s="210"/>
      <c r="Q167" s="210"/>
      <c r="R167" s="213"/>
      <c r="T167" s="164"/>
      <c r="U167" s="160"/>
      <c r="V167" s="160"/>
      <c r="W167" s="160"/>
      <c r="X167" s="160"/>
      <c r="Y167" s="160"/>
      <c r="Z167" s="160"/>
      <c r="AA167" s="165"/>
      <c r="AT167" s="166" t="s">
        <v>179</v>
      </c>
      <c r="AU167" s="166" t="s">
        <v>135</v>
      </c>
      <c r="AV167" s="11" t="s">
        <v>135</v>
      </c>
      <c r="AW167" s="11" t="s">
        <v>35</v>
      </c>
      <c r="AX167" s="11" t="s">
        <v>78</v>
      </c>
      <c r="AY167" s="166" t="s">
        <v>167</v>
      </c>
    </row>
    <row r="168" spans="2:51" s="11" customFormat="1" ht="22.5" customHeight="1">
      <c r="B168" s="159"/>
      <c r="C168" s="210"/>
      <c r="D168" s="210"/>
      <c r="E168" s="211" t="s">
        <v>5</v>
      </c>
      <c r="F168" s="321" t="s">
        <v>1311</v>
      </c>
      <c r="G168" s="322"/>
      <c r="H168" s="322"/>
      <c r="I168" s="322"/>
      <c r="J168" s="210"/>
      <c r="K168" s="212">
        <v>217.8</v>
      </c>
      <c r="L168" s="210"/>
      <c r="M168" s="210"/>
      <c r="N168" s="210"/>
      <c r="O168" s="210"/>
      <c r="P168" s="210"/>
      <c r="Q168" s="210"/>
      <c r="R168" s="213"/>
      <c r="T168" s="164"/>
      <c r="U168" s="160"/>
      <c r="V168" s="160"/>
      <c r="W168" s="160"/>
      <c r="X168" s="160"/>
      <c r="Y168" s="160"/>
      <c r="Z168" s="160"/>
      <c r="AA168" s="165"/>
      <c r="AT168" s="166" t="s">
        <v>179</v>
      </c>
      <c r="AU168" s="166" t="s">
        <v>135</v>
      </c>
      <c r="AV168" s="11" t="s">
        <v>135</v>
      </c>
      <c r="AW168" s="11" t="s">
        <v>35</v>
      </c>
      <c r="AX168" s="11" t="s">
        <v>78</v>
      </c>
      <c r="AY168" s="166" t="s">
        <v>167</v>
      </c>
    </row>
    <row r="169" spans="2:51" s="11" customFormat="1" ht="22.5" customHeight="1">
      <c r="B169" s="159"/>
      <c r="C169" s="210"/>
      <c r="D169" s="210"/>
      <c r="E169" s="211" t="s">
        <v>5</v>
      </c>
      <c r="F169" s="321" t="s">
        <v>1312</v>
      </c>
      <c r="G169" s="322"/>
      <c r="H169" s="322"/>
      <c r="I169" s="322"/>
      <c r="J169" s="210"/>
      <c r="K169" s="212">
        <v>763.4</v>
      </c>
      <c r="L169" s="210"/>
      <c r="M169" s="210"/>
      <c r="N169" s="210"/>
      <c r="O169" s="210"/>
      <c r="P169" s="210"/>
      <c r="Q169" s="210"/>
      <c r="R169" s="213"/>
      <c r="T169" s="164"/>
      <c r="U169" s="160"/>
      <c r="V169" s="160"/>
      <c r="W169" s="160"/>
      <c r="X169" s="160"/>
      <c r="Y169" s="160"/>
      <c r="Z169" s="160"/>
      <c r="AA169" s="165"/>
      <c r="AT169" s="166" t="s">
        <v>179</v>
      </c>
      <c r="AU169" s="166" t="s">
        <v>135</v>
      </c>
      <c r="AV169" s="11" t="s">
        <v>135</v>
      </c>
      <c r="AW169" s="11" t="s">
        <v>35</v>
      </c>
      <c r="AX169" s="11" t="s">
        <v>78</v>
      </c>
      <c r="AY169" s="166" t="s">
        <v>167</v>
      </c>
    </row>
    <row r="170" spans="2:51" s="13" customFormat="1" ht="22.5" customHeight="1">
      <c r="B170" s="186"/>
      <c r="C170" s="214"/>
      <c r="D170" s="214"/>
      <c r="E170" s="215" t="s">
        <v>5</v>
      </c>
      <c r="F170" s="323" t="s">
        <v>1278</v>
      </c>
      <c r="G170" s="324"/>
      <c r="H170" s="324"/>
      <c r="I170" s="324"/>
      <c r="J170" s="214"/>
      <c r="K170" s="216">
        <v>1168.42</v>
      </c>
      <c r="L170" s="214"/>
      <c r="M170" s="214"/>
      <c r="N170" s="214"/>
      <c r="O170" s="214"/>
      <c r="P170" s="214"/>
      <c r="Q170" s="214"/>
      <c r="R170" s="217"/>
      <c r="T170" s="191"/>
      <c r="U170" s="187"/>
      <c r="V170" s="187"/>
      <c r="W170" s="187"/>
      <c r="X170" s="187"/>
      <c r="Y170" s="187"/>
      <c r="Z170" s="187"/>
      <c r="AA170" s="192"/>
      <c r="AT170" s="193" t="s">
        <v>179</v>
      </c>
      <c r="AU170" s="193" t="s">
        <v>135</v>
      </c>
      <c r="AV170" s="13" t="s">
        <v>184</v>
      </c>
      <c r="AW170" s="13" t="s">
        <v>35</v>
      </c>
      <c r="AX170" s="13" t="s">
        <v>78</v>
      </c>
      <c r="AY170" s="193" t="s">
        <v>167</v>
      </c>
    </row>
    <row r="171" spans="2:51" s="10" customFormat="1" ht="22.5" customHeight="1">
      <c r="B171" s="151"/>
      <c r="C171" s="206"/>
      <c r="D171" s="206"/>
      <c r="E171" s="207" t="s">
        <v>5</v>
      </c>
      <c r="F171" s="325" t="s">
        <v>1313</v>
      </c>
      <c r="G171" s="326"/>
      <c r="H171" s="326"/>
      <c r="I171" s="326"/>
      <c r="J171" s="206"/>
      <c r="K171" s="208" t="s">
        <v>5</v>
      </c>
      <c r="L171" s="206"/>
      <c r="M171" s="206"/>
      <c r="N171" s="206"/>
      <c r="O171" s="206"/>
      <c r="P171" s="206"/>
      <c r="Q171" s="206"/>
      <c r="R171" s="209"/>
      <c r="T171" s="156"/>
      <c r="U171" s="152"/>
      <c r="V171" s="152"/>
      <c r="W171" s="152"/>
      <c r="X171" s="152"/>
      <c r="Y171" s="152"/>
      <c r="Z171" s="152"/>
      <c r="AA171" s="157"/>
      <c r="AT171" s="158" t="s">
        <v>179</v>
      </c>
      <c r="AU171" s="158" t="s">
        <v>135</v>
      </c>
      <c r="AV171" s="10" t="s">
        <v>21</v>
      </c>
      <c r="AW171" s="10" t="s">
        <v>35</v>
      </c>
      <c r="AX171" s="10" t="s">
        <v>78</v>
      </c>
      <c r="AY171" s="158" t="s">
        <v>167</v>
      </c>
    </row>
    <row r="172" spans="2:51" s="11" customFormat="1" ht="22.5" customHeight="1">
      <c r="B172" s="159"/>
      <c r="C172" s="210"/>
      <c r="D172" s="210"/>
      <c r="E172" s="211" t="s">
        <v>5</v>
      </c>
      <c r="F172" s="321" t="s">
        <v>1314</v>
      </c>
      <c r="G172" s="322"/>
      <c r="H172" s="322"/>
      <c r="I172" s="322"/>
      <c r="J172" s="210"/>
      <c r="K172" s="212">
        <v>205.92</v>
      </c>
      <c r="L172" s="210"/>
      <c r="M172" s="210"/>
      <c r="N172" s="210"/>
      <c r="O172" s="210"/>
      <c r="P172" s="210"/>
      <c r="Q172" s="210"/>
      <c r="R172" s="213"/>
      <c r="T172" s="164"/>
      <c r="U172" s="160"/>
      <c r="V172" s="160"/>
      <c r="W172" s="160"/>
      <c r="X172" s="160"/>
      <c r="Y172" s="160"/>
      <c r="Z172" s="160"/>
      <c r="AA172" s="165"/>
      <c r="AT172" s="166" t="s">
        <v>179</v>
      </c>
      <c r="AU172" s="166" t="s">
        <v>135</v>
      </c>
      <c r="AV172" s="11" t="s">
        <v>135</v>
      </c>
      <c r="AW172" s="11" t="s">
        <v>35</v>
      </c>
      <c r="AX172" s="11" t="s">
        <v>78</v>
      </c>
      <c r="AY172" s="166" t="s">
        <v>167</v>
      </c>
    </row>
    <row r="173" spans="2:51" s="13" customFormat="1" ht="22.5" customHeight="1">
      <c r="B173" s="186"/>
      <c r="C173" s="214"/>
      <c r="D173" s="214"/>
      <c r="E173" s="215" t="s">
        <v>5</v>
      </c>
      <c r="F173" s="323" t="s">
        <v>1278</v>
      </c>
      <c r="G173" s="324"/>
      <c r="H173" s="324"/>
      <c r="I173" s="324"/>
      <c r="J173" s="214"/>
      <c r="K173" s="216">
        <v>205.92</v>
      </c>
      <c r="L173" s="214"/>
      <c r="M173" s="214"/>
      <c r="N173" s="214"/>
      <c r="O173" s="214"/>
      <c r="P173" s="214"/>
      <c r="Q173" s="214"/>
      <c r="R173" s="217"/>
      <c r="T173" s="191"/>
      <c r="U173" s="187"/>
      <c r="V173" s="187"/>
      <c r="W173" s="187"/>
      <c r="X173" s="187"/>
      <c r="Y173" s="187"/>
      <c r="Z173" s="187"/>
      <c r="AA173" s="192"/>
      <c r="AT173" s="193" t="s">
        <v>179</v>
      </c>
      <c r="AU173" s="193" t="s">
        <v>135</v>
      </c>
      <c r="AV173" s="13" t="s">
        <v>184</v>
      </c>
      <c r="AW173" s="13" t="s">
        <v>35</v>
      </c>
      <c r="AX173" s="13" t="s">
        <v>78</v>
      </c>
      <c r="AY173" s="193" t="s">
        <v>167</v>
      </c>
    </row>
    <row r="174" spans="2:51" s="10" customFormat="1" ht="22.5" customHeight="1">
      <c r="B174" s="151"/>
      <c r="C174" s="206"/>
      <c r="D174" s="206"/>
      <c r="E174" s="207" t="s">
        <v>5</v>
      </c>
      <c r="F174" s="325" t="s">
        <v>1315</v>
      </c>
      <c r="G174" s="326"/>
      <c r="H174" s="326"/>
      <c r="I174" s="326"/>
      <c r="J174" s="206"/>
      <c r="K174" s="208" t="s">
        <v>5</v>
      </c>
      <c r="L174" s="206"/>
      <c r="M174" s="206"/>
      <c r="N174" s="206"/>
      <c r="O174" s="206"/>
      <c r="P174" s="206"/>
      <c r="Q174" s="206"/>
      <c r="R174" s="209"/>
      <c r="T174" s="156"/>
      <c r="U174" s="152"/>
      <c r="V174" s="152"/>
      <c r="W174" s="152"/>
      <c r="X174" s="152"/>
      <c r="Y174" s="152"/>
      <c r="Z174" s="152"/>
      <c r="AA174" s="157"/>
      <c r="AT174" s="158" t="s">
        <v>179</v>
      </c>
      <c r="AU174" s="158" t="s">
        <v>135</v>
      </c>
      <c r="AV174" s="10" t="s">
        <v>21</v>
      </c>
      <c r="AW174" s="10" t="s">
        <v>35</v>
      </c>
      <c r="AX174" s="10" t="s">
        <v>78</v>
      </c>
      <c r="AY174" s="158" t="s">
        <v>167</v>
      </c>
    </row>
    <row r="175" spans="2:51" s="11" customFormat="1" ht="22.5" customHeight="1">
      <c r="B175" s="159"/>
      <c r="C175" s="210"/>
      <c r="D175" s="210"/>
      <c r="E175" s="211" t="s">
        <v>5</v>
      </c>
      <c r="F175" s="321" t="s">
        <v>1316</v>
      </c>
      <c r="G175" s="322"/>
      <c r="H175" s="322"/>
      <c r="I175" s="322"/>
      <c r="J175" s="210"/>
      <c r="K175" s="212">
        <v>155.155</v>
      </c>
      <c r="L175" s="210"/>
      <c r="M175" s="210"/>
      <c r="N175" s="210"/>
      <c r="O175" s="210"/>
      <c r="P175" s="210"/>
      <c r="Q175" s="210"/>
      <c r="R175" s="213"/>
      <c r="T175" s="164"/>
      <c r="U175" s="160"/>
      <c r="V175" s="160"/>
      <c r="W175" s="160"/>
      <c r="X175" s="160"/>
      <c r="Y175" s="160"/>
      <c r="Z175" s="160"/>
      <c r="AA175" s="165"/>
      <c r="AT175" s="166" t="s">
        <v>179</v>
      </c>
      <c r="AU175" s="166" t="s">
        <v>135</v>
      </c>
      <c r="AV175" s="11" t="s">
        <v>135</v>
      </c>
      <c r="AW175" s="11" t="s">
        <v>35</v>
      </c>
      <c r="AX175" s="11" t="s">
        <v>78</v>
      </c>
      <c r="AY175" s="166" t="s">
        <v>167</v>
      </c>
    </row>
    <row r="176" spans="2:51" s="11" customFormat="1" ht="22.5" customHeight="1">
      <c r="B176" s="159"/>
      <c r="C176" s="210"/>
      <c r="D176" s="210"/>
      <c r="E176" s="211" t="s">
        <v>5</v>
      </c>
      <c r="F176" s="321" t="s">
        <v>1317</v>
      </c>
      <c r="G176" s="322"/>
      <c r="H176" s="322"/>
      <c r="I176" s="322"/>
      <c r="J176" s="210"/>
      <c r="K176" s="212">
        <v>185.185</v>
      </c>
      <c r="L176" s="210"/>
      <c r="M176" s="210"/>
      <c r="N176" s="210"/>
      <c r="O176" s="210"/>
      <c r="P176" s="210"/>
      <c r="Q176" s="210"/>
      <c r="R176" s="213"/>
      <c r="T176" s="164"/>
      <c r="U176" s="160"/>
      <c r="V176" s="160"/>
      <c r="W176" s="160"/>
      <c r="X176" s="160"/>
      <c r="Y176" s="160"/>
      <c r="Z176" s="160"/>
      <c r="AA176" s="165"/>
      <c r="AT176" s="166" t="s">
        <v>179</v>
      </c>
      <c r="AU176" s="166" t="s">
        <v>135</v>
      </c>
      <c r="AV176" s="11" t="s">
        <v>135</v>
      </c>
      <c r="AW176" s="11" t="s">
        <v>35</v>
      </c>
      <c r="AX176" s="11" t="s">
        <v>78</v>
      </c>
      <c r="AY176" s="166" t="s">
        <v>167</v>
      </c>
    </row>
    <row r="177" spans="2:51" s="11" customFormat="1" ht="22.5" customHeight="1">
      <c r="B177" s="159"/>
      <c r="C177" s="210"/>
      <c r="D177" s="210"/>
      <c r="E177" s="211" t="s">
        <v>5</v>
      </c>
      <c r="F177" s="321" t="s">
        <v>1318</v>
      </c>
      <c r="G177" s="322"/>
      <c r="H177" s="322"/>
      <c r="I177" s="322"/>
      <c r="J177" s="210"/>
      <c r="K177" s="212">
        <v>125.4</v>
      </c>
      <c r="L177" s="210"/>
      <c r="M177" s="210"/>
      <c r="N177" s="210"/>
      <c r="O177" s="210"/>
      <c r="P177" s="210"/>
      <c r="Q177" s="210"/>
      <c r="R177" s="213"/>
      <c r="T177" s="164"/>
      <c r="U177" s="160"/>
      <c r="V177" s="160"/>
      <c r="W177" s="160"/>
      <c r="X177" s="160"/>
      <c r="Y177" s="160"/>
      <c r="Z177" s="160"/>
      <c r="AA177" s="165"/>
      <c r="AT177" s="166" t="s">
        <v>179</v>
      </c>
      <c r="AU177" s="166" t="s">
        <v>135</v>
      </c>
      <c r="AV177" s="11" t="s">
        <v>135</v>
      </c>
      <c r="AW177" s="11" t="s">
        <v>35</v>
      </c>
      <c r="AX177" s="11" t="s">
        <v>78</v>
      </c>
      <c r="AY177" s="166" t="s">
        <v>167</v>
      </c>
    </row>
    <row r="178" spans="2:51" s="11" customFormat="1" ht="22.5" customHeight="1">
      <c r="B178" s="159"/>
      <c r="C178" s="210"/>
      <c r="D178" s="210"/>
      <c r="E178" s="211" t="s">
        <v>5</v>
      </c>
      <c r="F178" s="321" t="s">
        <v>1319</v>
      </c>
      <c r="G178" s="322"/>
      <c r="H178" s="322"/>
      <c r="I178" s="322"/>
      <c r="J178" s="210"/>
      <c r="K178" s="212">
        <v>96.14</v>
      </c>
      <c r="L178" s="210"/>
      <c r="M178" s="210"/>
      <c r="N178" s="210"/>
      <c r="O178" s="210"/>
      <c r="P178" s="210"/>
      <c r="Q178" s="210"/>
      <c r="R178" s="213"/>
      <c r="T178" s="164"/>
      <c r="U178" s="160"/>
      <c r="V178" s="160"/>
      <c r="W178" s="160"/>
      <c r="X178" s="160"/>
      <c r="Y178" s="160"/>
      <c r="Z178" s="160"/>
      <c r="AA178" s="165"/>
      <c r="AT178" s="166" t="s">
        <v>179</v>
      </c>
      <c r="AU178" s="166" t="s">
        <v>135</v>
      </c>
      <c r="AV178" s="11" t="s">
        <v>135</v>
      </c>
      <c r="AW178" s="11" t="s">
        <v>35</v>
      </c>
      <c r="AX178" s="11" t="s">
        <v>78</v>
      </c>
      <c r="AY178" s="166" t="s">
        <v>167</v>
      </c>
    </row>
    <row r="179" spans="2:51" s="13" customFormat="1" ht="22.5" customHeight="1">
      <c r="B179" s="186"/>
      <c r="C179" s="214"/>
      <c r="D179" s="214"/>
      <c r="E179" s="215" t="s">
        <v>5</v>
      </c>
      <c r="F179" s="323" t="s">
        <v>1278</v>
      </c>
      <c r="G179" s="324"/>
      <c r="H179" s="324"/>
      <c r="I179" s="324"/>
      <c r="J179" s="214"/>
      <c r="K179" s="216">
        <v>561.88</v>
      </c>
      <c r="L179" s="214"/>
      <c r="M179" s="214"/>
      <c r="N179" s="214"/>
      <c r="O179" s="214"/>
      <c r="P179" s="214"/>
      <c r="Q179" s="214"/>
      <c r="R179" s="217"/>
      <c r="T179" s="191"/>
      <c r="U179" s="187"/>
      <c r="V179" s="187"/>
      <c r="W179" s="187"/>
      <c r="X179" s="187"/>
      <c r="Y179" s="187"/>
      <c r="Z179" s="187"/>
      <c r="AA179" s="192"/>
      <c r="AT179" s="193" t="s">
        <v>179</v>
      </c>
      <c r="AU179" s="193" t="s">
        <v>135</v>
      </c>
      <c r="AV179" s="13" t="s">
        <v>184</v>
      </c>
      <c r="AW179" s="13" t="s">
        <v>35</v>
      </c>
      <c r="AX179" s="13" t="s">
        <v>78</v>
      </c>
      <c r="AY179" s="193" t="s">
        <v>167</v>
      </c>
    </row>
    <row r="180" spans="2:51" s="10" customFormat="1" ht="22.5" customHeight="1">
      <c r="B180" s="151"/>
      <c r="C180" s="206"/>
      <c r="D180" s="206"/>
      <c r="E180" s="207" t="s">
        <v>5</v>
      </c>
      <c r="F180" s="325" t="s">
        <v>1320</v>
      </c>
      <c r="G180" s="326"/>
      <c r="H180" s="326"/>
      <c r="I180" s="326"/>
      <c r="J180" s="206"/>
      <c r="K180" s="208" t="s">
        <v>5</v>
      </c>
      <c r="L180" s="206"/>
      <c r="M180" s="206"/>
      <c r="N180" s="206"/>
      <c r="O180" s="206"/>
      <c r="P180" s="206"/>
      <c r="Q180" s="206"/>
      <c r="R180" s="209"/>
      <c r="T180" s="156"/>
      <c r="U180" s="152"/>
      <c r="V180" s="152"/>
      <c r="W180" s="152"/>
      <c r="X180" s="152"/>
      <c r="Y180" s="152"/>
      <c r="Z180" s="152"/>
      <c r="AA180" s="157"/>
      <c r="AT180" s="158" t="s">
        <v>179</v>
      </c>
      <c r="AU180" s="158" t="s">
        <v>135</v>
      </c>
      <c r="AV180" s="10" t="s">
        <v>21</v>
      </c>
      <c r="AW180" s="10" t="s">
        <v>35</v>
      </c>
      <c r="AX180" s="10" t="s">
        <v>78</v>
      </c>
      <c r="AY180" s="158" t="s">
        <v>167</v>
      </c>
    </row>
    <row r="181" spans="2:51" s="11" customFormat="1" ht="22.5" customHeight="1">
      <c r="B181" s="159"/>
      <c r="C181" s="210"/>
      <c r="D181" s="210"/>
      <c r="E181" s="211" t="s">
        <v>5</v>
      </c>
      <c r="F181" s="321" t="s">
        <v>1321</v>
      </c>
      <c r="G181" s="322"/>
      <c r="H181" s="322"/>
      <c r="I181" s="322"/>
      <c r="J181" s="210"/>
      <c r="K181" s="212">
        <v>128.7</v>
      </c>
      <c r="L181" s="210"/>
      <c r="M181" s="210"/>
      <c r="N181" s="210"/>
      <c r="O181" s="210"/>
      <c r="P181" s="210"/>
      <c r="Q181" s="210"/>
      <c r="R181" s="213"/>
      <c r="T181" s="164"/>
      <c r="U181" s="160"/>
      <c r="V181" s="160"/>
      <c r="W181" s="160"/>
      <c r="X181" s="160"/>
      <c r="Y181" s="160"/>
      <c r="Z181" s="160"/>
      <c r="AA181" s="165"/>
      <c r="AT181" s="166" t="s">
        <v>179</v>
      </c>
      <c r="AU181" s="166" t="s">
        <v>135</v>
      </c>
      <c r="AV181" s="11" t="s">
        <v>135</v>
      </c>
      <c r="AW181" s="11" t="s">
        <v>35</v>
      </c>
      <c r="AX181" s="11" t="s">
        <v>78</v>
      </c>
      <c r="AY181" s="166" t="s">
        <v>167</v>
      </c>
    </row>
    <row r="182" spans="2:51" s="11" customFormat="1" ht="22.5" customHeight="1">
      <c r="B182" s="159"/>
      <c r="C182" s="210"/>
      <c r="D182" s="210"/>
      <c r="E182" s="211" t="s">
        <v>5</v>
      </c>
      <c r="F182" s="321" t="s">
        <v>1322</v>
      </c>
      <c r="G182" s="322"/>
      <c r="H182" s="322"/>
      <c r="I182" s="322"/>
      <c r="J182" s="210"/>
      <c r="K182" s="212">
        <v>305.8</v>
      </c>
      <c r="L182" s="210"/>
      <c r="M182" s="210"/>
      <c r="N182" s="210"/>
      <c r="O182" s="210"/>
      <c r="P182" s="210"/>
      <c r="Q182" s="210"/>
      <c r="R182" s="213"/>
      <c r="T182" s="164"/>
      <c r="U182" s="160"/>
      <c r="V182" s="160"/>
      <c r="W182" s="160"/>
      <c r="X182" s="160"/>
      <c r="Y182" s="160"/>
      <c r="Z182" s="160"/>
      <c r="AA182" s="165"/>
      <c r="AT182" s="166" t="s">
        <v>179</v>
      </c>
      <c r="AU182" s="166" t="s">
        <v>135</v>
      </c>
      <c r="AV182" s="11" t="s">
        <v>135</v>
      </c>
      <c r="AW182" s="11" t="s">
        <v>35</v>
      </c>
      <c r="AX182" s="11" t="s">
        <v>78</v>
      </c>
      <c r="AY182" s="166" t="s">
        <v>167</v>
      </c>
    </row>
    <row r="183" spans="2:51" s="13" customFormat="1" ht="22.5" customHeight="1">
      <c r="B183" s="186"/>
      <c r="C183" s="214"/>
      <c r="D183" s="214"/>
      <c r="E183" s="215" t="s">
        <v>5</v>
      </c>
      <c r="F183" s="323" t="s">
        <v>1278</v>
      </c>
      <c r="G183" s="324"/>
      <c r="H183" s="324"/>
      <c r="I183" s="324"/>
      <c r="J183" s="214"/>
      <c r="K183" s="216">
        <v>434.5</v>
      </c>
      <c r="L183" s="214"/>
      <c r="M183" s="214"/>
      <c r="N183" s="214"/>
      <c r="O183" s="214"/>
      <c r="P183" s="214"/>
      <c r="Q183" s="214"/>
      <c r="R183" s="217"/>
      <c r="T183" s="191"/>
      <c r="U183" s="187"/>
      <c r="V183" s="187"/>
      <c r="W183" s="187"/>
      <c r="X183" s="187"/>
      <c r="Y183" s="187"/>
      <c r="Z183" s="187"/>
      <c r="AA183" s="192"/>
      <c r="AT183" s="193" t="s">
        <v>179</v>
      </c>
      <c r="AU183" s="193" t="s">
        <v>135</v>
      </c>
      <c r="AV183" s="13" t="s">
        <v>184</v>
      </c>
      <c r="AW183" s="13" t="s">
        <v>35</v>
      </c>
      <c r="AX183" s="13" t="s">
        <v>78</v>
      </c>
      <c r="AY183" s="193" t="s">
        <v>167</v>
      </c>
    </row>
    <row r="184" spans="2:51" s="10" customFormat="1" ht="22.5" customHeight="1">
      <c r="B184" s="151"/>
      <c r="C184" s="206"/>
      <c r="D184" s="206"/>
      <c r="E184" s="207" t="s">
        <v>5</v>
      </c>
      <c r="F184" s="325" t="s">
        <v>1323</v>
      </c>
      <c r="G184" s="326"/>
      <c r="H184" s="326"/>
      <c r="I184" s="326"/>
      <c r="J184" s="206"/>
      <c r="K184" s="208" t="s">
        <v>5</v>
      </c>
      <c r="L184" s="206"/>
      <c r="M184" s="206"/>
      <c r="N184" s="206"/>
      <c r="O184" s="206"/>
      <c r="P184" s="206"/>
      <c r="Q184" s="206"/>
      <c r="R184" s="209"/>
      <c r="T184" s="156"/>
      <c r="U184" s="152"/>
      <c r="V184" s="152"/>
      <c r="W184" s="152"/>
      <c r="X184" s="152"/>
      <c r="Y184" s="152"/>
      <c r="Z184" s="152"/>
      <c r="AA184" s="157"/>
      <c r="AT184" s="158" t="s">
        <v>179</v>
      </c>
      <c r="AU184" s="158" t="s">
        <v>135</v>
      </c>
      <c r="AV184" s="10" t="s">
        <v>21</v>
      </c>
      <c r="AW184" s="10" t="s">
        <v>35</v>
      </c>
      <c r="AX184" s="10" t="s">
        <v>78</v>
      </c>
      <c r="AY184" s="158" t="s">
        <v>167</v>
      </c>
    </row>
    <row r="185" spans="2:51" s="11" customFormat="1" ht="22.5" customHeight="1">
      <c r="B185" s="159"/>
      <c r="C185" s="210"/>
      <c r="D185" s="210"/>
      <c r="E185" s="211" t="s">
        <v>5</v>
      </c>
      <c r="F185" s="321" t="s">
        <v>1324</v>
      </c>
      <c r="G185" s="322"/>
      <c r="H185" s="322"/>
      <c r="I185" s="322"/>
      <c r="J185" s="210"/>
      <c r="K185" s="212">
        <v>76.104</v>
      </c>
      <c r="L185" s="210"/>
      <c r="M185" s="210"/>
      <c r="N185" s="210"/>
      <c r="O185" s="210"/>
      <c r="P185" s="210"/>
      <c r="Q185" s="210"/>
      <c r="R185" s="213"/>
      <c r="T185" s="164"/>
      <c r="U185" s="160"/>
      <c r="V185" s="160"/>
      <c r="W185" s="160"/>
      <c r="X185" s="160"/>
      <c r="Y185" s="160"/>
      <c r="Z185" s="160"/>
      <c r="AA185" s="165"/>
      <c r="AT185" s="166" t="s">
        <v>179</v>
      </c>
      <c r="AU185" s="166" t="s">
        <v>135</v>
      </c>
      <c r="AV185" s="11" t="s">
        <v>135</v>
      </c>
      <c r="AW185" s="11" t="s">
        <v>35</v>
      </c>
      <c r="AX185" s="11" t="s">
        <v>78</v>
      </c>
      <c r="AY185" s="166" t="s">
        <v>167</v>
      </c>
    </row>
    <row r="186" spans="2:51" s="11" customFormat="1" ht="22.5" customHeight="1">
      <c r="B186" s="159"/>
      <c r="C186" s="210"/>
      <c r="D186" s="210"/>
      <c r="E186" s="211" t="s">
        <v>5</v>
      </c>
      <c r="F186" s="321" t="s">
        <v>1325</v>
      </c>
      <c r="G186" s="322"/>
      <c r="H186" s="322"/>
      <c r="I186" s="322"/>
      <c r="J186" s="210"/>
      <c r="K186" s="212">
        <v>76.199</v>
      </c>
      <c r="L186" s="210"/>
      <c r="M186" s="210"/>
      <c r="N186" s="210"/>
      <c r="O186" s="210"/>
      <c r="P186" s="210"/>
      <c r="Q186" s="210"/>
      <c r="R186" s="213"/>
      <c r="T186" s="164"/>
      <c r="U186" s="160"/>
      <c r="V186" s="160"/>
      <c r="W186" s="160"/>
      <c r="X186" s="160"/>
      <c r="Y186" s="160"/>
      <c r="Z186" s="160"/>
      <c r="AA186" s="165"/>
      <c r="AT186" s="166" t="s">
        <v>179</v>
      </c>
      <c r="AU186" s="166" t="s">
        <v>135</v>
      </c>
      <c r="AV186" s="11" t="s">
        <v>135</v>
      </c>
      <c r="AW186" s="11" t="s">
        <v>35</v>
      </c>
      <c r="AX186" s="11" t="s">
        <v>78</v>
      </c>
      <c r="AY186" s="166" t="s">
        <v>167</v>
      </c>
    </row>
    <row r="187" spans="2:51" s="11" customFormat="1" ht="22.5" customHeight="1">
      <c r="B187" s="159"/>
      <c r="C187" s="210"/>
      <c r="D187" s="210"/>
      <c r="E187" s="211" t="s">
        <v>5</v>
      </c>
      <c r="F187" s="321" t="s">
        <v>1326</v>
      </c>
      <c r="G187" s="322"/>
      <c r="H187" s="322"/>
      <c r="I187" s="322"/>
      <c r="J187" s="210"/>
      <c r="K187" s="212">
        <v>17.36</v>
      </c>
      <c r="L187" s="210"/>
      <c r="M187" s="210"/>
      <c r="N187" s="210"/>
      <c r="O187" s="210"/>
      <c r="P187" s="210"/>
      <c r="Q187" s="210"/>
      <c r="R187" s="213"/>
      <c r="T187" s="164"/>
      <c r="U187" s="160"/>
      <c r="V187" s="160"/>
      <c r="W187" s="160"/>
      <c r="X187" s="160"/>
      <c r="Y187" s="160"/>
      <c r="Z187" s="160"/>
      <c r="AA187" s="165"/>
      <c r="AT187" s="166" t="s">
        <v>179</v>
      </c>
      <c r="AU187" s="166" t="s">
        <v>135</v>
      </c>
      <c r="AV187" s="11" t="s">
        <v>135</v>
      </c>
      <c r="AW187" s="11" t="s">
        <v>35</v>
      </c>
      <c r="AX187" s="11" t="s">
        <v>78</v>
      </c>
      <c r="AY187" s="166" t="s">
        <v>167</v>
      </c>
    </row>
    <row r="188" spans="2:51" s="11" customFormat="1" ht="22.5" customHeight="1">
      <c r="B188" s="159"/>
      <c r="C188" s="210"/>
      <c r="D188" s="210"/>
      <c r="E188" s="211" t="s">
        <v>5</v>
      </c>
      <c r="F188" s="321" t="s">
        <v>1327</v>
      </c>
      <c r="G188" s="322"/>
      <c r="H188" s="322"/>
      <c r="I188" s="322"/>
      <c r="J188" s="210"/>
      <c r="K188" s="212">
        <v>94.62</v>
      </c>
      <c r="L188" s="210"/>
      <c r="M188" s="210"/>
      <c r="N188" s="210"/>
      <c r="O188" s="210"/>
      <c r="P188" s="210"/>
      <c r="Q188" s="210"/>
      <c r="R188" s="213"/>
      <c r="T188" s="164"/>
      <c r="U188" s="160"/>
      <c r="V188" s="160"/>
      <c r="W188" s="160"/>
      <c r="X188" s="160"/>
      <c r="Y188" s="160"/>
      <c r="Z188" s="160"/>
      <c r="AA188" s="165"/>
      <c r="AT188" s="166" t="s">
        <v>179</v>
      </c>
      <c r="AU188" s="166" t="s">
        <v>135</v>
      </c>
      <c r="AV188" s="11" t="s">
        <v>135</v>
      </c>
      <c r="AW188" s="11" t="s">
        <v>35</v>
      </c>
      <c r="AX188" s="11" t="s">
        <v>78</v>
      </c>
      <c r="AY188" s="166" t="s">
        <v>167</v>
      </c>
    </row>
    <row r="189" spans="2:51" s="11" customFormat="1" ht="22.5" customHeight="1">
      <c r="B189" s="159"/>
      <c r="C189" s="210"/>
      <c r="D189" s="210"/>
      <c r="E189" s="211" t="s">
        <v>5</v>
      </c>
      <c r="F189" s="321" t="s">
        <v>1328</v>
      </c>
      <c r="G189" s="322"/>
      <c r="H189" s="322"/>
      <c r="I189" s="322"/>
      <c r="J189" s="210"/>
      <c r="K189" s="212">
        <v>11.951</v>
      </c>
      <c r="L189" s="210"/>
      <c r="M189" s="210"/>
      <c r="N189" s="210"/>
      <c r="O189" s="210"/>
      <c r="P189" s="210"/>
      <c r="Q189" s="210"/>
      <c r="R189" s="213"/>
      <c r="T189" s="164"/>
      <c r="U189" s="160"/>
      <c r="V189" s="160"/>
      <c r="W189" s="160"/>
      <c r="X189" s="160"/>
      <c r="Y189" s="160"/>
      <c r="Z189" s="160"/>
      <c r="AA189" s="165"/>
      <c r="AT189" s="166" t="s">
        <v>179</v>
      </c>
      <c r="AU189" s="166" t="s">
        <v>135</v>
      </c>
      <c r="AV189" s="11" t="s">
        <v>135</v>
      </c>
      <c r="AW189" s="11" t="s">
        <v>35</v>
      </c>
      <c r="AX189" s="11" t="s">
        <v>78</v>
      </c>
      <c r="AY189" s="166" t="s">
        <v>167</v>
      </c>
    </row>
    <row r="190" spans="2:51" s="13" customFormat="1" ht="22.5" customHeight="1">
      <c r="B190" s="186"/>
      <c r="C190" s="214"/>
      <c r="D190" s="214"/>
      <c r="E190" s="215" t="s">
        <v>5</v>
      </c>
      <c r="F190" s="323" t="s">
        <v>1278</v>
      </c>
      <c r="G190" s="324"/>
      <c r="H190" s="324"/>
      <c r="I190" s="324"/>
      <c r="J190" s="214"/>
      <c r="K190" s="216">
        <v>276.234</v>
      </c>
      <c r="L190" s="214"/>
      <c r="M190" s="214"/>
      <c r="N190" s="214"/>
      <c r="O190" s="214"/>
      <c r="P190" s="214"/>
      <c r="Q190" s="214"/>
      <c r="R190" s="217"/>
      <c r="T190" s="191"/>
      <c r="U190" s="187"/>
      <c r="V190" s="187"/>
      <c r="W190" s="187"/>
      <c r="X190" s="187"/>
      <c r="Y190" s="187"/>
      <c r="Z190" s="187"/>
      <c r="AA190" s="192"/>
      <c r="AT190" s="193" t="s">
        <v>179</v>
      </c>
      <c r="AU190" s="193" t="s">
        <v>135</v>
      </c>
      <c r="AV190" s="13" t="s">
        <v>184</v>
      </c>
      <c r="AW190" s="13" t="s">
        <v>35</v>
      </c>
      <c r="AX190" s="13" t="s">
        <v>78</v>
      </c>
      <c r="AY190" s="193" t="s">
        <v>167</v>
      </c>
    </row>
    <row r="191" spans="2:51" s="12" customFormat="1" ht="22.5" customHeight="1">
      <c r="B191" s="167"/>
      <c r="C191" s="218"/>
      <c r="D191" s="218"/>
      <c r="E191" s="219" t="s">
        <v>5</v>
      </c>
      <c r="F191" s="327" t="s">
        <v>183</v>
      </c>
      <c r="G191" s="328"/>
      <c r="H191" s="328"/>
      <c r="I191" s="328"/>
      <c r="J191" s="218"/>
      <c r="K191" s="220">
        <f>+K190+K183+K179+K173+K170+K164+K161+K155+K149</f>
        <v>6229.108</v>
      </c>
      <c r="L191" s="218"/>
      <c r="M191" s="218"/>
      <c r="N191" s="218"/>
      <c r="O191" s="218"/>
      <c r="P191" s="218"/>
      <c r="Q191" s="218"/>
      <c r="R191" s="221"/>
      <c r="T191" s="172"/>
      <c r="U191" s="168"/>
      <c r="V191" s="168"/>
      <c r="W191" s="168"/>
      <c r="X191" s="168"/>
      <c r="Y191" s="168"/>
      <c r="Z191" s="168"/>
      <c r="AA191" s="173"/>
      <c r="AT191" s="174" t="s">
        <v>179</v>
      </c>
      <c r="AU191" s="174" t="s">
        <v>135</v>
      </c>
      <c r="AV191" s="12" t="s">
        <v>172</v>
      </c>
      <c r="AW191" s="12" t="s">
        <v>35</v>
      </c>
      <c r="AX191" s="12" t="s">
        <v>21</v>
      </c>
      <c r="AY191" s="174" t="s">
        <v>167</v>
      </c>
    </row>
    <row r="192" spans="2:65" s="1" customFormat="1" ht="22.5" customHeight="1">
      <c r="B192" s="141"/>
      <c r="C192" s="201" t="s">
        <v>184</v>
      </c>
      <c r="D192" s="201" t="s">
        <v>168</v>
      </c>
      <c r="E192" s="202" t="s">
        <v>1329</v>
      </c>
      <c r="F192" s="317" t="s">
        <v>1330</v>
      </c>
      <c r="G192" s="317"/>
      <c r="H192" s="317"/>
      <c r="I192" s="317"/>
      <c r="J192" s="203" t="s">
        <v>176</v>
      </c>
      <c r="K192" s="204">
        <f>+K238</f>
        <v>139.10399999999998</v>
      </c>
      <c r="L192" s="318">
        <v>0</v>
      </c>
      <c r="M192" s="318"/>
      <c r="N192" s="318">
        <f>ROUND(L192*K192,2)</f>
        <v>0</v>
      </c>
      <c r="O192" s="318"/>
      <c r="P192" s="318"/>
      <c r="Q192" s="318"/>
      <c r="R192" s="205"/>
      <c r="T192" s="147" t="s">
        <v>5</v>
      </c>
      <c r="U192" s="44" t="s">
        <v>43</v>
      </c>
      <c r="V192" s="148">
        <v>0.44</v>
      </c>
      <c r="W192" s="148">
        <f>V192*K192</f>
        <v>61.20575999999999</v>
      </c>
      <c r="X192" s="148">
        <v>0</v>
      </c>
      <c r="Y192" s="148">
        <f>X192*K192</f>
        <v>0</v>
      </c>
      <c r="Z192" s="148">
        <v>0</v>
      </c>
      <c r="AA192" s="149">
        <f>Z192*K192</f>
        <v>0</v>
      </c>
      <c r="AR192" s="21" t="s">
        <v>172</v>
      </c>
      <c r="AT192" s="21" t="s">
        <v>168</v>
      </c>
      <c r="AU192" s="21" t="s">
        <v>135</v>
      </c>
      <c r="AY192" s="21" t="s">
        <v>167</v>
      </c>
      <c r="BE192" s="150">
        <f>IF(U192="základní",N192,0)</f>
        <v>0</v>
      </c>
      <c r="BF192" s="150">
        <f>IF(U192="snížená",N192,0)</f>
        <v>0</v>
      </c>
      <c r="BG192" s="150">
        <f>IF(U192="zákl. přenesená",N192,0)</f>
        <v>0</v>
      </c>
      <c r="BH192" s="150">
        <f>IF(U192="sníž. přenesená",N192,0)</f>
        <v>0</v>
      </c>
      <c r="BI192" s="150">
        <f>IF(U192="nulová",N192,0)</f>
        <v>0</v>
      </c>
      <c r="BJ192" s="21" t="s">
        <v>21</v>
      </c>
      <c r="BK192" s="150">
        <f>ROUND(L192*K192,2)</f>
        <v>0</v>
      </c>
      <c r="BL192" s="21" t="s">
        <v>172</v>
      </c>
      <c r="BM192" s="21" t="s">
        <v>1331</v>
      </c>
    </row>
    <row r="193" spans="2:51" s="10" customFormat="1" ht="22.5" customHeight="1">
      <c r="B193" s="151"/>
      <c r="C193" s="206"/>
      <c r="D193" s="206"/>
      <c r="E193" s="207" t="s">
        <v>5</v>
      </c>
      <c r="F193" s="319" t="s">
        <v>1295</v>
      </c>
      <c r="G193" s="320"/>
      <c r="H193" s="320"/>
      <c r="I193" s="320"/>
      <c r="J193" s="206"/>
      <c r="K193" s="208" t="s">
        <v>5</v>
      </c>
      <c r="L193" s="206"/>
      <c r="M193" s="206"/>
      <c r="N193" s="206"/>
      <c r="O193" s="206"/>
      <c r="P193" s="206"/>
      <c r="Q193" s="206"/>
      <c r="R193" s="209"/>
      <c r="T193" s="156"/>
      <c r="U193" s="152"/>
      <c r="V193" s="152"/>
      <c r="W193" s="152"/>
      <c r="X193" s="152"/>
      <c r="Y193" s="152"/>
      <c r="Z193" s="152"/>
      <c r="AA193" s="157"/>
      <c r="AT193" s="158" t="s">
        <v>179</v>
      </c>
      <c r="AU193" s="158" t="s">
        <v>135</v>
      </c>
      <c r="AV193" s="10" t="s">
        <v>21</v>
      </c>
      <c r="AW193" s="10" t="s">
        <v>35</v>
      </c>
      <c r="AX193" s="10" t="s">
        <v>78</v>
      </c>
      <c r="AY193" s="158" t="s">
        <v>167</v>
      </c>
    </row>
    <row r="194" spans="2:51" s="11" customFormat="1" ht="22.5" customHeight="1">
      <c r="B194" s="159"/>
      <c r="C194" s="210"/>
      <c r="D194" s="210"/>
      <c r="E194" s="211" t="s">
        <v>5</v>
      </c>
      <c r="F194" s="321" t="s">
        <v>1332</v>
      </c>
      <c r="G194" s="322"/>
      <c r="H194" s="322"/>
      <c r="I194" s="322"/>
      <c r="J194" s="210"/>
      <c r="K194" s="212">
        <v>2.496</v>
      </c>
      <c r="L194" s="210"/>
      <c r="M194" s="210"/>
      <c r="N194" s="210"/>
      <c r="O194" s="210"/>
      <c r="P194" s="210"/>
      <c r="Q194" s="210"/>
      <c r="R194" s="213"/>
      <c r="T194" s="164"/>
      <c r="U194" s="160"/>
      <c r="V194" s="160"/>
      <c r="W194" s="160"/>
      <c r="X194" s="160"/>
      <c r="Y194" s="160"/>
      <c r="Z194" s="160"/>
      <c r="AA194" s="165"/>
      <c r="AT194" s="166" t="s">
        <v>179</v>
      </c>
      <c r="AU194" s="166" t="s">
        <v>135</v>
      </c>
      <c r="AV194" s="11" t="s">
        <v>135</v>
      </c>
      <c r="AW194" s="11" t="s">
        <v>35</v>
      </c>
      <c r="AX194" s="11" t="s">
        <v>78</v>
      </c>
      <c r="AY194" s="166" t="s">
        <v>167</v>
      </c>
    </row>
    <row r="195" spans="2:51" s="11" customFormat="1" ht="22.5" customHeight="1">
      <c r="B195" s="159"/>
      <c r="C195" s="210"/>
      <c r="D195" s="210"/>
      <c r="E195" s="211" t="s">
        <v>5</v>
      </c>
      <c r="F195" s="321" t="s">
        <v>1333</v>
      </c>
      <c r="G195" s="322"/>
      <c r="H195" s="322"/>
      <c r="I195" s="322"/>
      <c r="J195" s="210"/>
      <c r="K195" s="212">
        <v>2.112</v>
      </c>
      <c r="L195" s="210"/>
      <c r="M195" s="210"/>
      <c r="N195" s="210"/>
      <c r="O195" s="210"/>
      <c r="P195" s="210"/>
      <c r="Q195" s="210"/>
      <c r="R195" s="213"/>
      <c r="T195" s="164"/>
      <c r="U195" s="160"/>
      <c r="V195" s="160"/>
      <c r="W195" s="160"/>
      <c r="X195" s="160"/>
      <c r="Y195" s="160"/>
      <c r="Z195" s="160"/>
      <c r="AA195" s="165"/>
      <c r="AT195" s="166" t="s">
        <v>179</v>
      </c>
      <c r="AU195" s="166" t="s">
        <v>135</v>
      </c>
      <c r="AV195" s="11" t="s">
        <v>135</v>
      </c>
      <c r="AW195" s="11" t="s">
        <v>35</v>
      </c>
      <c r="AX195" s="11" t="s">
        <v>78</v>
      </c>
      <c r="AY195" s="166" t="s">
        <v>167</v>
      </c>
    </row>
    <row r="196" spans="2:51" s="11" customFormat="1" ht="22.5" customHeight="1">
      <c r="B196" s="159"/>
      <c r="C196" s="210"/>
      <c r="D196" s="210"/>
      <c r="E196" s="211" t="s">
        <v>5</v>
      </c>
      <c r="F196" s="321" t="s">
        <v>1334</v>
      </c>
      <c r="G196" s="322"/>
      <c r="H196" s="322"/>
      <c r="I196" s="322"/>
      <c r="J196" s="210"/>
      <c r="K196" s="212">
        <v>5.76</v>
      </c>
      <c r="L196" s="210"/>
      <c r="M196" s="210"/>
      <c r="N196" s="210"/>
      <c r="O196" s="210"/>
      <c r="P196" s="210"/>
      <c r="Q196" s="210"/>
      <c r="R196" s="213"/>
      <c r="T196" s="164"/>
      <c r="U196" s="160"/>
      <c r="V196" s="160"/>
      <c r="W196" s="160"/>
      <c r="X196" s="160"/>
      <c r="Y196" s="160"/>
      <c r="Z196" s="160"/>
      <c r="AA196" s="165"/>
      <c r="AT196" s="166" t="s">
        <v>179</v>
      </c>
      <c r="AU196" s="166" t="s">
        <v>135</v>
      </c>
      <c r="AV196" s="11" t="s">
        <v>135</v>
      </c>
      <c r="AW196" s="11" t="s">
        <v>35</v>
      </c>
      <c r="AX196" s="11" t="s">
        <v>78</v>
      </c>
      <c r="AY196" s="166" t="s">
        <v>167</v>
      </c>
    </row>
    <row r="197" spans="2:51" s="13" customFormat="1" ht="22.5" customHeight="1">
      <c r="B197" s="186"/>
      <c r="C197" s="214"/>
      <c r="D197" s="214"/>
      <c r="E197" s="215" t="s">
        <v>5</v>
      </c>
      <c r="F197" s="323" t="s">
        <v>1278</v>
      </c>
      <c r="G197" s="324"/>
      <c r="H197" s="324"/>
      <c r="I197" s="324"/>
      <c r="J197" s="214"/>
      <c r="K197" s="216">
        <v>10.368</v>
      </c>
      <c r="L197" s="214"/>
      <c r="M197" s="214"/>
      <c r="N197" s="214"/>
      <c r="O197" s="214"/>
      <c r="P197" s="214"/>
      <c r="Q197" s="214"/>
      <c r="R197" s="217"/>
      <c r="T197" s="191"/>
      <c r="U197" s="187"/>
      <c r="V197" s="187"/>
      <c r="W197" s="187"/>
      <c r="X197" s="187"/>
      <c r="Y197" s="187"/>
      <c r="Z197" s="187"/>
      <c r="AA197" s="192"/>
      <c r="AT197" s="193" t="s">
        <v>179</v>
      </c>
      <c r="AU197" s="193" t="s">
        <v>135</v>
      </c>
      <c r="AV197" s="13" t="s">
        <v>184</v>
      </c>
      <c r="AW197" s="13" t="s">
        <v>35</v>
      </c>
      <c r="AX197" s="13" t="s">
        <v>78</v>
      </c>
      <c r="AY197" s="193" t="s">
        <v>167</v>
      </c>
    </row>
    <row r="198" spans="2:51" s="10" customFormat="1" ht="22.5" customHeight="1">
      <c r="B198" s="151"/>
      <c r="C198" s="206"/>
      <c r="D198" s="206"/>
      <c r="E198" s="207" t="s">
        <v>5</v>
      </c>
      <c r="F198" s="325" t="s">
        <v>1298</v>
      </c>
      <c r="G198" s="326"/>
      <c r="H198" s="326"/>
      <c r="I198" s="326"/>
      <c r="J198" s="206"/>
      <c r="K198" s="208" t="s">
        <v>5</v>
      </c>
      <c r="L198" s="206"/>
      <c r="M198" s="206"/>
      <c r="N198" s="206"/>
      <c r="O198" s="206"/>
      <c r="P198" s="206"/>
      <c r="Q198" s="206"/>
      <c r="R198" s="209"/>
      <c r="T198" s="156"/>
      <c r="U198" s="152"/>
      <c r="V198" s="152"/>
      <c r="W198" s="152"/>
      <c r="X198" s="152"/>
      <c r="Y198" s="152"/>
      <c r="Z198" s="152"/>
      <c r="AA198" s="157"/>
      <c r="AT198" s="158" t="s">
        <v>179</v>
      </c>
      <c r="AU198" s="158" t="s">
        <v>135</v>
      </c>
      <c r="AV198" s="10" t="s">
        <v>21</v>
      </c>
      <c r="AW198" s="10" t="s">
        <v>35</v>
      </c>
      <c r="AX198" s="10" t="s">
        <v>78</v>
      </c>
      <c r="AY198" s="158" t="s">
        <v>167</v>
      </c>
    </row>
    <row r="199" spans="2:51" s="11" customFormat="1" ht="22.5" customHeight="1">
      <c r="B199" s="159"/>
      <c r="C199" s="210"/>
      <c r="D199" s="210"/>
      <c r="E199" s="211" t="s">
        <v>5</v>
      </c>
      <c r="F199" s="321" t="s">
        <v>1335</v>
      </c>
      <c r="G199" s="322"/>
      <c r="H199" s="322"/>
      <c r="I199" s="322"/>
      <c r="J199" s="210"/>
      <c r="K199" s="212">
        <v>3.744</v>
      </c>
      <c r="L199" s="210"/>
      <c r="M199" s="210"/>
      <c r="N199" s="210"/>
      <c r="O199" s="210"/>
      <c r="P199" s="210"/>
      <c r="Q199" s="210"/>
      <c r="R199" s="213"/>
      <c r="T199" s="164"/>
      <c r="U199" s="160"/>
      <c r="V199" s="160"/>
      <c r="W199" s="160"/>
      <c r="X199" s="160"/>
      <c r="Y199" s="160"/>
      <c r="Z199" s="160"/>
      <c r="AA199" s="165"/>
      <c r="AT199" s="166" t="s">
        <v>179</v>
      </c>
      <c r="AU199" s="166" t="s">
        <v>135</v>
      </c>
      <c r="AV199" s="11" t="s">
        <v>135</v>
      </c>
      <c r="AW199" s="11" t="s">
        <v>35</v>
      </c>
      <c r="AX199" s="11" t="s">
        <v>78</v>
      </c>
      <c r="AY199" s="166" t="s">
        <v>167</v>
      </c>
    </row>
    <row r="200" spans="2:51" s="11" customFormat="1" ht="22.5" customHeight="1">
      <c r="B200" s="159"/>
      <c r="C200" s="210"/>
      <c r="D200" s="210"/>
      <c r="E200" s="211" t="s">
        <v>5</v>
      </c>
      <c r="F200" s="321" t="s">
        <v>1336</v>
      </c>
      <c r="G200" s="322"/>
      <c r="H200" s="322"/>
      <c r="I200" s="322"/>
      <c r="J200" s="210"/>
      <c r="K200" s="212">
        <v>3.264</v>
      </c>
      <c r="L200" s="210"/>
      <c r="M200" s="210"/>
      <c r="N200" s="210"/>
      <c r="O200" s="210"/>
      <c r="P200" s="210"/>
      <c r="Q200" s="210"/>
      <c r="R200" s="213"/>
      <c r="T200" s="164"/>
      <c r="U200" s="160"/>
      <c r="V200" s="160"/>
      <c r="W200" s="160"/>
      <c r="X200" s="160"/>
      <c r="Y200" s="160"/>
      <c r="Z200" s="160"/>
      <c r="AA200" s="165"/>
      <c r="AT200" s="166" t="s">
        <v>179</v>
      </c>
      <c r="AU200" s="166" t="s">
        <v>135</v>
      </c>
      <c r="AV200" s="11" t="s">
        <v>135</v>
      </c>
      <c r="AW200" s="11" t="s">
        <v>35</v>
      </c>
      <c r="AX200" s="11" t="s">
        <v>78</v>
      </c>
      <c r="AY200" s="166" t="s">
        <v>167</v>
      </c>
    </row>
    <row r="201" spans="2:51" s="11" customFormat="1" ht="22.5" customHeight="1">
      <c r="B201" s="159"/>
      <c r="C201" s="210"/>
      <c r="D201" s="210"/>
      <c r="E201" s="211" t="s">
        <v>5</v>
      </c>
      <c r="F201" s="321" t="s">
        <v>1337</v>
      </c>
      <c r="G201" s="322"/>
      <c r="H201" s="322"/>
      <c r="I201" s="322"/>
      <c r="J201" s="210"/>
      <c r="K201" s="212">
        <v>2.88</v>
      </c>
      <c r="L201" s="210"/>
      <c r="M201" s="210"/>
      <c r="N201" s="210"/>
      <c r="O201" s="210"/>
      <c r="P201" s="210"/>
      <c r="Q201" s="210"/>
      <c r="R201" s="213"/>
      <c r="T201" s="164"/>
      <c r="U201" s="160"/>
      <c r="V201" s="160"/>
      <c r="W201" s="160"/>
      <c r="X201" s="160"/>
      <c r="Y201" s="160"/>
      <c r="Z201" s="160"/>
      <c r="AA201" s="165"/>
      <c r="AT201" s="166" t="s">
        <v>179</v>
      </c>
      <c r="AU201" s="166" t="s">
        <v>135</v>
      </c>
      <c r="AV201" s="11" t="s">
        <v>135</v>
      </c>
      <c r="AW201" s="11" t="s">
        <v>35</v>
      </c>
      <c r="AX201" s="11" t="s">
        <v>78</v>
      </c>
      <c r="AY201" s="166" t="s">
        <v>167</v>
      </c>
    </row>
    <row r="202" spans="2:51" s="11" customFormat="1" ht="22.5" customHeight="1">
      <c r="B202" s="159"/>
      <c r="C202" s="210"/>
      <c r="D202" s="210"/>
      <c r="E202" s="211" t="s">
        <v>5</v>
      </c>
      <c r="F202" s="321" t="s">
        <v>1338</v>
      </c>
      <c r="G202" s="322"/>
      <c r="H202" s="322"/>
      <c r="I202" s="322"/>
      <c r="J202" s="210"/>
      <c r="K202" s="212">
        <v>12</v>
      </c>
      <c r="L202" s="210"/>
      <c r="M202" s="210"/>
      <c r="N202" s="210"/>
      <c r="O202" s="210"/>
      <c r="P202" s="210"/>
      <c r="Q202" s="210"/>
      <c r="R202" s="213"/>
      <c r="T202" s="164"/>
      <c r="U202" s="160"/>
      <c r="V202" s="160"/>
      <c r="W202" s="160"/>
      <c r="X202" s="160"/>
      <c r="Y202" s="160"/>
      <c r="Z202" s="160"/>
      <c r="AA202" s="165"/>
      <c r="AT202" s="166" t="s">
        <v>179</v>
      </c>
      <c r="AU202" s="166" t="s">
        <v>135</v>
      </c>
      <c r="AV202" s="11" t="s">
        <v>135</v>
      </c>
      <c r="AW202" s="11" t="s">
        <v>35</v>
      </c>
      <c r="AX202" s="11" t="s">
        <v>78</v>
      </c>
      <c r="AY202" s="166" t="s">
        <v>167</v>
      </c>
    </row>
    <row r="203" spans="2:51" s="11" customFormat="1" ht="22.5" customHeight="1">
      <c r="B203" s="159"/>
      <c r="C203" s="210"/>
      <c r="D203" s="210"/>
      <c r="E203" s="211" t="s">
        <v>5</v>
      </c>
      <c r="F203" s="321" t="s">
        <v>1339</v>
      </c>
      <c r="G203" s="322"/>
      <c r="H203" s="322"/>
      <c r="I203" s="322"/>
      <c r="J203" s="210"/>
      <c r="K203" s="212">
        <v>12.096</v>
      </c>
      <c r="L203" s="210"/>
      <c r="M203" s="210"/>
      <c r="N203" s="210"/>
      <c r="O203" s="210"/>
      <c r="P203" s="210"/>
      <c r="Q203" s="210"/>
      <c r="R203" s="213"/>
      <c r="T203" s="164"/>
      <c r="U203" s="160"/>
      <c r="V203" s="160"/>
      <c r="W203" s="160"/>
      <c r="X203" s="160"/>
      <c r="Y203" s="160"/>
      <c r="Z203" s="160"/>
      <c r="AA203" s="165"/>
      <c r="AT203" s="166" t="s">
        <v>179</v>
      </c>
      <c r="AU203" s="166" t="s">
        <v>135</v>
      </c>
      <c r="AV203" s="11" t="s">
        <v>135</v>
      </c>
      <c r="AW203" s="11" t="s">
        <v>35</v>
      </c>
      <c r="AX203" s="11" t="s">
        <v>78</v>
      </c>
      <c r="AY203" s="166" t="s">
        <v>167</v>
      </c>
    </row>
    <row r="204" spans="2:51" s="11" customFormat="1" ht="22.5" customHeight="1">
      <c r="B204" s="159"/>
      <c r="C204" s="210"/>
      <c r="D204" s="210"/>
      <c r="E204" s="211" t="s">
        <v>5</v>
      </c>
      <c r="F204" s="321" t="s">
        <v>1340</v>
      </c>
      <c r="G204" s="322"/>
      <c r="H204" s="322"/>
      <c r="I204" s="322"/>
      <c r="J204" s="210"/>
      <c r="K204" s="212">
        <v>1.728</v>
      </c>
      <c r="L204" s="210"/>
      <c r="M204" s="210"/>
      <c r="N204" s="210"/>
      <c r="O204" s="210"/>
      <c r="P204" s="210"/>
      <c r="Q204" s="210"/>
      <c r="R204" s="213"/>
      <c r="T204" s="164"/>
      <c r="U204" s="160"/>
      <c r="V204" s="160"/>
      <c r="W204" s="160"/>
      <c r="X204" s="160"/>
      <c r="Y204" s="160"/>
      <c r="Z204" s="160"/>
      <c r="AA204" s="165"/>
      <c r="AT204" s="166" t="s">
        <v>179</v>
      </c>
      <c r="AU204" s="166" t="s">
        <v>135</v>
      </c>
      <c r="AV204" s="11" t="s">
        <v>135</v>
      </c>
      <c r="AW204" s="11" t="s">
        <v>35</v>
      </c>
      <c r="AX204" s="11" t="s">
        <v>78</v>
      </c>
      <c r="AY204" s="166" t="s">
        <v>167</v>
      </c>
    </row>
    <row r="205" spans="2:51" s="13" customFormat="1" ht="22.5" customHeight="1">
      <c r="B205" s="186"/>
      <c r="C205" s="214"/>
      <c r="D205" s="214"/>
      <c r="E205" s="215" t="s">
        <v>5</v>
      </c>
      <c r="F205" s="323" t="s">
        <v>1278</v>
      </c>
      <c r="G205" s="324"/>
      <c r="H205" s="324"/>
      <c r="I205" s="324"/>
      <c r="J205" s="214"/>
      <c r="K205" s="216">
        <v>35.712</v>
      </c>
      <c r="L205" s="214"/>
      <c r="M205" s="214"/>
      <c r="N205" s="214"/>
      <c r="O205" s="214"/>
      <c r="P205" s="214"/>
      <c r="Q205" s="214"/>
      <c r="R205" s="217"/>
      <c r="T205" s="191"/>
      <c r="U205" s="187"/>
      <c r="V205" s="187"/>
      <c r="W205" s="187"/>
      <c r="X205" s="187"/>
      <c r="Y205" s="187"/>
      <c r="Z205" s="187"/>
      <c r="AA205" s="192"/>
      <c r="AT205" s="193" t="s">
        <v>179</v>
      </c>
      <c r="AU205" s="193" t="s">
        <v>135</v>
      </c>
      <c r="AV205" s="13" t="s">
        <v>184</v>
      </c>
      <c r="AW205" s="13" t="s">
        <v>35</v>
      </c>
      <c r="AX205" s="13" t="s">
        <v>78</v>
      </c>
      <c r="AY205" s="193" t="s">
        <v>167</v>
      </c>
    </row>
    <row r="206" spans="2:51" s="10" customFormat="1" ht="22.5" customHeight="1">
      <c r="B206" s="151"/>
      <c r="C206" s="206"/>
      <c r="D206" s="206"/>
      <c r="E206" s="207" t="s">
        <v>5</v>
      </c>
      <c r="F206" s="325" t="s">
        <v>1303</v>
      </c>
      <c r="G206" s="326"/>
      <c r="H206" s="326"/>
      <c r="I206" s="326"/>
      <c r="J206" s="206"/>
      <c r="K206" s="208" t="s">
        <v>5</v>
      </c>
      <c r="L206" s="206"/>
      <c r="M206" s="206"/>
      <c r="N206" s="206"/>
      <c r="O206" s="206"/>
      <c r="P206" s="206"/>
      <c r="Q206" s="206"/>
      <c r="R206" s="209"/>
      <c r="T206" s="156"/>
      <c r="U206" s="152"/>
      <c r="V206" s="152"/>
      <c r="W206" s="152"/>
      <c r="X206" s="152"/>
      <c r="Y206" s="152"/>
      <c r="Z206" s="152"/>
      <c r="AA206" s="157"/>
      <c r="AT206" s="158" t="s">
        <v>179</v>
      </c>
      <c r="AU206" s="158" t="s">
        <v>135</v>
      </c>
      <c r="AV206" s="10" t="s">
        <v>21</v>
      </c>
      <c r="AW206" s="10" t="s">
        <v>35</v>
      </c>
      <c r="AX206" s="10" t="s">
        <v>78</v>
      </c>
      <c r="AY206" s="158" t="s">
        <v>167</v>
      </c>
    </row>
    <row r="207" spans="2:51" s="11" customFormat="1" ht="22.5" customHeight="1">
      <c r="B207" s="159"/>
      <c r="C207" s="210"/>
      <c r="D207" s="210"/>
      <c r="E207" s="211" t="s">
        <v>5</v>
      </c>
      <c r="F207" s="321" t="s">
        <v>1341</v>
      </c>
      <c r="G207" s="322"/>
      <c r="H207" s="322"/>
      <c r="I207" s="322"/>
      <c r="J207" s="210"/>
      <c r="K207" s="212">
        <v>9.792</v>
      </c>
      <c r="L207" s="210"/>
      <c r="M207" s="210"/>
      <c r="N207" s="210"/>
      <c r="O207" s="210"/>
      <c r="P207" s="210"/>
      <c r="Q207" s="210"/>
      <c r="R207" s="213"/>
      <c r="T207" s="164"/>
      <c r="U207" s="160"/>
      <c r="V207" s="160"/>
      <c r="W207" s="160"/>
      <c r="X207" s="160"/>
      <c r="Y207" s="160"/>
      <c r="Z207" s="160"/>
      <c r="AA207" s="165"/>
      <c r="AT207" s="166" t="s">
        <v>179</v>
      </c>
      <c r="AU207" s="166" t="s">
        <v>135</v>
      </c>
      <c r="AV207" s="11" t="s">
        <v>135</v>
      </c>
      <c r="AW207" s="11" t="s">
        <v>35</v>
      </c>
      <c r="AX207" s="11" t="s">
        <v>78</v>
      </c>
      <c r="AY207" s="166" t="s">
        <v>167</v>
      </c>
    </row>
    <row r="208" spans="2:51" s="11" customFormat="1" ht="22.5" customHeight="1">
      <c r="B208" s="159"/>
      <c r="C208" s="210"/>
      <c r="D208" s="210"/>
      <c r="E208" s="211" t="s">
        <v>5</v>
      </c>
      <c r="F208" s="321" t="s">
        <v>1337</v>
      </c>
      <c r="G208" s="322"/>
      <c r="H208" s="322"/>
      <c r="I208" s="322"/>
      <c r="J208" s="210"/>
      <c r="K208" s="212">
        <v>2.88</v>
      </c>
      <c r="L208" s="210"/>
      <c r="M208" s="210"/>
      <c r="N208" s="210"/>
      <c r="O208" s="210"/>
      <c r="P208" s="210"/>
      <c r="Q208" s="210"/>
      <c r="R208" s="213"/>
      <c r="T208" s="164"/>
      <c r="U208" s="160"/>
      <c r="V208" s="160"/>
      <c r="W208" s="160"/>
      <c r="X208" s="160"/>
      <c r="Y208" s="160"/>
      <c r="Z208" s="160"/>
      <c r="AA208" s="165"/>
      <c r="AT208" s="166" t="s">
        <v>179</v>
      </c>
      <c r="AU208" s="166" t="s">
        <v>135</v>
      </c>
      <c r="AV208" s="11" t="s">
        <v>135</v>
      </c>
      <c r="AW208" s="11" t="s">
        <v>35</v>
      </c>
      <c r="AX208" s="11" t="s">
        <v>78</v>
      </c>
      <c r="AY208" s="166" t="s">
        <v>167</v>
      </c>
    </row>
    <row r="209" spans="2:51" s="11" customFormat="1" ht="22.5" customHeight="1">
      <c r="B209" s="159"/>
      <c r="C209" s="210"/>
      <c r="D209" s="210"/>
      <c r="E209" s="211" t="s">
        <v>5</v>
      </c>
      <c r="F209" s="321" t="s">
        <v>1342</v>
      </c>
      <c r="G209" s="322"/>
      <c r="H209" s="322"/>
      <c r="I209" s="322"/>
      <c r="J209" s="210"/>
      <c r="K209" s="212">
        <v>8.064</v>
      </c>
      <c r="L209" s="210"/>
      <c r="M209" s="210"/>
      <c r="N209" s="210"/>
      <c r="O209" s="210"/>
      <c r="P209" s="210"/>
      <c r="Q209" s="210"/>
      <c r="R209" s="213"/>
      <c r="T209" s="164"/>
      <c r="U209" s="160"/>
      <c r="V209" s="160"/>
      <c r="W209" s="160"/>
      <c r="X209" s="160"/>
      <c r="Y209" s="160"/>
      <c r="Z209" s="160"/>
      <c r="AA209" s="165"/>
      <c r="AT209" s="166" t="s">
        <v>179</v>
      </c>
      <c r="AU209" s="166" t="s">
        <v>135</v>
      </c>
      <c r="AV209" s="11" t="s">
        <v>135</v>
      </c>
      <c r="AW209" s="11" t="s">
        <v>35</v>
      </c>
      <c r="AX209" s="11" t="s">
        <v>78</v>
      </c>
      <c r="AY209" s="166" t="s">
        <v>167</v>
      </c>
    </row>
    <row r="210" spans="2:51" s="11" customFormat="1" ht="22.5" customHeight="1">
      <c r="B210" s="159"/>
      <c r="C210" s="210"/>
      <c r="D210" s="210"/>
      <c r="E210" s="211" t="s">
        <v>5</v>
      </c>
      <c r="F210" s="321" t="s">
        <v>1343</v>
      </c>
      <c r="G210" s="322"/>
      <c r="H210" s="322"/>
      <c r="I210" s="322"/>
      <c r="J210" s="210"/>
      <c r="K210" s="212">
        <v>4.8</v>
      </c>
      <c r="L210" s="210"/>
      <c r="M210" s="210"/>
      <c r="N210" s="210"/>
      <c r="O210" s="210"/>
      <c r="P210" s="210"/>
      <c r="Q210" s="210"/>
      <c r="R210" s="213"/>
      <c r="T210" s="164"/>
      <c r="U210" s="160"/>
      <c r="V210" s="160"/>
      <c r="W210" s="160"/>
      <c r="X210" s="160"/>
      <c r="Y210" s="160"/>
      <c r="Z210" s="160"/>
      <c r="AA210" s="165"/>
      <c r="AT210" s="166" t="s">
        <v>179</v>
      </c>
      <c r="AU210" s="166" t="s">
        <v>135</v>
      </c>
      <c r="AV210" s="11" t="s">
        <v>135</v>
      </c>
      <c r="AW210" s="11" t="s">
        <v>35</v>
      </c>
      <c r="AX210" s="11" t="s">
        <v>78</v>
      </c>
      <c r="AY210" s="166" t="s">
        <v>167</v>
      </c>
    </row>
    <row r="211" spans="1:51" s="11" customFormat="1" ht="22.5" customHeight="1">
      <c r="A211" s="232"/>
      <c r="B211" s="233"/>
      <c r="C211" s="210"/>
      <c r="D211" s="210"/>
      <c r="E211" s="211" t="s">
        <v>5</v>
      </c>
      <c r="F211" s="321">
        <v>0</v>
      </c>
      <c r="G211" s="322"/>
      <c r="H211" s="322"/>
      <c r="I211" s="322"/>
      <c r="J211" s="210"/>
      <c r="K211" s="212">
        <v>0</v>
      </c>
      <c r="L211" s="210"/>
      <c r="M211" s="210"/>
      <c r="N211" s="210"/>
      <c r="O211" s="210"/>
      <c r="P211" s="210"/>
      <c r="Q211" s="210"/>
      <c r="R211" s="213"/>
      <c r="T211" s="164"/>
      <c r="U211" s="160"/>
      <c r="V211" s="160"/>
      <c r="W211" s="160"/>
      <c r="X211" s="160"/>
      <c r="Y211" s="160"/>
      <c r="Z211" s="160"/>
      <c r="AA211" s="165"/>
      <c r="AT211" s="166" t="s">
        <v>179</v>
      </c>
      <c r="AU211" s="166" t="s">
        <v>135</v>
      </c>
      <c r="AV211" s="11" t="s">
        <v>135</v>
      </c>
      <c r="AW211" s="11" t="s">
        <v>35</v>
      </c>
      <c r="AX211" s="11" t="s">
        <v>78</v>
      </c>
      <c r="AY211" s="166" t="s">
        <v>167</v>
      </c>
    </row>
    <row r="212" spans="1:51" s="11" customFormat="1" ht="22.5" customHeight="1">
      <c r="A212" s="232"/>
      <c r="B212" s="233"/>
      <c r="C212" s="210"/>
      <c r="D212" s="210"/>
      <c r="E212" s="211" t="s">
        <v>5</v>
      </c>
      <c r="F212" s="321">
        <v>0</v>
      </c>
      <c r="G212" s="322"/>
      <c r="H212" s="322"/>
      <c r="I212" s="322"/>
      <c r="J212" s="210"/>
      <c r="K212" s="212">
        <v>0</v>
      </c>
      <c r="L212" s="210"/>
      <c r="M212" s="210"/>
      <c r="N212" s="210"/>
      <c r="O212" s="210"/>
      <c r="P212" s="210"/>
      <c r="Q212" s="210"/>
      <c r="R212" s="213"/>
      <c r="T212" s="164"/>
      <c r="U212" s="160"/>
      <c r="V212" s="160"/>
      <c r="W212" s="160"/>
      <c r="X212" s="160"/>
      <c r="Y212" s="160"/>
      <c r="Z212" s="160"/>
      <c r="AA212" s="165"/>
      <c r="AT212" s="166" t="s">
        <v>179</v>
      </c>
      <c r="AU212" s="166" t="s">
        <v>135</v>
      </c>
      <c r="AV212" s="11" t="s">
        <v>135</v>
      </c>
      <c r="AW212" s="11" t="s">
        <v>35</v>
      </c>
      <c r="AX212" s="11" t="s">
        <v>78</v>
      </c>
      <c r="AY212" s="166" t="s">
        <v>167</v>
      </c>
    </row>
    <row r="213" spans="1:51" s="11" customFormat="1" ht="22.5" customHeight="1">
      <c r="A213" s="232"/>
      <c r="B213" s="233"/>
      <c r="C213" s="210"/>
      <c r="D213" s="210"/>
      <c r="E213" s="211" t="s">
        <v>5</v>
      </c>
      <c r="F213" s="321">
        <v>0</v>
      </c>
      <c r="G213" s="322"/>
      <c r="H213" s="322"/>
      <c r="I213" s="322"/>
      <c r="J213" s="210"/>
      <c r="K213" s="212">
        <v>0</v>
      </c>
      <c r="L213" s="210"/>
      <c r="M213" s="210"/>
      <c r="N213" s="210"/>
      <c r="O213" s="210"/>
      <c r="P213" s="210"/>
      <c r="Q213" s="210"/>
      <c r="R213" s="213"/>
      <c r="T213" s="164"/>
      <c r="U213" s="160"/>
      <c r="V213" s="160"/>
      <c r="W213" s="160"/>
      <c r="X213" s="160"/>
      <c r="Y213" s="160"/>
      <c r="Z213" s="160"/>
      <c r="AA213" s="165"/>
      <c r="AT213" s="166" t="s">
        <v>179</v>
      </c>
      <c r="AU213" s="166" t="s">
        <v>135</v>
      </c>
      <c r="AV213" s="11" t="s">
        <v>135</v>
      </c>
      <c r="AW213" s="11" t="s">
        <v>35</v>
      </c>
      <c r="AX213" s="11" t="s">
        <v>78</v>
      </c>
      <c r="AY213" s="166" t="s">
        <v>167</v>
      </c>
    </row>
    <row r="214" spans="1:51" s="11" customFormat="1" ht="22.5" customHeight="1">
      <c r="A214" s="232"/>
      <c r="B214" s="233"/>
      <c r="C214" s="210"/>
      <c r="D214" s="210"/>
      <c r="E214" s="211" t="s">
        <v>5</v>
      </c>
      <c r="F214" s="321">
        <v>0</v>
      </c>
      <c r="G214" s="322"/>
      <c r="H214" s="322"/>
      <c r="I214" s="322"/>
      <c r="J214" s="210"/>
      <c r="K214" s="212">
        <v>0</v>
      </c>
      <c r="L214" s="210"/>
      <c r="M214" s="210"/>
      <c r="N214" s="210"/>
      <c r="O214" s="210"/>
      <c r="P214" s="210"/>
      <c r="Q214" s="210"/>
      <c r="R214" s="213"/>
      <c r="T214" s="164"/>
      <c r="U214" s="160"/>
      <c r="V214" s="160"/>
      <c r="W214" s="160"/>
      <c r="X214" s="160"/>
      <c r="Y214" s="160"/>
      <c r="Z214" s="160"/>
      <c r="AA214" s="165"/>
      <c r="AT214" s="166" t="s">
        <v>179</v>
      </c>
      <c r="AU214" s="166" t="s">
        <v>135</v>
      </c>
      <c r="AV214" s="11" t="s">
        <v>135</v>
      </c>
      <c r="AW214" s="11" t="s">
        <v>35</v>
      </c>
      <c r="AX214" s="11" t="s">
        <v>78</v>
      </c>
      <c r="AY214" s="166" t="s">
        <v>167</v>
      </c>
    </row>
    <row r="215" spans="2:51" s="13" customFormat="1" ht="22.5" customHeight="1">
      <c r="B215" s="186"/>
      <c r="C215" s="214"/>
      <c r="D215" s="214"/>
      <c r="E215" s="215" t="s">
        <v>5</v>
      </c>
      <c r="F215" s="323" t="s">
        <v>1278</v>
      </c>
      <c r="G215" s="324"/>
      <c r="H215" s="324"/>
      <c r="I215" s="324"/>
      <c r="J215" s="214"/>
      <c r="K215" s="216">
        <f>SUM(K207:K214)</f>
        <v>25.536</v>
      </c>
      <c r="L215" s="214"/>
      <c r="M215" s="214"/>
      <c r="N215" s="214"/>
      <c r="O215" s="214"/>
      <c r="P215" s="214"/>
      <c r="Q215" s="214"/>
      <c r="R215" s="217"/>
      <c r="T215" s="191"/>
      <c r="U215" s="187"/>
      <c r="V215" s="187"/>
      <c r="W215" s="187"/>
      <c r="X215" s="187"/>
      <c r="Y215" s="187"/>
      <c r="Z215" s="187"/>
      <c r="AA215" s="192"/>
      <c r="AT215" s="193" t="s">
        <v>179</v>
      </c>
      <c r="AU215" s="193" t="s">
        <v>135</v>
      </c>
      <c r="AV215" s="13" t="s">
        <v>184</v>
      </c>
      <c r="AW215" s="13" t="s">
        <v>35</v>
      </c>
      <c r="AX215" s="13" t="s">
        <v>78</v>
      </c>
      <c r="AY215" s="193" t="s">
        <v>167</v>
      </c>
    </row>
    <row r="216" spans="2:51" s="10" customFormat="1" ht="22.5" customHeight="1">
      <c r="B216" s="151"/>
      <c r="C216" s="206"/>
      <c r="D216" s="206"/>
      <c r="E216" s="207" t="s">
        <v>5</v>
      </c>
      <c r="F216" s="325" t="s">
        <v>1306</v>
      </c>
      <c r="G216" s="326"/>
      <c r="H216" s="326"/>
      <c r="I216" s="326"/>
      <c r="J216" s="206"/>
      <c r="K216" s="208" t="s">
        <v>5</v>
      </c>
      <c r="L216" s="206"/>
      <c r="M216" s="206"/>
      <c r="N216" s="206"/>
      <c r="O216" s="206"/>
      <c r="P216" s="206"/>
      <c r="Q216" s="206"/>
      <c r="R216" s="209"/>
      <c r="T216" s="156"/>
      <c r="U216" s="152"/>
      <c r="V216" s="152"/>
      <c r="W216" s="152"/>
      <c r="X216" s="152"/>
      <c r="Y216" s="152"/>
      <c r="Z216" s="152"/>
      <c r="AA216" s="157"/>
      <c r="AT216" s="158" t="s">
        <v>179</v>
      </c>
      <c r="AU216" s="158" t="s">
        <v>135</v>
      </c>
      <c r="AV216" s="10" t="s">
        <v>21</v>
      </c>
      <c r="AW216" s="10" t="s">
        <v>35</v>
      </c>
      <c r="AX216" s="10" t="s">
        <v>78</v>
      </c>
      <c r="AY216" s="158" t="s">
        <v>167</v>
      </c>
    </row>
    <row r="217" spans="2:51" s="11" customFormat="1" ht="22.5" customHeight="1">
      <c r="B217" s="159"/>
      <c r="C217" s="210"/>
      <c r="D217" s="210"/>
      <c r="E217" s="211" t="s">
        <v>5</v>
      </c>
      <c r="F217" s="321" t="s">
        <v>1345</v>
      </c>
      <c r="G217" s="322"/>
      <c r="H217" s="322"/>
      <c r="I217" s="322"/>
      <c r="J217" s="210"/>
      <c r="K217" s="212">
        <v>11.52</v>
      </c>
      <c r="L217" s="210"/>
      <c r="M217" s="210"/>
      <c r="N217" s="210"/>
      <c r="O217" s="210"/>
      <c r="P217" s="210"/>
      <c r="Q217" s="210"/>
      <c r="R217" s="213"/>
      <c r="T217" s="164"/>
      <c r="U217" s="160"/>
      <c r="V217" s="160"/>
      <c r="W217" s="160"/>
      <c r="X217" s="160"/>
      <c r="Y217" s="160"/>
      <c r="Z217" s="160"/>
      <c r="AA217" s="165"/>
      <c r="AT217" s="166" t="s">
        <v>179</v>
      </c>
      <c r="AU217" s="166" t="s">
        <v>135</v>
      </c>
      <c r="AV217" s="11" t="s">
        <v>135</v>
      </c>
      <c r="AW217" s="11" t="s">
        <v>35</v>
      </c>
      <c r="AX217" s="11" t="s">
        <v>78</v>
      </c>
      <c r="AY217" s="166" t="s">
        <v>167</v>
      </c>
    </row>
    <row r="218" spans="2:51" s="11" customFormat="1" ht="22.5" customHeight="1">
      <c r="B218" s="159"/>
      <c r="C218" s="210"/>
      <c r="D218" s="210"/>
      <c r="E218" s="211" t="s">
        <v>5</v>
      </c>
      <c r="F218" s="321" t="s">
        <v>1346</v>
      </c>
      <c r="G218" s="322"/>
      <c r="H218" s="322"/>
      <c r="I218" s="322"/>
      <c r="J218" s="210"/>
      <c r="K218" s="212">
        <v>2.208</v>
      </c>
      <c r="L218" s="210"/>
      <c r="M218" s="210"/>
      <c r="N218" s="210"/>
      <c r="O218" s="210"/>
      <c r="P218" s="210"/>
      <c r="Q218" s="210"/>
      <c r="R218" s="213"/>
      <c r="T218" s="164"/>
      <c r="U218" s="160"/>
      <c r="V218" s="160"/>
      <c r="W218" s="160"/>
      <c r="X218" s="160"/>
      <c r="Y218" s="160"/>
      <c r="Z218" s="160"/>
      <c r="AA218" s="165"/>
      <c r="AT218" s="166" t="s">
        <v>179</v>
      </c>
      <c r="AU218" s="166" t="s">
        <v>135</v>
      </c>
      <c r="AV218" s="11" t="s">
        <v>135</v>
      </c>
      <c r="AW218" s="11" t="s">
        <v>35</v>
      </c>
      <c r="AX218" s="11" t="s">
        <v>78</v>
      </c>
      <c r="AY218" s="166" t="s">
        <v>167</v>
      </c>
    </row>
    <row r="219" spans="2:51" s="13" customFormat="1" ht="22.5" customHeight="1">
      <c r="B219" s="186"/>
      <c r="C219" s="214"/>
      <c r="D219" s="214"/>
      <c r="E219" s="215" t="s">
        <v>5</v>
      </c>
      <c r="F219" s="323" t="s">
        <v>1278</v>
      </c>
      <c r="G219" s="324"/>
      <c r="H219" s="324"/>
      <c r="I219" s="324"/>
      <c r="J219" s="214"/>
      <c r="K219" s="216">
        <v>13.728</v>
      </c>
      <c r="L219" s="214"/>
      <c r="M219" s="214"/>
      <c r="N219" s="214"/>
      <c r="O219" s="214"/>
      <c r="P219" s="214"/>
      <c r="Q219" s="214"/>
      <c r="R219" s="217"/>
      <c r="T219" s="191"/>
      <c r="U219" s="187"/>
      <c r="V219" s="187"/>
      <c r="W219" s="187"/>
      <c r="X219" s="187"/>
      <c r="Y219" s="187"/>
      <c r="Z219" s="187"/>
      <c r="AA219" s="192"/>
      <c r="AT219" s="193" t="s">
        <v>179</v>
      </c>
      <c r="AU219" s="193" t="s">
        <v>135</v>
      </c>
      <c r="AV219" s="13" t="s">
        <v>184</v>
      </c>
      <c r="AW219" s="13" t="s">
        <v>35</v>
      </c>
      <c r="AX219" s="13" t="s">
        <v>78</v>
      </c>
      <c r="AY219" s="193" t="s">
        <v>167</v>
      </c>
    </row>
    <row r="220" spans="2:51" s="10" customFormat="1" ht="22.5" customHeight="1">
      <c r="B220" s="151"/>
      <c r="C220" s="206"/>
      <c r="D220" s="206"/>
      <c r="E220" s="207" t="s">
        <v>5</v>
      </c>
      <c r="F220" s="325" t="s">
        <v>1308</v>
      </c>
      <c r="G220" s="326"/>
      <c r="H220" s="326"/>
      <c r="I220" s="326"/>
      <c r="J220" s="206"/>
      <c r="K220" s="208" t="s">
        <v>5</v>
      </c>
      <c r="L220" s="206"/>
      <c r="M220" s="206"/>
      <c r="N220" s="206"/>
      <c r="O220" s="206"/>
      <c r="P220" s="206"/>
      <c r="Q220" s="206"/>
      <c r="R220" s="209"/>
      <c r="T220" s="156"/>
      <c r="U220" s="152"/>
      <c r="V220" s="152"/>
      <c r="W220" s="152"/>
      <c r="X220" s="152"/>
      <c r="Y220" s="152"/>
      <c r="Z220" s="152"/>
      <c r="AA220" s="157"/>
      <c r="AT220" s="158" t="s">
        <v>179</v>
      </c>
      <c r="AU220" s="158" t="s">
        <v>135</v>
      </c>
      <c r="AV220" s="10" t="s">
        <v>21</v>
      </c>
      <c r="AW220" s="10" t="s">
        <v>35</v>
      </c>
      <c r="AX220" s="10" t="s">
        <v>78</v>
      </c>
      <c r="AY220" s="158" t="s">
        <v>167</v>
      </c>
    </row>
    <row r="221" spans="2:51" s="11" customFormat="1" ht="22.5" customHeight="1">
      <c r="B221" s="159"/>
      <c r="C221" s="210"/>
      <c r="D221" s="210"/>
      <c r="E221" s="211" t="s">
        <v>5</v>
      </c>
      <c r="F221" s="321" t="s">
        <v>1347</v>
      </c>
      <c r="G221" s="322"/>
      <c r="H221" s="322"/>
      <c r="I221" s="322"/>
      <c r="J221" s="210"/>
      <c r="K221" s="212">
        <v>3.072</v>
      </c>
      <c r="L221" s="210"/>
      <c r="M221" s="210"/>
      <c r="N221" s="210"/>
      <c r="O221" s="210"/>
      <c r="P221" s="210"/>
      <c r="Q221" s="210"/>
      <c r="R221" s="213"/>
      <c r="T221" s="164"/>
      <c r="U221" s="160"/>
      <c r="V221" s="160"/>
      <c r="W221" s="160"/>
      <c r="X221" s="160"/>
      <c r="Y221" s="160"/>
      <c r="Z221" s="160"/>
      <c r="AA221" s="165"/>
      <c r="AT221" s="166" t="s">
        <v>179</v>
      </c>
      <c r="AU221" s="166" t="s">
        <v>135</v>
      </c>
      <c r="AV221" s="11" t="s">
        <v>135</v>
      </c>
      <c r="AW221" s="11" t="s">
        <v>35</v>
      </c>
      <c r="AX221" s="11" t="s">
        <v>78</v>
      </c>
      <c r="AY221" s="166" t="s">
        <v>167</v>
      </c>
    </row>
    <row r="222" spans="2:51" s="11" customFormat="1" ht="22.5" customHeight="1">
      <c r="B222" s="159"/>
      <c r="C222" s="210"/>
      <c r="D222" s="210"/>
      <c r="E222" s="211" t="s">
        <v>5</v>
      </c>
      <c r="F222" s="321" t="s">
        <v>1348</v>
      </c>
      <c r="G222" s="322"/>
      <c r="H222" s="322"/>
      <c r="I222" s="322"/>
      <c r="J222" s="210"/>
      <c r="K222" s="212">
        <v>2.304</v>
      </c>
      <c r="L222" s="210"/>
      <c r="M222" s="210"/>
      <c r="N222" s="210"/>
      <c r="O222" s="210"/>
      <c r="P222" s="210"/>
      <c r="Q222" s="210"/>
      <c r="R222" s="213"/>
      <c r="T222" s="164"/>
      <c r="U222" s="160"/>
      <c r="V222" s="160"/>
      <c r="W222" s="160"/>
      <c r="X222" s="160"/>
      <c r="Y222" s="160"/>
      <c r="Z222" s="160"/>
      <c r="AA222" s="165"/>
      <c r="AT222" s="166" t="s">
        <v>179</v>
      </c>
      <c r="AU222" s="166" t="s">
        <v>135</v>
      </c>
      <c r="AV222" s="11" t="s">
        <v>135</v>
      </c>
      <c r="AW222" s="11" t="s">
        <v>35</v>
      </c>
      <c r="AX222" s="11" t="s">
        <v>78</v>
      </c>
      <c r="AY222" s="166" t="s">
        <v>167</v>
      </c>
    </row>
    <row r="223" spans="2:51" s="11" customFormat="1" ht="22.5" customHeight="1">
      <c r="B223" s="159"/>
      <c r="C223" s="210"/>
      <c r="D223" s="210"/>
      <c r="E223" s="211" t="s">
        <v>5</v>
      </c>
      <c r="F223" s="321" t="s">
        <v>1333</v>
      </c>
      <c r="G223" s="322"/>
      <c r="H223" s="322"/>
      <c r="I223" s="322"/>
      <c r="J223" s="210"/>
      <c r="K223" s="212">
        <v>2.112</v>
      </c>
      <c r="L223" s="210"/>
      <c r="M223" s="210"/>
      <c r="N223" s="210"/>
      <c r="O223" s="210"/>
      <c r="P223" s="210"/>
      <c r="Q223" s="210"/>
      <c r="R223" s="213"/>
      <c r="T223" s="164"/>
      <c r="U223" s="160"/>
      <c r="V223" s="160"/>
      <c r="W223" s="160"/>
      <c r="X223" s="160"/>
      <c r="Y223" s="160"/>
      <c r="Z223" s="160"/>
      <c r="AA223" s="165"/>
      <c r="AT223" s="166" t="s">
        <v>179</v>
      </c>
      <c r="AU223" s="166" t="s">
        <v>135</v>
      </c>
      <c r="AV223" s="11" t="s">
        <v>135</v>
      </c>
      <c r="AW223" s="11" t="s">
        <v>35</v>
      </c>
      <c r="AX223" s="11" t="s">
        <v>78</v>
      </c>
      <c r="AY223" s="166" t="s">
        <v>167</v>
      </c>
    </row>
    <row r="224" spans="2:51" s="11" customFormat="1" ht="22.5" customHeight="1">
      <c r="B224" s="159"/>
      <c r="C224" s="210"/>
      <c r="D224" s="210"/>
      <c r="E224" s="211" t="s">
        <v>5</v>
      </c>
      <c r="F224" s="321" t="s">
        <v>1349</v>
      </c>
      <c r="G224" s="322"/>
      <c r="H224" s="322"/>
      <c r="I224" s="322"/>
      <c r="J224" s="210"/>
      <c r="K224" s="212">
        <v>21.12</v>
      </c>
      <c r="L224" s="210"/>
      <c r="M224" s="210"/>
      <c r="N224" s="210"/>
      <c r="O224" s="210"/>
      <c r="P224" s="210"/>
      <c r="Q224" s="210"/>
      <c r="R224" s="213"/>
      <c r="T224" s="164"/>
      <c r="U224" s="160"/>
      <c r="V224" s="160"/>
      <c r="W224" s="160"/>
      <c r="X224" s="160"/>
      <c r="Y224" s="160"/>
      <c r="Z224" s="160"/>
      <c r="AA224" s="165"/>
      <c r="AT224" s="166" t="s">
        <v>179</v>
      </c>
      <c r="AU224" s="166" t="s">
        <v>135</v>
      </c>
      <c r="AV224" s="11" t="s">
        <v>135</v>
      </c>
      <c r="AW224" s="11" t="s">
        <v>35</v>
      </c>
      <c r="AX224" s="11" t="s">
        <v>78</v>
      </c>
      <c r="AY224" s="166" t="s">
        <v>167</v>
      </c>
    </row>
    <row r="225" spans="2:51" s="13" customFormat="1" ht="22.5" customHeight="1">
      <c r="B225" s="186"/>
      <c r="C225" s="214"/>
      <c r="D225" s="214"/>
      <c r="E225" s="215" t="s">
        <v>5</v>
      </c>
      <c r="F225" s="323" t="s">
        <v>1278</v>
      </c>
      <c r="G225" s="324"/>
      <c r="H225" s="324"/>
      <c r="I225" s="324"/>
      <c r="J225" s="214"/>
      <c r="K225" s="216">
        <v>28.608</v>
      </c>
      <c r="L225" s="214"/>
      <c r="M225" s="214"/>
      <c r="N225" s="214"/>
      <c r="O225" s="214"/>
      <c r="P225" s="214"/>
      <c r="Q225" s="214"/>
      <c r="R225" s="217"/>
      <c r="T225" s="191"/>
      <c r="U225" s="187"/>
      <c r="V225" s="187"/>
      <c r="W225" s="187"/>
      <c r="X225" s="187"/>
      <c r="Y225" s="187"/>
      <c r="Z225" s="187"/>
      <c r="AA225" s="192"/>
      <c r="AT225" s="193" t="s">
        <v>179</v>
      </c>
      <c r="AU225" s="193" t="s">
        <v>135</v>
      </c>
      <c r="AV225" s="13" t="s">
        <v>184</v>
      </c>
      <c r="AW225" s="13" t="s">
        <v>35</v>
      </c>
      <c r="AX225" s="13" t="s">
        <v>78</v>
      </c>
      <c r="AY225" s="193" t="s">
        <v>167</v>
      </c>
    </row>
    <row r="226" spans="2:51" s="10" customFormat="1" ht="22.5" customHeight="1">
      <c r="B226" s="151"/>
      <c r="C226" s="206"/>
      <c r="D226" s="206"/>
      <c r="E226" s="207" t="s">
        <v>5</v>
      </c>
      <c r="F226" s="325" t="s">
        <v>1313</v>
      </c>
      <c r="G226" s="326"/>
      <c r="H226" s="326"/>
      <c r="I226" s="326"/>
      <c r="J226" s="206"/>
      <c r="K226" s="208" t="s">
        <v>5</v>
      </c>
      <c r="L226" s="206"/>
      <c r="M226" s="206"/>
      <c r="N226" s="206"/>
      <c r="O226" s="206"/>
      <c r="P226" s="206"/>
      <c r="Q226" s="206"/>
      <c r="R226" s="209"/>
      <c r="T226" s="156"/>
      <c r="U226" s="152"/>
      <c r="V226" s="152"/>
      <c r="W226" s="152"/>
      <c r="X226" s="152"/>
      <c r="Y226" s="152"/>
      <c r="Z226" s="152"/>
      <c r="AA226" s="157"/>
      <c r="AT226" s="158" t="s">
        <v>179</v>
      </c>
      <c r="AU226" s="158" t="s">
        <v>135</v>
      </c>
      <c r="AV226" s="10" t="s">
        <v>21</v>
      </c>
      <c r="AW226" s="10" t="s">
        <v>35</v>
      </c>
      <c r="AX226" s="10" t="s">
        <v>78</v>
      </c>
      <c r="AY226" s="158" t="s">
        <v>167</v>
      </c>
    </row>
    <row r="227" spans="2:51" s="11" customFormat="1" ht="22.5" customHeight="1">
      <c r="B227" s="159"/>
      <c r="C227" s="210"/>
      <c r="D227" s="210"/>
      <c r="E227" s="211" t="s">
        <v>5</v>
      </c>
      <c r="F227" s="321" t="s">
        <v>1334</v>
      </c>
      <c r="G227" s="322"/>
      <c r="H227" s="322"/>
      <c r="I227" s="322"/>
      <c r="J227" s="210"/>
      <c r="K227" s="212">
        <v>5.76</v>
      </c>
      <c r="L227" s="210"/>
      <c r="M227" s="210"/>
      <c r="N227" s="210"/>
      <c r="O227" s="210"/>
      <c r="P227" s="210"/>
      <c r="Q227" s="210"/>
      <c r="R227" s="213"/>
      <c r="T227" s="164"/>
      <c r="U227" s="160"/>
      <c r="V227" s="160"/>
      <c r="W227" s="160"/>
      <c r="X227" s="160"/>
      <c r="Y227" s="160"/>
      <c r="Z227" s="160"/>
      <c r="AA227" s="165"/>
      <c r="AT227" s="166" t="s">
        <v>179</v>
      </c>
      <c r="AU227" s="166" t="s">
        <v>135</v>
      </c>
      <c r="AV227" s="11" t="s">
        <v>135</v>
      </c>
      <c r="AW227" s="11" t="s">
        <v>35</v>
      </c>
      <c r="AX227" s="11" t="s">
        <v>78</v>
      </c>
      <c r="AY227" s="166" t="s">
        <v>167</v>
      </c>
    </row>
    <row r="228" spans="2:51" s="13" customFormat="1" ht="22.5" customHeight="1">
      <c r="B228" s="186"/>
      <c r="C228" s="214"/>
      <c r="D228" s="214"/>
      <c r="E228" s="215" t="s">
        <v>5</v>
      </c>
      <c r="F228" s="323" t="s">
        <v>1278</v>
      </c>
      <c r="G228" s="324"/>
      <c r="H228" s="324"/>
      <c r="I228" s="324"/>
      <c r="J228" s="214"/>
      <c r="K228" s="216">
        <v>5.76</v>
      </c>
      <c r="L228" s="214"/>
      <c r="M228" s="214"/>
      <c r="N228" s="214"/>
      <c r="O228" s="214"/>
      <c r="P228" s="214"/>
      <c r="Q228" s="214"/>
      <c r="R228" s="217"/>
      <c r="T228" s="191"/>
      <c r="U228" s="187"/>
      <c r="V228" s="187"/>
      <c r="W228" s="187"/>
      <c r="X228" s="187"/>
      <c r="Y228" s="187"/>
      <c r="Z228" s="187"/>
      <c r="AA228" s="192"/>
      <c r="AT228" s="193" t="s">
        <v>179</v>
      </c>
      <c r="AU228" s="193" t="s">
        <v>135</v>
      </c>
      <c r="AV228" s="13" t="s">
        <v>184</v>
      </c>
      <c r="AW228" s="13" t="s">
        <v>35</v>
      </c>
      <c r="AX228" s="13" t="s">
        <v>78</v>
      </c>
      <c r="AY228" s="193" t="s">
        <v>167</v>
      </c>
    </row>
    <row r="229" spans="2:51" s="10" customFormat="1" ht="22.5" customHeight="1">
      <c r="B229" s="151"/>
      <c r="C229" s="206"/>
      <c r="D229" s="206"/>
      <c r="E229" s="207" t="s">
        <v>5</v>
      </c>
      <c r="F229" s="325" t="s">
        <v>1315</v>
      </c>
      <c r="G229" s="326"/>
      <c r="H229" s="326"/>
      <c r="I229" s="326"/>
      <c r="J229" s="206"/>
      <c r="K229" s="208" t="s">
        <v>5</v>
      </c>
      <c r="L229" s="206"/>
      <c r="M229" s="206"/>
      <c r="N229" s="206"/>
      <c r="O229" s="206"/>
      <c r="P229" s="206"/>
      <c r="Q229" s="206"/>
      <c r="R229" s="209"/>
      <c r="T229" s="156"/>
      <c r="U229" s="152"/>
      <c r="V229" s="152"/>
      <c r="W229" s="152"/>
      <c r="X229" s="152"/>
      <c r="Y229" s="152"/>
      <c r="Z229" s="152"/>
      <c r="AA229" s="157"/>
      <c r="AT229" s="158" t="s">
        <v>179</v>
      </c>
      <c r="AU229" s="158" t="s">
        <v>135</v>
      </c>
      <c r="AV229" s="10" t="s">
        <v>21</v>
      </c>
      <c r="AW229" s="10" t="s">
        <v>35</v>
      </c>
      <c r="AX229" s="10" t="s">
        <v>78</v>
      </c>
      <c r="AY229" s="158" t="s">
        <v>167</v>
      </c>
    </row>
    <row r="230" spans="2:51" s="11" customFormat="1" ht="22.5" customHeight="1">
      <c r="B230" s="159"/>
      <c r="C230" s="210"/>
      <c r="D230" s="210"/>
      <c r="E230" s="211" t="s">
        <v>5</v>
      </c>
      <c r="F230" s="321" t="s">
        <v>1350</v>
      </c>
      <c r="G230" s="322"/>
      <c r="H230" s="322"/>
      <c r="I230" s="322"/>
      <c r="J230" s="210"/>
      <c r="K230" s="212">
        <v>3.936</v>
      </c>
      <c r="L230" s="210"/>
      <c r="M230" s="210"/>
      <c r="N230" s="210"/>
      <c r="O230" s="210"/>
      <c r="P230" s="210"/>
      <c r="Q230" s="210"/>
      <c r="R230" s="213"/>
      <c r="T230" s="164"/>
      <c r="U230" s="160"/>
      <c r="V230" s="160"/>
      <c r="W230" s="160"/>
      <c r="X230" s="160"/>
      <c r="Y230" s="160"/>
      <c r="Z230" s="160"/>
      <c r="AA230" s="165"/>
      <c r="AT230" s="166" t="s">
        <v>179</v>
      </c>
      <c r="AU230" s="166" t="s">
        <v>135</v>
      </c>
      <c r="AV230" s="11" t="s">
        <v>135</v>
      </c>
      <c r="AW230" s="11" t="s">
        <v>35</v>
      </c>
      <c r="AX230" s="11" t="s">
        <v>78</v>
      </c>
      <c r="AY230" s="166" t="s">
        <v>167</v>
      </c>
    </row>
    <row r="231" spans="2:51" s="11" customFormat="1" ht="22.5" customHeight="1">
      <c r="B231" s="159"/>
      <c r="C231" s="210"/>
      <c r="D231" s="210"/>
      <c r="E231" s="211" t="s">
        <v>5</v>
      </c>
      <c r="F231" s="321" t="s">
        <v>1336</v>
      </c>
      <c r="G231" s="322"/>
      <c r="H231" s="322"/>
      <c r="I231" s="322"/>
      <c r="J231" s="210"/>
      <c r="K231" s="212">
        <v>3.264</v>
      </c>
      <c r="L231" s="210"/>
      <c r="M231" s="210"/>
      <c r="N231" s="210"/>
      <c r="O231" s="210"/>
      <c r="P231" s="210"/>
      <c r="Q231" s="210"/>
      <c r="R231" s="213"/>
      <c r="T231" s="164"/>
      <c r="U231" s="160"/>
      <c r="V231" s="160"/>
      <c r="W231" s="160"/>
      <c r="X231" s="160"/>
      <c r="Y231" s="160"/>
      <c r="Z231" s="160"/>
      <c r="AA231" s="165"/>
      <c r="AT231" s="166" t="s">
        <v>179</v>
      </c>
      <c r="AU231" s="166" t="s">
        <v>135</v>
      </c>
      <c r="AV231" s="11" t="s">
        <v>135</v>
      </c>
      <c r="AW231" s="11" t="s">
        <v>35</v>
      </c>
      <c r="AX231" s="11" t="s">
        <v>78</v>
      </c>
      <c r="AY231" s="166" t="s">
        <v>167</v>
      </c>
    </row>
    <row r="232" spans="2:51" s="11" customFormat="1" ht="22.5" customHeight="1">
      <c r="B232" s="159"/>
      <c r="C232" s="210"/>
      <c r="D232" s="210"/>
      <c r="E232" s="211" t="s">
        <v>5</v>
      </c>
      <c r="F232" s="321" t="s">
        <v>1351</v>
      </c>
      <c r="G232" s="322"/>
      <c r="H232" s="322"/>
      <c r="I232" s="322"/>
      <c r="J232" s="210"/>
      <c r="K232" s="212">
        <v>2.688</v>
      </c>
      <c r="L232" s="210"/>
      <c r="M232" s="210"/>
      <c r="N232" s="210"/>
      <c r="O232" s="210"/>
      <c r="P232" s="210"/>
      <c r="Q232" s="210"/>
      <c r="R232" s="213"/>
      <c r="T232" s="164"/>
      <c r="U232" s="160"/>
      <c r="V232" s="160"/>
      <c r="W232" s="160"/>
      <c r="X232" s="160"/>
      <c r="Y232" s="160"/>
      <c r="Z232" s="160"/>
      <c r="AA232" s="165"/>
      <c r="AT232" s="166" t="s">
        <v>179</v>
      </c>
      <c r="AU232" s="166" t="s">
        <v>135</v>
      </c>
      <c r="AV232" s="11" t="s">
        <v>135</v>
      </c>
      <c r="AW232" s="11" t="s">
        <v>35</v>
      </c>
      <c r="AX232" s="11" t="s">
        <v>78</v>
      </c>
      <c r="AY232" s="166" t="s">
        <v>167</v>
      </c>
    </row>
    <row r="233" spans="2:51" s="11" customFormat="1" ht="22.5" customHeight="1">
      <c r="B233" s="159"/>
      <c r="C233" s="210"/>
      <c r="D233" s="210"/>
      <c r="E233" s="211" t="s">
        <v>5</v>
      </c>
      <c r="F233" s="321" t="s">
        <v>1352</v>
      </c>
      <c r="G233" s="322"/>
      <c r="H233" s="322"/>
      <c r="I233" s="322"/>
      <c r="J233" s="210"/>
      <c r="K233" s="212">
        <v>1.824</v>
      </c>
      <c r="L233" s="210"/>
      <c r="M233" s="210"/>
      <c r="N233" s="210"/>
      <c r="O233" s="210"/>
      <c r="P233" s="210"/>
      <c r="Q233" s="210"/>
      <c r="R233" s="213"/>
      <c r="T233" s="164"/>
      <c r="U233" s="160"/>
      <c r="V233" s="160"/>
      <c r="W233" s="160"/>
      <c r="X233" s="160"/>
      <c r="Y233" s="160"/>
      <c r="Z233" s="160"/>
      <c r="AA233" s="165"/>
      <c r="AT233" s="166" t="s">
        <v>179</v>
      </c>
      <c r="AU233" s="166" t="s">
        <v>135</v>
      </c>
      <c r="AV233" s="11" t="s">
        <v>135</v>
      </c>
      <c r="AW233" s="11" t="s">
        <v>35</v>
      </c>
      <c r="AX233" s="11" t="s">
        <v>78</v>
      </c>
      <c r="AY233" s="166" t="s">
        <v>167</v>
      </c>
    </row>
    <row r="234" spans="2:51" s="13" customFormat="1" ht="22.5" customHeight="1">
      <c r="B234" s="186"/>
      <c r="C234" s="214"/>
      <c r="D234" s="214"/>
      <c r="E234" s="215" t="s">
        <v>5</v>
      </c>
      <c r="F234" s="323" t="s">
        <v>1278</v>
      </c>
      <c r="G234" s="324"/>
      <c r="H234" s="324"/>
      <c r="I234" s="324"/>
      <c r="J234" s="214"/>
      <c r="K234" s="216">
        <v>11.712</v>
      </c>
      <c r="L234" s="214"/>
      <c r="M234" s="214"/>
      <c r="N234" s="214"/>
      <c r="O234" s="214"/>
      <c r="P234" s="214"/>
      <c r="Q234" s="214"/>
      <c r="R234" s="217"/>
      <c r="T234" s="191"/>
      <c r="U234" s="187"/>
      <c r="V234" s="187"/>
      <c r="W234" s="187"/>
      <c r="X234" s="187"/>
      <c r="Y234" s="187"/>
      <c r="Z234" s="187"/>
      <c r="AA234" s="192"/>
      <c r="AT234" s="193" t="s">
        <v>179</v>
      </c>
      <c r="AU234" s="193" t="s">
        <v>135</v>
      </c>
      <c r="AV234" s="13" t="s">
        <v>184</v>
      </c>
      <c r="AW234" s="13" t="s">
        <v>35</v>
      </c>
      <c r="AX234" s="13" t="s">
        <v>78</v>
      </c>
      <c r="AY234" s="193" t="s">
        <v>167</v>
      </c>
    </row>
    <row r="235" spans="2:51" s="10" customFormat="1" ht="22.5" customHeight="1">
      <c r="B235" s="151"/>
      <c r="C235" s="206"/>
      <c r="D235" s="206"/>
      <c r="E235" s="207" t="s">
        <v>5</v>
      </c>
      <c r="F235" s="325" t="s">
        <v>1320</v>
      </c>
      <c r="G235" s="326"/>
      <c r="H235" s="326"/>
      <c r="I235" s="326"/>
      <c r="J235" s="206"/>
      <c r="K235" s="208" t="s">
        <v>5</v>
      </c>
      <c r="L235" s="206"/>
      <c r="M235" s="206"/>
      <c r="N235" s="206"/>
      <c r="O235" s="206"/>
      <c r="P235" s="206"/>
      <c r="Q235" s="206"/>
      <c r="R235" s="209"/>
      <c r="T235" s="156"/>
      <c r="U235" s="152"/>
      <c r="V235" s="152"/>
      <c r="W235" s="152"/>
      <c r="X235" s="152"/>
      <c r="Y235" s="152"/>
      <c r="Z235" s="152"/>
      <c r="AA235" s="157"/>
      <c r="AT235" s="158" t="s">
        <v>179</v>
      </c>
      <c r="AU235" s="158" t="s">
        <v>135</v>
      </c>
      <c r="AV235" s="10" t="s">
        <v>21</v>
      </c>
      <c r="AW235" s="10" t="s">
        <v>35</v>
      </c>
      <c r="AX235" s="10" t="s">
        <v>78</v>
      </c>
      <c r="AY235" s="158" t="s">
        <v>167</v>
      </c>
    </row>
    <row r="236" spans="2:51" s="11" customFormat="1" ht="22.5" customHeight="1">
      <c r="B236" s="159"/>
      <c r="C236" s="210"/>
      <c r="D236" s="210"/>
      <c r="E236" s="211" t="s">
        <v>5</v>
      </c>
      <c r="F236" s="321" t="s">
        <v>1353</v>
      </c>
      <c r="G236" s="322"/>
      <c r="H236" s="322"/>
      <c r="I236" s="322"/>
      <c r="J236" s="210"/>
      <c r="K236" s="212">
        <v>7.68</v>
      </c>
      <c r="L236" s="210"/>
      <c r="M236" s="210"/>
      <c r="N236" s="210"/>
      <c r="O236" s="210"/>
      <c r="P236" s="210"/>
      <c r="Q236" s="210"/>
      <c r="R236" s="213"/>
      <c r="T236" s="164"/>
      <c r="U236" s="160"/>
      <c r="V236" s="160"/>
      <c r="W236" s="160"/>
      <c r="X236" s="160"/>
      <c r="Y236" s="160"/>
      <c r="Z236" s="160"/>
      <c r="AA236" s="165"/>
      <c r="AT236" s="166" t="s">
        <v>179</v>
      </c>
      <c r="AU236" s="166" t="s">
        <v>135</v>
      </c>
      <c r="AV236" s="11" t="s">
        <v>135</v>
      </c>
      <c r="AW236" s="11" t="s">
        <v>35</v>
      </c>
      <c r="AX236" s="11" t="s">
        <v>78</v>
      </c>
      <c r="AY236" s="166" t="s">
        <v>167</v>
      </c>
    </row>
    <row r="237" spans="2:51" s="13" customFormat="1" ht="22.5" customHeight="1">
      <c r="B237" s="186"/>
      <c r="C237" s="214"/>
      <c r="D237" s="214"/>
      <c r="E237" s="215" t="s">
        <v>5</v>
      </c>
      <c r="F237" s="323" t="s">
        <v>1278</v>
      </c>
      <c r="G237" s="324"/>
      <c r="H237" s="324"/>
      <c r="I237" s="324"/>
      <c r="J237" s="214"/>
      <c r="K237" s="216">
        <v>7.68</v>
      </c>
      <c r="L237" s="214"/>
      <c r="M237" s="214"/>
      <c r="N237" s="214"/>
      <c r="O237" s="214"/>
      <c r="P237" s="214"/>
      <c r="Q237" s="214"/>
      <c r="R237" s="217"/>
      <c r="T237" s="191"/>
      <c r="U237" s="187"/>
      <c r="V237" s="187"/>
      <c r="W237" s="187"/>
      <c r="X237" s="187"/>
      <c r="Y237" s="187"/>
      <c r="Z237" s="187"/>
      <c r="AA237" s="192"/>
      <c r="AT237" s="193" t="s">
        <v>179</v>
      </c>
      <c r="AU237" s="193" t="s">
        <v>135</v>
      </c>
      <c r="AV237" s="13" t="s">
        <v>184</v>
      </c>
      <c r="AW237" s="13" t="s">
        <v>35</v>
      </c>
      <c r="AX237" s="13" t="s">
        <v>78</v>
      </c>
      <c r="AY237" s="193" t="s">
        <v>167</v>
      </c>
    </row>
    <row r="238" spans="2:51" s="12" customFormat="1" ht="22.5" customHeight="1">
      <c r="B238" s="167"/>
      <c r="C238" s="218"/>
      <c r="D238" s="218"/>
      <c r="E238" s="219" t="s">
        <v>5</v>
      </c>
      <c r="F238" s="327" t="s">
        <v>183</v>
      </c>
      <c r="G238" s="328"/>
      <c r="H238" s="328"/>
      <c r="I238" s="328"/>
      <c r="J238" s="218"/>
      <c r="K238" s="220">
        <f>+K237+K234+K228+K225+K219+K215+K205+K197</f>
        <v>139.10399999999998</v>
      </c>
      <c r="L238" s="218"/>
      <c r="M238" s="218"/>
      <c r="N238" s="218"/>
      <c r="O238" s="218"/>
      <c r="P238" s="218"/>
      <c r="Q238" s="218"/>
      <c r="R238" s="221"/>
      <c r="T238" s="172"/>
      <c r="U238" s="168"/>
      <c r="V238" s="168"/>
      <c r="W238" s="168"/>
      <c r="X238" s="168"/>
      <c r="Y238" s="168"/>
      <c r="Z238" s="168"/>
      <c r="AA238" s="173"/>
      <c r="AT238" s="174" t="s">
        <v>179</v>
      </c>
      <c r="AU238" s="174" t="s">
        <v>135</v>
      </c>
      <c r="AV238" s="12" t="s">
        <v>172</v>
      </c>
      <c r="AW238" s="12" t="s">
        <v>35</v>
      </c>
      <c r="AX238" s="12" t="s">
        <v>21</v>
      </c>
      <c r="AY238" s="174" t="s">
        <v>167</v>
      </c>
    </row>
    <row r="239" spans="2:65" s="1" customFormat="1" ht="22.5" customHeight="1">
      <c r="B239" s="141"/>
      <c r="C239" s="201" t="s">
        <v>172</v>
      </c>
      <c r="D239" s="201" t="s">
        <v>168</v>
      </c>
      <c r="E239" s="202" t="s">
        <v>1354</v>
      </c>
      <c r="F239" s="317" t="s">
        <v>1355</v>
      </c>
      <c r="G239" s="317"/>
      <c r="H239" s="317"/>
      <c r="I239" s="317"/>
      <c r="J239" s="203" t="s">
        <v>259</v>
      </c>
      <c r="K239" s="204">
        <f>+K253</f>
        <v>2386.97</v>
      </c>
      <c r="L239" s="318">
        <v>0</v>
      </c>
      <c r="M239" s="318"/>
      <c r="N239" s="318">
        <f>ROUND(L239*K239,2)</f>
        <v>0</v>
      </c>
      <c r="O239" s="318"/>
      <c r="P239" s="318"/>
      <c r="Q239" s="318"/>
      <c r="R239" s="205"/>
      <c r="T239" s="147" t="s">
        <v>5</v>
      </c>
      <c r="U239" s="44" t="s">
        <v>43</v>
      </c>
      <c r="V239" s="148">
        <v>0.44</v>
      </c>
      <c r="W239" s="148">
        <f>V239*K239</f>
        <v>1050.2667999999999</v>
      </c>
      <c r="X239" s="148">
        <v>0</v>
      </c>
      <c r="Y239" s="148">
        <f>X239*K239</f>
        <v>0</v>
      </c>
      <c r="Z239" s="148">
        <v>0</v>
      </c>
      <c r="AA239" s="149">
        <f>Z239*K239</f>
        <v>0</v>
      </c>
      <c r="AR239" s="21" t="s">
        <v>172</v>
      </c>
      <c r="AT239" s="21" t="s">
        <v>168</v>
      </c>
      <c r="AU239" s="21" t="s">
        <v>135</v>
      </c>
      <c r="AY239" s="21" t="s">
        <v>167</v>
      </c>
      <c r="BE239" s="150">
        <f>IF(U239="základní",N239,0)</f>
        <v>0</v>
      </c>
      <c r="BF239" s="150">
        <f>IF(U239="snížená",N239,0)</f>
        <v>0</v>
      </c>
      <c r="BG239" s="150">
        <f>IF(U239="zákl. přenesená",N239,0)</f>
        <v>0</v>
      </c>
      <c r="BH239" s="150">
        <f>IF(U239="sníž. přenesená",N239,0)</f>
        <v>0</v>
      </c>
      <c r="BI239" s="150">
        <f>IF(U239="nulová",N239,0)</f>
        <v>0</v>
      </c>
      <c r="BJ239" s="21" t="s">
        <v>21</v>
      </c>
      <c r="BK239" s="150">
        <f>ROUND(L239*K239,2)</f>
        <v>0</v>
      </c>
      <c r="BL239" s="21" t="s">
        <v>172</v>
      </c>
      <c r="BM239" s="21" t="s">
        <v>1356</v>
      </c>
    </row>
    <row r="240" spans="2:51" s="10" customFormat="1" ht="22.5" customHeight="1">
      <c r="B240" s="151"/>
      <c r="C240" s="206"/>
      <c r="D240" s="206"/>
      <c r="E240" s="207" t="s">
        <v>5</v>
      </c>
      <c r="F240" s="319" t="s">
        <v>1357</v>
      </c>
      <c r="G240" s="320"/>
      <c r="H240" s="320"/>
      <c r="I240" s="320"/>
      <c r="J240" s="206"/>
      <c r="K240" s="208" t="s">
        <v>5</v>
      </c>
      <c r="L240" s="206"/>
      <c r="M240" s="206"/>
      <c r="N240" s="206"/>
      <c r="O240" s="206"/>
      <c r="P240" s="206"/>
      <c r="Q240" s="206"/>
      <c r="R240" s="209"/>
      <c r="T240" s="156"/>
      <c r="U240" s="152"/>
      <c r="V240" s="152"/>
      <c r="W240" s="152"/>
      <c r="X240" s="152"/>
      <c r="Y240" s="152"/>
      <c r="Z240" s="152"/>
      <c r="AA240" s="157"/>
      <c r="AT240" s="158" t="s">
        <v>179</v>
      </c>
      <c r="AU240" s="158" t="s">
        <v>135</v>
      </c>
      <c r="AV240" s="10" t="s">
        <v>21</v>
      </c>
      <c r="AW240" s="10" t="s">
        <v>35</v>
      </c>
      <c r="AX240" s="10" t="s">
        <v>78</v>
      </c>
      <c r="AY240" s="158" t="s">
        <v>167</v>
      </c>
    </row>
    <row r="241" spans="2:51" s="11" customFormat="1" ht="22.5" customHeight="1">
      <c r="B241" s="159"/>
      <c r="C241" s="210"/>
      <c r="D241" s="210"/>
      <c r="E241" s="211" t="s">
        <v>5</v>
      </c>
      <c r="F241" s="321" t="s">
        <v>1358</v>
      </c>
      <c r="G241" s="322"/>
      <c r="H241" s="322"/>
      <c r="I241" s="322"/>
      <c r="J241" s="210"/>
      <c r="K241" s="212">
        <v>124</v>
      </c>
      <c r="L241" s="210"/>
      <c r="M241" s="210"/>
      <c r="N241" s="210"/>
      <c r="O241" s="210"/>
      <c r="P241" s="210"/>
      <c r="Q241" s="210"/>
      <c r="R241" s="213"/>
      <c r="T241" s="164"/>
      <c r="U241" s="160"/>
      <c r="V241" s="160"/>
      <c r="W241" s="160"/>
      <c r="X241" s="160"/>
      <c r="Y241" s="160"/>
      <c r="Z241" s="160"/>
      <c r="AA241" s="165"/>
      <c r="AT241" s="166" t="s">
        <v>179</v>
      </c>
      <c r="AU241" s="166" t="s">
        <v>135</v>
      </c>
      <c r="AV241" s="11" t="s">
        <v>135</v>
      </c>
      <c r="AW241" s="11" t="s">
        <v>35</v>
      </c>
      <c r="AX241" s="11" t="s">
        <v>78</v>
      </c>
      <c r="AY241" s="166" t="s">
        <v>167</v>
      </c>
    </row>
    <row r="242" spans="2:51" s="11" customFormat="1" ht="22.5" customHeight="1">
      <c r="B242" s="159"/>
      <c r="C242" s="210"/>
      <c r="D242" s="210"/>
      <c r="E242" s="211" t="s">
        <v>5</v>
      </c>
      <c r="F242" s="321" t="s">
        <v>1359</v>
      </c>
      <c r="G242" s="322"/>
      <c r="H242" s="322"/>
      <c r="I242" s="322"/>
      <c r="J242" s="210"/>
      <c r="K242" s="212">
        <v>561.82</v>
      </c>
      <c r="L242" s="210"/>
      <c r="M242" s="210"/>
      <c r="N242" s="210"/>
      <c r="O242" s="210"/>
      <c r="P242" s="210"/>
      <c r="Q242" s="210"/>
      <c r="R242" s="213"/>
      <c r="T242" s="164"/>
      <c r="U242" s="160"/>
      <c r="V242" s="160"/>
      <c r="W242" s="160"/>
      <c r="X242" s="160"/>
      <c r="Y242" s="160"/>
      <c r="Z242" s="160"/>
      <c r="AA242" s="165"/>
      <c r="AT242" s="166" t="s">
        <v>179</v>
      </c>
      <c r="AU242" s="166" t="s">
        <v>135</v>
      </c>
      <c r="AV242" s="11" t="s">
        <v>135</v>
      </c>
      <c r="AW242" s="11" t="s">
        <v>35</v>
      </c>
      <c r="AX242" s="11" t="s">
        <v>78</v>
      </c>
      <c r="AY242" s="166" t="s">
        <v>167</v>
      </c>
    </row>
    <row r="243" spans="2:51" s="11" customFormat="1" ht="22.5" customHeight="1">
      <c r="B243" s="159"/>
      <c r="C243" s="210"/>
      <c r="D243" s="210"/>
      <c r="E243" s="211" t="s">
        <v>5</v>
      </c>
      <c r="F243" s="321" t="s">
        <v>2222</v>
      </c>
      <c r="G243" s="322"/>
      <c r="H243" s="322"/>
      <c r="I243" s="322"/>
      <c r="J243" s="210"/>
      <c r="K243" s="212">
        <f>603-242</f>
        <v>361</v>
      </c>
      <c r="L243" s="210"/>
      <c r="M243" s="210"/>
      <c r="N243" s="210"/>
      <c r="O243" s="210"/>
      <c r="P243" s="210"/>
      <c r="Q243" s="210"/>
      <c r="R243" s="213"/>
      <c r="T243" s="164"/>
      <c r="U243" s="160"/>
      <c r="V243" s="160"/>
      <c r="W243" s="160"/>
      <c r="X243" s="160"/>
      <c r="Y243" s="160"/>
      <c r="Z243" s="160"/>
      <c r="AA243" s="165"/>
      <c r="AT243" s="166" t="s">
        <v>179</v>
      </c>
      <c r="AU243" s="166" t="s">
        <v>135</v>
      </c>
      <c r="AV243" s="11" t="s">
        <v>135</v>
      </c>
      <c r="AW243" s="11" t="s">
        <v>35</v>
      </c>
      <c r="AX243" s="11" t="s">
        <v>78</v>
      </c>
      <c r="AY243" s="166" t="s">
        <v>167</v>
      </c>
    </row>
    <row r="244" spans="2:51" s="11" customFormat="1" ht="22.5" customHeight="1">
      <c r="B244" s="159"/>
      <c r="C244" s="210"/>
      <c r="D244" s="210"/>
      <c r="E244" s="211" t="s">
        <v>5</v>
      </c>
      <c r="F244" s="321" t="s">
        <v>1360</v>
      </c>
      <c r="G244" s="322"/>
      <c r="H244" s="322"/>
      <c r="I244" s="322"/>
      <c r="J244" s="210"/>
      <c r="K244" s="212">
        <v>267.8</v>
      </c>
      <c r="L244" s="210"/>
      <c r="M244" s="210"/>
      <c r="N244" s="210"/>
      <c r="O244" s="210"/>
      <c r="P244" s="210"/>
      <c r="Q244" s="210"/>
      <c r="R244" s="213"/>
      <c r="T244" s="164"/>
      <c r="U244" s="160"/>
      <c r="V244" s="160"/>
      <c r="W244" s="160"/>
      <c r="X244" s="160"/>
      <c r="Y244" s="160"/>
      <c r="Z244" s="160"/>
      <c r="AA244" s="165"/>
      <c r="AT244" s="166" t="s">
        <v>179</v>
      </c>
      <c r="AU244" s="166" t="s">
        <v>135</v>
      </c>
      <c r="AV244" s="11" t="s">
        <v>135</v>
      </c>
      <c r="AW244" s="11" t="s">
        <v>35</v>
      </c>
      <c r="AX244" s="11" t="s">
        <v>78</v>
      </c>
      <c r="AY244" s="166" t="s">
        <v>167</v>
      </c>
    </row>
    <row r="245" spans="2:51" s="11" customFormat="1" ht="22.5" customHeight="1">
      <c r="B245" s="159"/>
      <c r="C245" s="210"/>
      <c r="D245" s="210"/>
      <c r="E245" s="211" t="s">
        <v>5</v>
      </c>
      <c r="F245" s="321" t="s">
        <v>1361</v>
      </c>
      <c r="G245" s="322"/>
      <c r="H245" s="322"/>
      <c r="I245" s="322"/>
      <c r="J245" s="210"/>
      <c r="K245" s="212">
        <v>495</v>
      </c>
      <c r="L245" s="210"/>
      <c r="M245" s="210"/>
      <c r="N245" s="210"/>
      <c r="O245" s="210"/>
      <c r="P245" s="210"/>
      <c r="Q245" s="210"/>
      <c r="R245" s="213"/>
      <c r="T245" s="164"/>
      <c r="U245" s="160"/>
      <c r="V245" s="160"/>
      <c r="W245" s="160"/>
      <c r="X245" s="160"/>
      <c r="Y245" s="160"/>
      <c r="Z245" s="160"/>
      <c r="AA245" s="165"/>
      <c r="AT245" s="166" t="s">
        <v>179</v>
      </c>
      <c r="AU245" s="166" t="s">
        <v>135</v>
      </c>
      <c r="AV245" s="11" t="s">
        <v>135</v>
      </c>
      <c r="AW245" s="11" t="s">
        <v>35</v>
      </c>
      <c r="AX245" s="11" t="s">
        <v>78</v>
      </c>
      <c r="AY245" s="166" t="s">
        <v>167</v>
      </c>
    </row>
    <row r="246" spans="2:51" s="11" customFormat="1" ht="22.5" customHeight="1">
      <c r="B246" s="159"/>
      <c r="C246" s="210"/>
      <c r="D246" s="210"/>
      <c r="E246" s="211" t="s">
        <v>5</v>
      </c>
      <c r="F246" s="321" t="s">
        <v>1362</v>
      </c>
      <c r="G246" s="322"/>
      <c r="H246" s="322"/>
      <c r="I246" s="322"/>
      <c r="J246" s="210"/>
      <c r="K246" s="212">
        <v>96</v>
      </c>
      <c r="L246" s="210"/>
      <c r="M246" s="210"/>
      <c r="N246" s="210"/>
      <c r="O246" s="210"/>
      <c r="P246" s="210"/>
      <c r="Q246" s="210"/>
      <c r="R246" s="213"/>
      <c r="T246" s="164"/>
      <c r="U246" s="160"/>
      <c r="V246" s="160"/>
      <c r="W246" s="160"/>
      <c r="X246" s="160"/>
      <c r="Y246" s="160"/>
      <c r="Z246" s="160"/>
      <c r="AA246" s="165"/>
      <c r="AT246" s="166" t="s">
        <v>179</v>
      </c>
      <c r="AU246" s="166" t="s">
        <v>135</v>
      </c>
      <c r="AV246" s="11" t="s">
        <v>135</v>
      </c>
      <c r="AW246" s="11" t="s">
        <v>35</v>
      </c>
      <c r="AX246" s="11" t="s">
        <v>78</v>
      </c>
      <c r="AY246" s="166" t="s">
        <v>167</v>
      </c>
    </row>
    <row r="247" spans="2:51" s="11" customFormat="1" ht="22.5" customHeight="1">
      <c r="B247" s="159"/>
      <c r="C247" s="210"/>
      <c r="D247" s="210"/>
      <c r="E247" s="211" t="s">
        <v>5</v>
      </c>
      <c r="F247" s="321" t="s">
        <v>1363</v>
      </c>
      <c r="G247" s="322"/>
      <c r="H247" s="322"/>
      <c r="I247" s="322"/>
      <c r="J247" s="210"/>
      <c r="K247" s="212">
        <v>167</v>
      </c>
      <c r="L247" s="210"/>
      <c r="M247" s="210"/>
      <c r="N247" s="210"/>
      <c r="O247" s="210"/>
      <c r="P247" s="210"/>
      <c r="Q247" s="210"/>
      <c r="R247" s="213"/>
      <c r="T247" s="164"/>
      <c r="U247" s="160"/>
      <c r="V247" s="160"/>
      <c r="W247" s="160"/>
      <c r="X247" s="160"/>
      <c r="Y247" s="160"/>
      <c r="Z247" s="160"/>
      <c r="AA247" s="165"/>
      <c r="AT247" s="166" t="s">
        <v>179</v>
      </c>
      <c r="AU247" s="166" t="s">
        <v>135</v>
      </c>
      <c r="AV247" s="11" t="s">
        <v>135</v>
      </c>
      <c r="AW247" s="11" t="s">
        <v>35</v>
      </c>
      <c r="AX247" s="11" t="s">
        <v>78</v>
      </c>
      <c r="AY247" s="166" t="s">
        <v>167</v>
      </c>
    </row>
    <row r="248" spans="2:51" s="11" customFormat="1" ht="22.5" customHeight="1">
      <c r="B248" s="159"/>
      <c r="C248" s="210"/>
      <c r="D248" s="210"/>
      <c r="E248" s="211" t="s">
        <v>5</v>
      </c>
      <c r="F248" s="321" t="s">
        <v>1364</v>
      </c>
      <c r="G248" s="322"/>
      <c r="H248" s="322"/>
      <c r="I248" s="322"/>
      <c r="J248" s="210"/>
      <c r="K248" s="212">
        <v>184</v>
      </c>
      <c r="L248" s="210"/>
      <c r="M248" s="210"/>
      <c r="N248" s="210"/>
      <c r="O248" s="210"/>
      <c r="P248" s="210"/>
      <c r="Q248" s="210"/>
      <c r="R248" s="213"/>
      <c r="T248" s="164"/>
      <c r="U248" s="160"/>
      <c r="V248" s="160"/>
      <c r="W248" s="160"/>
      <c r="X248" s="160"/>
      <c r="Y248" s="160"/>
      <c r="Z248" s="160"/>
      <c r="AA248" s="165"/>
      <c r="AT248" s="166" t="s">
        <v>179</v>
      </c>
      <c r="AU248" s="166" t="s">
        <v>135</v>
      </c>
      <c r="AV248" s="11" t="s">
        <v>135</v>
      </c>
      <c r="AW248" s="11" t="s">
        <v>35</v>
      </c>
      <c r="AX248" s="11" t="s">
        <v>78</v>
      </c>
      <c r="AY248" s="166" t="s">
        <v>167</v>
      </c>
    </row>
    <row r="249" spans="2:51" s="13" customFormat="1" ht="22.5" customHeight="1">
      <c r="B249" s="186"/>
      <c r="C249" s="214"/>
      <c r="D249" s="214"/>
      <c r="E249" s="215" t="s">
        <v>5</v>
      </c>
      <c r="F249" s="323" t="s">
        <v>1278</v>
      </c>
      <c r="G249" s="324"/>
      <c r="H249" s="324"/>
      <c r="I249" s="324"/>
      <c r="J249" s="214"/>
      <c r="K249" s="216">
        <f>SUM(K241:K248)</f>
        <v>2256.62</v>
      </c>
      <c r="L249" s="214"/>
      <c r="M249" s="214"/>
      <c r="N249" s="214"/>
      <c r="O249" s="214"/>
      <c r="P249" s="214"/>
      <c r="Q249" s="214"/>
      <c r="R249" s="217"/>
      <c r="T249" s="191"/>
      <c r="U249" s="187"/>
      <c r="V249" s="187"/>
      <c r="W249" s="187"/>
      <c r="X249" s="187"/>
      <c r="Y249" s="187"/>
      <c r="Z249" s="187"/>
      <c r="AA249" s="192"/>
      <c r="AT249" s="193" t="s">
        <v>179</v>
      </c>
      <c r="AU249" s="193" t="s">
        <v>135</v>
      </c>
      <c r="AV249" s="13" t="s">
        <v>184</v>
      </c>
      <c r="AW249" s="13" t="s">
        <v>35</v>
      </c>
      <c r="AX249" s="13" t="s">
        <v>78</v>
      </c>
      <c r="AY249" s="193" t="s">
        <v>167</v>
      </c>
    </row>
    <row r="250" spans="2:51" s="10" customFormat="1" ht="22.5" customHeight="1">
      <c r="B250" s="151"/>
      <c r="C250" s="206"/>
      <c r="D250" s="206"/>
      <c r="E250" s="207" t="s">
        <v>5</v>
      </c>
      <c r="F250" s="325" t="s">
        <v>1365</v>
      </c>
      <c r="G250" s="326"/>
      <c r="H250" s="326"/>
      <c r="I250" s="326"/>
      <c r="J250" s="206"/>
      <c r="K250" s="208" t="s">
        <v>5</v>
      </c>
      <c r="L250" s="206"/>
      <c r="M250" s="206"/>
      <c r="N250" s="206"/>
      <c r="O250" s="206"/>
      <c r="P250" s="206"/>
      <c r="Q250" s="206"/>
      <c r="R250" s="209"/>
      <c r="T250" s="156"/>
      <c r="U250" s="152"/>
      <c r="V250" s="152"/>
      <c r="W250" s="152"/>
      <c r="X250" s="152"/>
      <c r="Y250" s="152"/>
      <c r="Z250" s="152"/>
      <c r="AA250" s="157"/>
      <c r="AT250" s="158" t="s">
        <v>179</v>
      </c>
      <c r="AU250" s="158" t="s">
        <v>135</v>
      </c>
      <c r="AV250" s="10" t="s">
        <v>21</v>
      </c>
      <c r="AW250" s="10" t="s">
        <v>35</v>
      </c>
      <c r="AX250" s="10" t="s">
        <v>78</v>
      </c>
      <c r="AY250" s="158" t="s">
        <v>167</v>
      </c>
    </row>
    <row r="251" spans="2:51" s="11" customFormat="1" ht="22.5" customHeight="1">
      <c r="B251" s="159"/>
      <c r="C251" s="210"/>
      <c r="D251" s="210"/>
      <c r="E251" s="211" t="s">
        <v>5</v>
      </c>
      <c r="F251" s="321" t="s">
        <v>1366</v>
      </c>
      <c r="G251" s="322"/>
      <c r="H251" s="322"/>
      <c r="I251" s="322"/>
      <c r="J251" s="210"/>
      <c r="K251" s="212">
        <v>130.35</v>
      </c>
      <c r="L251" s="210"/>
      <c r="M251" s="210"/>
      <c r="N251" s="210"/>
      <c r="O251" s="210"/>
      <c r="P251" s="210"/>
      <c r="Q251" s="210"/>
      <c r="R251" s="213"/>
      <c r="T251" s="164"/>
      <c r="U251" s="160"/>
      <c r="V251" s="160"/>
      <c r="W251" s="160"/>
      <c r="X251" s="160"/>
      <c r="Y251" s="160"/>
      <c r="Z251" s="160"/>
      <c r="AA251" s="165"/>
      <c r="AT251" s="166" t="s">
        <v>179</v>
      </c>
      <c r="AU251" s="166" t="s">
        <v>135</v>
      </c>
      <c r="AV251" s="11" t="s">
        <v>135</v>
      </c>
      <c r="AW251" s="11" t="s">
        <v>35</v>
      </c>
      <c r="AX251" s="11" t="s">
        <v>78</v>
      </c>
      <c r="AY251" s="166" t="s">
        <v>167</v>
      </c>
    </row>
    <row r="252" spans="2:51" s="13" customFormat="1" ht="22.5" customHeight="1">
      <c r="B252" s="186"/>
      <c r="C252" s="214"/>
      <c r="D252" s="214"/>
      <c r="E252" s="215" t="s">
        <v>5</v>
      </c>
      <c r="F252" s="323" t="s">
        <v>1278</v>
      </c>
      <c r="G252" s="324"/>
      <c r="H252" s="324"/>
      <c r="I252" s="324"/>
      <c r="J252" s="214"/>
      <c r="K252" s="216">
        <v>130.35</v>
      </c>
      <c r="L252" s="214"/>
      <c r="M252" s="214"/>
      <c r="N252" s="214"/>
      <c r="O252" s="214"/>
      <c r="P252" s="214"/>
      <c r="Q252" s="214"/>
      <c r="R252" s="217"/>
      <c r="T252" s="191"/>
      <c r="U252" s="187"/>
      <c r="V252" s="187"/>
      <c r="W252" s="187"/>
      <c r="X252" s="187"/>
      <c r="Y252" s="187"/>
      <c r="Z252" s="187"/>
      <c r="AA252" s="192"/>
      <c r="AT252" s="193" t="s">
        <v>179</v>
      </c>
      <c r="AU252" s="193" t="s">
        <v>135</v>
      </c>
      <c r="AV252" s="13" t="s">
        <v>184</v>
      </c>
      <c r="AW252" s="13" t="s">
        <v>35</v>
      </c>
      <c r="AX252" s="13" t="s">
        <v>78</v>
      </c>
      <c r="AY252" s="193" t="s">
        <v>167</v>
      </c>
    </row>
    <row r="253" spans="2:51" s="12" customFormat="1" ht="22.5" customHeight="1">
      <c r="B253" s="167"/>
      <c r="C253" s="218"/>
      <c r="D253" s="218"/>
      <c r="E253" s="219" t="s">
        <v>5</v>
      </c>
      <c r="F253" s="327" t="s">
        <v>183</v>
      </c>
      <c r="G253" s="328"/>
      <c r="H253" s="328"/>
      <c r="I253" s="328"/>
      <c r="J253" s="218"/>
      <c r="K253" s="220">
        <f>+K249+K252</f>
        <v>2386.97</v>
      </c>
      <c r="L253" s="218"/>
      <c r="M253" s="218"/>
      <c r="N253" s="218"/>
      <c r="O253" s="218"/>
      <c r="P253" s="218"/>
      <c r="Q253" s="218"/>
      <c r="R253" s="221"/>
      <c r="T253" s="172"/>
      <c r="U253" s="168"/>
      <c r="V253" s="168"/>
      <c r="W253" s="168"/>
      <c r="X253" s="168"/>
      <c r="Y253" s="168"/>
      <c r="Z253" s="168"/>
      <c r="AA253" s="173"/>
      <c r="AT253" s="174" t="s">
        <v>179</v>
      </c>
      <c r="AU253" s="174" t="s">
        <v>135</v>
      </c>
      <c r="AV253" s="12" t="s">
        <v>172</v>
      </c>
      <c r="AW253" s="12" t="s">
        <v>35</v>
      </c>
      <c r="AX253" s="12" t="s">
        <v>21</v>
      </c>
      <c r="AY253" s="174" t="s">
        <v>167</v>
      </c>
    </row>
    <row r="254" spans="2:65" s="1" customFormat="1" ht="22.5" customHeight="1">
      <c r="B254" s="141"/>
      <c r="C254" s="201" t="s">
        <v>196</v>
      </c>
      <c r="D254" s="201" t="s">
        <v>168</v>
      </c>
      <c r="E254" s="202" t="s">
        <v>1367</v>
      </c>
      <c r="F254" s="317" t="s">
        <v>1368</v>
      </c>
      <c r="G254" s="317"/>
      <c r="H254" s="317"/>
      <c r="I254" s="317"/>
      <c r="J254" s="203" t="s">
        <v>595</v>
      </c>
      <c r="K254" s="204">
        <f>+K263</f>
        <v>61</v>
      </c>
      <c r="L254" s="318">
        <v>0</v>
      </c>
      <c r="M254" s="318"/>
      <c r="N254" s="318">
        <f>ROUND(L254*K254,2)</f>
        <v>0</v>
      </c>
      <c r="O254" s="318"/>
      <c r="P254" s="318"/>
      <c r="Q254" s="318"/>
      <c r="R254" s="205"/>
      <c r="T254" s="147" t="s">
        <v>5</v>
      </c>
      <c r="U254" s="44" t="s">
        <v>43</v>
      </c>
      <c r="V254" s="148">
        <v>0.44</v>
      </c>
      <c r="W254" s="148">
        <f>V254*K254</f>
        <v>26.84</v>
      </c>
      <c r="X254" s="148">
        <v>0</v>
      </c>
      <c r="Y254" s="148">
        <f>X254*K254</f>
        <v>0</v>
      </c>
      <c r="Z254" s="148">
        <v>0</v>
      </c>
      <c r="AA254" s="149">
        <f>Z254*K254</f>
        <v>0</v>
      </c>
      <c r="AR254" s="21" t="s">
        <v>172</v>
      </c>
      <c r="AT254" s="21" t="s">
        <v>168</v>
      </c>
      <c r="AU254" s="21" t="s">
        <v>135</v>
      </c>
      <c r="AY254" s="21" t="s">
        <v>167</v>
      </c>
      <c r="BE254" s="150">
        <f>IF(U254="základní",N254,0)</f>
        <v>0</v>
      </c>
      <c r="BF254" s="150">
        <f>IF(U254="snížená",N254,0)</f>
        <v>0</v>
      </c>
      <c r="BG254" s="150">
        <f>IF(U254="zákl. přenesená",N254,0)</f>
        <v>0</v>
      </c>
      <c r="BH254" s="150">
        <f>IF(U254="sníž. přenesená",N254,0)</f>
        <v>0</v>
      </c>
      <c r="BI254" s="150">
        <f>IF(U254="nulová",N254,0)</f>
        <v>0</v>
      </c>
      <c r="BJ254" s="21" t="s">
        <v>21</v>
      </c>
      <c r="BK254" s="150">
        <f>ROUND(L254*K254,2)</f>
        <v>0</v>
      </c>
      <c r="BL254" s="21" t="s">
        <v>172</v>
      </c>
      <c r="BM254" s="21" t="s">
        <v>1369</v>
      </c>
    </row>
    <row r="255" spans="2:51" s="11" customFormat="1" ht="22.5" customHeight="1">
      <c r="B255" s="159"/>
      <c r="C255" s="210"/>
      <c r="D255" s="210"/>
      <c r="E255" s="211" t="s">
        <v>5</v>
      </c>
      <c r="F255" s="329" t="s">
        <v>1370</v>
      </c>
      <c r="G255" s="330"/>
      <c r="H255" s="330"/>
      <c r="I255" s="330"/>
      <c r="J255" s="210"/>
      <c r="K255" s="212">
        <v>5</v>
      </c>
      <c r="L255" s="210"/>
      <c r="M255" s="210"/>
      <c r="N255" s="210"/>
      <c r="O255" s="210"/>
      <c r="P255" s="210"/>
      <c r="Q255" s="210"/>
      <c r="R255" s="213"/>
      <c r="T255" s="164"/>
      <c r="U255" s="160"/>
      <c r="V255" s="160"/>
      <c r="W255" s="160"/>
      <c r="X255" s="160"/>
      <c r="Y255" s="160"/>
      <c r="Z255" s="160"/>
      <c r="AA255" s="165"/>
      <c r="AT255" s="166" t="s">
        <v>179</v>
      </c>
      <c r="AU255" s="166" t="s">
        <v>135</v>
      </c>
      <c r="AV255" s="11" t="s">
        <v>135</v>
      </c>
      <c r="AW255" s="11" t="s">
        <v>35</v>
      </c>
      <c r="AX255" s="11" t="s">
        <v>78</v>
      </c>
      <c r="AY255" s="166" t="s">
        <v>167</v>
      </c>
    </row>
    <row r="256" spans="2:51" s="11" customFormat="1" ht="22.5" customHeight="1">
      <c r="B256" s="159"/>
      <c r="C256" s="210"/>
      <c r="D256" s="210"/>
      <c r="E256" s="211" t="s">
        <v>5</v>
      </c>
      <c r="F256" s="321" t="s">
        <v>2201</v>
      </c>
      <c r="G256" s="322"/>
      <c r="H256" s="322"/>
      <c r="I256" s="322"/>
      <c r="J256" s="210"/>
      <c r="K256" s="212">
        <v>10</v>
      </c>
      <c r="L256" s="210"/>
      <c r="M256" s="210"/>
      <c r="N256" s="210"/>
      <c r="O256" s="210"/>
      <c r="P256" s="210"/>
      <c r="Q256" s="210"/>
      <c r="R256" s="213"/>
      <c r="T256" s="164"/>
      <c r="U256" s="160"/>
      <c r="V256" s="160"/>
      <c r="W256" s="160"/>
      <c r="X256" s="160"/>
      <c r="Y256" s="160"/>
      <c r="Z256" s="160"/>
      <c r="AA256" s="165"/>
      <c r="AT256" s="166" t="s">
        <v>179</v>
      </c>
      <c r="AU256" s="166" t="s">
        <v>135</v>
      </c>
      <c r="AV256" s="11" t="s">
        <v>135</v>
      </c>
      <c r="AW256" s="11" t="s">
        <v>35</v>
      </c>
      <c r="AX256" s="11" t="s">
        <v>78</v>
      </c>
      <c r="AY256" s="166" t="s">
        <v>167</v>
      </c>
    </row>
    <row r="257" spans="2:51" s="11" customFormat="1" ht="22.5" customHeight="1">
      <c r="B257" s="159"/>
      <c r="C257" s="210"/>
      <c r="D257" s="210"/>
      <c r="E257" s="211" t="s">
        <v>5</v>
      </c>
      <c r="F257" s="321" t="s">
        <v>1371</v>
      </c>
      <c r="G257" s="322"/>
      <c r="H257" s="322"/>
      <c r="I257" s="322"/>
      <c r="J257" s="210"/>
      <c r="K257" s="212">
        <v>14</v>
      </c>
      <c r="L257" s="210"/>
      <c r="M257" s="210"/>
      <c r="N257" s="210"/>
      <c r="O257" s="210"/>
      <c r="P257" s="210"/>
      <c r="Q257" s="210"/>
      <c r="R257" s="213"/>
      <c r="T257" s="164"/>
      <c r="U257" s="160"/>
      <c r="V257" s="160"/>
      <c r="W257" s="160"/>
      <c r="X257" s="160"/>
      <c r="Y257" s="160"/>
      <c r="Z257" s="160"/>
      <c r="AA257" s="165"/>
      <c r="AT257" s="166" t="s">
        <v>179</v>
      </c>
      <c r="AU257" s="166" t="s">
        <v>135</v>
      </c>
      <c r="AV257" s="11" t="s">
        <v>135</v>
      </c>
      <c r="AW257" s="11" t="s">
        <v>35</v>
      </c>
      <c r="AX257" s="11" t="s">
        <v>78</v>
      </c>
      <c r="AY257" s="166" t="s">
        <v>167</v>
      </c>
    </row>
    <row r="258" spans="2:51" s="11" customFormat="1" ht="22.5" customHeight="1">
      <c r="B258" s="159"/>
      <c r="C258" s="210"/>
      <c r="D258" s="210"/>
      <c r="E258" s="211" t="s">
        <v>5</v>
      </c>
      <c r="F258" s="321" t="s">
        <v>1372</v>
      </c>
      <c r="G258" s="322"/>
      <c r="H258" s="322"/>
      <c r="I258" s="322"/>
      <c r="J258" s="210"/>
      <c r="K258" s="212">
        <v>7</v>
      </c>
      <c r="L258" s="210"/>
      <c r="M258" s="210"/>
      <c r="N258" s="210"/>
      <c r="O258" s="210"/>
      <c r="P258" s="210"/>
      <c r="Q258" s="210"/>
      <c r="R258" s="213"/>
      <c r="T258" s="164"/>
      <c r="U258" s="160"/>
      <c r="V258" s="160"/>
      <c r="W258" s="160"/>
      <c r="X258" s="160"/>
      <c r="Y258" s="160"/>
      <c r="Z258" s="160"/>
      <c r="AA258" s="165"/>
      <c r="AT258" s="166" t="s">
        <v>179</v>
      </c>
      <c r="AU258" s="166" t="s">
        <v>135</v>
      </c>
      <c r="AV258" s="11" t="s">
        <v>135</v>
      </c>
      <c r="AW258" s="11" t="s">
        <v>35</v>
      </c>
      <c r="AX258" s="11" t="s">
        <v>78</v>
      </c>
      <c r="AY258" s="166" t="s">
        <v>167</v>
      </c>
    </row>
    <row r="259" spans="2:51" s="11" customFormat="1" ht="22.5" customHeight="1">
      <c r="B259" s="159"/>
      <c r="C259" s="210"/>
      <c r="D259" s="210"/>
      <c r="E259" s="211" t="s">
        <v>5</v>
      </c>
      <c r="F259" s="321" t="s">
        <v>1373</v>
      </c>
      <c r="G259" s="322"/>
      <c r="H259" s="322"/>
      <c r="I259" s="322"/>
      <c r="J259" s="210"/>
      <c r="K259" s="212">
        <v>14</v>
      </c>
      <c r="L259" s="210"/>
      <c r="M259" s="210"/>
      <c r="N259" s="210"/>
      <c r="O259" s="210"/>
      <c r="P259" s="210"/>
      <c r="Q259" s="210"/>
      <c r="R259" s="213"/>
      <c r="T259" s="164"/>
      <c r="U259" s="160"/>
      <c r="V259" s="160"/>
      <c r="W259" s="160"/>
      <c r="X259" s="160"/>
      <c r="Y259" s="160"/>
      <c r="Z259" s="160"/>
      <c r="AA259" s="165"/>
      <c r="AT259" s="166" t="s">
        <v>179</v>
      </c>
      <c r="AU259" s="166" t="s">
        <v>135</v>
      </c>
      <c r="AV259" s="11" t="s">
        <v>135</v>
      </c>
      <c r="AW259" s="11" t="s">
        <v>35</v>
      </c>
      <c r="AX259" s="11" t="s">
        <v>78</v>
      </c>
      <c r="AY259" s="166" t="s">
        <v>167</v>
      </c>
    </row>
    <row r="260" spans="2:51" s="11" customFormat="1" ht="22.5" customHeight="1">
      <c r="B260" s="159"/>
      <c r="C260" s="210"/>
      <c r="D260" s="210"/>
      <c r="E260" s="211" t="s">
        <v>5</v>
      </c>
      <c r="F260" s="321" t="s">
        <v>1374</v>
      </c>
      <c r="G260" s="322"/>
      <c r="H260" s="322"/>
      <c r="I260" s="322"/>
      <c r="J260" s="210"/>
      <c r="K260" s="212">
        <v>3</v>
      </c>
      <c r="L260" s="210"/>
      <c r="M260" s="210"/>
      <c r="N260" s="210"/>
      <c r="O260" s="210"/>
      <c r="P260" s="210"/>
      <c r="Q260" s="210"/>
      <c r="R260" s="213"/>
      <c r="T260" s="164"/>
      <c r="U260" s="160"/>
      <c r="V260" s="160"/>
      <c r="W260" s="160"/>
      <c r="X260" s="160"/>
      <c r="Y260" s="160"/>
      <c r="Z260" s="160"/>
      <c r="AA260" s="165"/>
      <c r="AT260" s="166" t="s">
        <v>179</v>
      </c>
      <c r="AU260" s="166" t="s">
        <v>135</v>
      </c>
      <c r="AV260" s="11" t="s">
        <v>135</v>
      </c>
      <c r="AW260" s="11" t="s">
        <v>35</v>
      </c>
      <c r="AX260" s="11" t="s">
        <v>78</v>
      </c>
      <c r="AY260" s="166" t="s">
        <v>167</v>
      </c>
    </row>
    <row r="261" spans="2:51" s="11" customFormat="1" ht="22.5" customHeight="1">
      <c r="B261" s="159"/>
      <c r="C261" s="210"/>
      <c r="D261" s="210"/>
      <c r="E261" s="211" t="s">
        <v>5</v>
      </c>
      <c r="F261" s="321" t="s">
        <v>1375</v>
      </c>
      <c r="G261" s="322"/>
      <c r="H261" s="322"/>
      <c r="I261" s="322"/>
      <c r="J261" s="210"/>
      <c r="K261" s="212">
        <v>4</v>
      </c>
      <c r="L261" s="210"/>
      <c r="M261" s="210"/>
      <c r="N261" s="210"/>
      <c r="O261" s="210"/>
      <c r="P261" s="210"/>
      <c r="Q261" s="210"/>
      <c r="R261" s="213"/>
      <c r="T261" s="164"/>
      <c r="U261" s="160"/>
      <c r="V261" s="160"/>
      <c r="W261" s="160"/>
      <c r="X261" s="160"/>
      <c r="Y261" s="160"/>
      <c r="Z261" s="160"/>
      <c r="AA261" s="165"/>
      <c r="AT261" s="166" t="s">
        <v>179</v>
      </c>
      <c r="AU261" s="166" t="s">
        <v>135</v>
      </c>
      <c r="AV261" s="11" t="s">
        <v>135</v>
      </c>
      <c r="AW261" s="11" t="s">
        <v>35</v>
      </c>
      <c r="AX261" s="11" t="s">
        <v>78</v>
      </c>
      <c r="AY261" s="166" t="s">
        <v>167</v>
      </c>
    </row>
    <row r="262" spans="2:51" s="11" customFormat="1" ht="22.5" customHeight="1">
      <c r="B262" s="159"/>
      <c r="C262" s="210"/>
      <c r="D262" s="210"/>
      <c r="E262" s="211" t="s">
        <v>5</v>
      </c>
      <c r="F262" s="321" t="s">
        <v>1376</v>
      </c>
      <c r="G262" s="322"/>
      <c r="H262" s="322"/>
      <c r="I262" s="322"/>
      <c r="J262" s="210"/>
      <c r="K262" s="212">
        <v>4</v>
      </c>
      <c r="L262" s="210"/>
      <c r="M262" s="210"/>
      <c r="N262" s="210"/>
      <c r="O262" s="210"/>
      <c r="P262" s="210"/>
      <c r="Q262" s="210"/>
      <c r="R262" s="213"/>
      <c r="T262" s="164"/>
      <c r="U262" s="160"/>
      <c r="V262" s="160"/>
      <c r="W262" s="160"/>
      <c r="X262" s="160"/>
      <c r="Y262" s="160"/>
      <c r="Z262" s="160"/>
      <c r="AA262" s="165"/>
      <c r="AT262" s="166" t="s">
        <v>179</v>
      </c>
      <c r="AU262" s="166" t="s">
        <v>135</v>
      </c>
      <c r="AV262" s="11" t="s">
        <v>135</v>
      </c>
      <c r="AW262" s="11" t="s">
        <v>35</v>
      </c>
      <c r="AX262" s="11" t="s">
        <v>78</v>
      </c>
      <c r="AY262" s="166" t="s">
        <v>167</v>
      </c>
    </row>
    <row r="263" spans="2:51" s="12" customFormat="1" ht="22.5" customHeight="1">
      <c r="B263" s="167"/>
      <c r="C263" s="218"/>
      <c r="D263" s="218"/>
      <c r="E263" s="219" t="s">
        <v>5</v>
      </c>
      <c r="F263" s="327" t="s">
        <v>183</v>
      </c>
      <c r="G263" s="328"/>
      <c r="H263" s="328"/>
      <c r="I263" s="328"/>
      <c r="J263" s="218"/>
      <c r="K263" s="220">
        <f>SUM(K255:K262)</f>
        <v>61</v>
      </c>
      <c r="L263" s="218"/>
      <c r="M263" s="218"/>
      <c r="N263" s="218"/>
      <c r="O263" s="218"/>
      <c r="P263" s="218"/>
      <c r="Q263" s="218"/>
      <c r="R263" s="221"/>
      <c r="T263" s="172"/>
      <c r="U263" s="168"/>
      <c r="V263" s="168"/>
      <c r="W263" s="168"/>
      <c r="X263" s="168"/>
      <c r="Y263" s="168"/>
      <c r="Z263" s="168"/>
      <c r="AA263" s="173"/>
      <c r="AT263" s="174" t="s">
        <v>179</v>
      </c>
      <c r="AU263" s="174" t="s">
        <v>135</v>
      </c>
      <c r="AV263" s="12" t="s">
        <v>172</v>
      </c>
      <c r="AW263" s="12" t="s">
        <v>35</v>
      </c>
      <c r="AX263" s="12" t="s">
        <v>21</v>
      </c>
      <c r="AY263" s="174" t="s">
        <v>167</v>
      </c>
    </row>
    <row r="264" spans="2:63" s="9" customFormat="1" ht="29.85" customHeight="1">
      <c r="B264" s="130"/>
      <c r="C264" s="222"/>
      <c r="D264" s="223" t="s">
        <v>148</v>
      </c>
      <c r="E264" s="223"/>
      <c r="F264" s="223"/>
      <c r="G264" s="223"/>
      <c r="H264" s="223"/>
      <c r="I264" s="223"/>
      <c r="J264" s="223"/>
      <c r="K264" s="223"/>
      <c r="L264" s="223"/>
      <c r="M264" s="223"/>
      <c r="N264" s="333">
        <f>BK264</f>
        <v>0</v>
      </c>
      <c r="O264" s="334"/>
      <c r="P264" s="334"/>
      <c r="Q264" s="334"/>
      <c r="R264" s="224"/>
      <c r="T264" s="134"/>
      <c r="U264" s="131"/>
      <c r="V264" s="131"/>
      <c r="W264" s="135">
        <f>SUM(W265:W405)</f>
        <v>21002.865524500005</v>
      </c>
      <c r="X264" s="131"/>
      <c r="Y264" s="135">
        <f>SUM(Y265:Y405)</f>
        <v>1622.6196334100002</v>
      </c>
      <c r="Z264" s="131"/>
      <c r="AA264" s="136">
        <f>SUM(AA265:AA405)</f>
        <v>2654.3815830000003</v>
      </c>
      <c r="AR264" s="137" t="s">
        <v>21</v>
      </c>
      <c r="AT264" s="138" t="s">
        <v>77</v>
      </c>
      <c r="AU264" s="138" t="s">
        <v>21</v>
      </c>
      <c r="AY264" s="137" t="s">
        <v>167</v>
      </c>
      <c r="BK264" s="139">
        <f>SUM(BK265:BK405)</f>
        <v>0</v>
      </c>
    </row>
    <row r="265" spans="2:65" s="1" customFormat="1" ht="31.5" customHeight="1">
      <c r="B265" s="141"/>
      <c r="C265" s="201" t="s">
        <v>203</v>
      </c>
      <c r="D265" s="201" t="s">
        <v>168</v>
      </c>
      <c r="E265" s="202" t="s">
        <v>1377</v>
      </c>
      <c r="F265" s="317" t="s">
        <v>1378</v>
      </c>
      <c r="G265" s="317"/>
      <c r="H265" s="317"/>
      <c r="I265" s="317"/>
      <c r="J265" s="203" t="s">
        <v>199</v>
      </c>
      <c r="K265" s="204">
        <v>5413.737</v>
      </c>
      <c r="L265" s="318"/>
      <c r="M265" s="318"/>
      <c r="N265" s="318">
        <f>ROUND(L265*K265,2)</f>
        <v>0</v>
      </c>
      <c r="O265" s="318"/>
      <c r="P265" s="318"/>
      <c r="Q265" s="318"/>
      <c r="R265" s="205"/>
      <c r="T265" s="147" t="s">
        <v>5</v>
      </c>
      <c r="U265" s="44" t="s">
        <v>43</v>
      </c>
      <c r="V265" s="148">
        <v>0.007</v>
      </c>
      <c r="W265" s="148">
        <f>V265*K265</f>
        <v>37.896159000000004</v>
      </c>
      <c r="X265" s="148">
        <v>6E-05</v>
      </c>
      <c r="Y265" s="148">
        <f>X265*K265</f>
        <v>0.32482422</v>
      </c>
      <c r="Z265" s="148">
        <v>0.103</v>
      </c>
      <c r="AA265" s="149">
        <f>Z265*K265</f>
        <v>557.614911</v>
      </c>
      <c r="AR265" s="21" t="s">
        <v>172</v>
      </c>
      <c r="AT265" s="21" t="s">
        <v>168</v>
      </c>
      <c r="AU265" s="21" t="s">
        <v>135</v>
      </c>
      <c r="AY265" s="21" t="s">
        <v>167</v>
      </c>
      <c r="BE265" s="150">
        <f>IF(U265="základní",N265,0)</f>
        <v>0</v>
      </c>
      <c r="BF265" s="150">
        <f>IF(U265="snížená",N265,0)</f>
        <v>0</v>
      </c>
      <c r="BG265" s="150">
        <f>IF(U265="zákl. přenesená",N265,0)</f>
        <v>0</v>
      </c>
      <c r="BH265" s="150">
        <f>IF(U265="sníž. přenesená",N265,0)</f>
        <v>0</v>
      </c>
      <c r="BI265" s="150">
        <f>IF(U265="nulová",N265,0)</f>
        <v>0</v>
      </c>
      <c r="BJ265" s="21" t="s">
        <v>21</v>
      </c>
      <c r="BK265" s="150">
        <f>ROUND(L265*K265,2)</f>
        <v>0</v>
      </c>
      <c r="BL265" s="21" t="s">
        <v>172</v>
      </c>
      <c r="BM265" s="21" t="s">
        <v>1379</v>
      </c>
    </row>
    <row r="266" spans="2:65" s="1" customFormat="1" ht="31.5" customHeight="1">
      <c r="B266" s="141"/>
      <c r="C266" s="201" t="s">
        <v>207</v>
      </c>
      <c r="D266" s="201" t="s">
        <v>168</v>
      </c>
      <c r="E266" s="202" t="s">
        <v>1380</v>
      </c>
      <c r="F266" s="317" t="s">
        <v>1381</v>
      </c>
      <c r="G266" s="317"/>
      <c r="H266" s="317"/>
      <c r="I266" s="317"/>
      <c r="J266" s="203" t="s">
        <v>199</v>
      </c>
      <c r="K266" s="204">
        <f>+K267</f>
        <v>2569.567</v>
      </c>
      <c r="L266" s="318"/>
      <c r="M266" s="318"/>
      <c r="N266" s="318">
        <f>ROUND(L266*K266,2)</f>
        <v>0</v>
      </c>
      <c r="O266" s="318"/>
      <c r="P266" s="318"/>
      <c r="Q266" s="318"/>
      <c r="R266" s="205"/>
      <c r="T266" s="147" t="s">
        <v>5</v>
      </c>
      <c r="U266" s="44" t="s">
        <v>43</v>
      </c>
      <c r="V266" s="148">
        <v>0.108</v>
      </c>
      <c r="W266" s="148">
        <f>V266*K266</f>
        <v>277.513236</v>
      </c>
      <c r="X266" s="148">
        <v>0</v>
      </c>
      <c r="Y266" s="148">
        <f>X266*K266</f>
        <v>0</v>
      </c>
      <c r="Z266" s="148">
        <v>0.181</v>
      </c>
      <c r="AA266" s="149">
        <f>Z266*K266</f>
        <v>465.09162699999996</v>
      </c>
      <c r="AR266" s="21" t="s">
        <v>172</v>
      </c>
      <c r="AT266" s="21" t="s">
        <v>168</v>
      </c>
      <c r="AU266" s="21" t="s">
        <v>135</v>
      </c>
      <c r="AY266" s="21" t="s">
        <v>167</v>
      </c>
      <c r="BE266" s="150">
        <f>IF(U266="základní",N266,0)</f>
        <v>0</v>
      </c>
      <c r="BF266" s="150">
        <f>IF(U266="snížená",N266,0)</f>
        <v>0</v>
      </c>
      <c r="BG266" s="150">
        <f>IF(U266="zákl. přenesená",N266,0)</f>
        <v>0</v>
      </c>
      <c r="BH266" s="150">
        <f>IF(U266="sníž. přenesená",N266,0)</f>
        <v>0</v>
      </c>
      <c r="BI266" s="150">
        <f>IF(U266="nulová",N266,0)</f>
        <v>0</v>
      </c>
      <c r="BJ266" s="21" t="s">
        <v>21</v>
      </c>
      <c r="BK266" s="150">
        <f>ROUND(L266*K266,2)</f>
        <v>0</v>
      </c>
      <c r="BL266" s="21" t="s">
        <v>172</v>
      </c>
      <c r="BM266" s="21" t="s">
        <v>1382</v>
      </c>
    </row>
    <row r="267" spans="2:51" s="11" customFormat="1" ht="22.5" customHeight="1">
      <c r="B267" s="159"/>
      <c r="C267" s="210"/>
      <c r="D267" s="210"/>
      <c r="E267" s="211" t="s">
        <v>5</v>
      </c>
      <c r="F267" s="329" t="s">
        <v>1383</v>
      </c>
      <c r="G267" s="330"/>
      <c r="H267" s="330"/>
      <c r="I267" s="330"/>
      <c r="J267" s="210"/>
      <c r="K267" s="212">
        <f>2335.97*1.1</f>
        <v>2569.567</v>
      </c>
      <c r="L267" s="210"/>
      <c r="M267" s="210"/>
      <c r="N267" s="210"/>
      <c r="O267" s="210"/>
      <c r="P267" s="210"/>
      <c r="Q267" s="210"/>
      <c r="R267" s="213"/>
      <c r="T267" s="164"/>
      <c r="U267" s="160"/>
      <c r="V267" s="160"/>
      <c r="W267" s="160"/>
      <c r="X267" s="160"/>
      <c r="Y267" s="160"/>
      <c r="Z267" s="160"/>
      <c r="AA267" s="165"/>
      <c r="AT267" s="166" t="s">
        <v>179</v>
      </c>
      <c r="AU267" s="166" t="s">
        <v>135</v>
      </c>
      <c r="AV267" s="11" t="s">
        <v>135</v>
      </c>
      <c r="AW267" s="11" t="s">
        <v>35</v>
      </c>
      <c r="AX267" s="11" t="s">
        <v>21</v>
      </c>
      <c r="AY267" s="166" t="s">
        <v>167</v>
      </c>
    </row>
    <row r="268" spans="2:65" s="1" customFormat="1" ht="31.5" customHeight="1">
      <c r="B268" s="141"/>
      <c r="C268" s="201" t="s">
        <v>213</v>
      </c>
      <c r="D268" s="201" t="s">
        <v>168</v>
      </c>
      <c r="E268" s="202" t="s">
        <v>1384</v>
      </c>
      <c r="F268" s="317" t="s">
        <v>1385</v>
      </c>
      <c r="G268" s="317"/>
      <c r="H268" s="317"/>
      <c r="I268" s="317"/>
      <c r="J268" s="203" t="s">
        <v>199</v>
      </c>
      <c r="K268" s="204">
        <f>+K269</f>
        <v>2569.567</v>
      </c>
      <c r="L268" s="318"/>
      <c r="M268" s="318"/>
      <c r="N268" s="318">
        <f>ROUND(L268*K268,2)</f>
        <v>0</v>
      </c>
      <c r="O268" s="318"/>
      <c r="P268" s="318"/>
      <c r="Q268" s="318"/>
      <c r="R268" s="205"/>
      <c r="T268" s="147" t="s">
        <v>5</v>
      </c>
      <c r="U268" s="44" t="s">
        <v>43</v>
      </c>
      <c r="V268" s="148">
        <v>0.073</v>
      </c>
      <c r="W268" s="148">
        <f>V268*K268</f>
        <v>187.57839099999998</v>
      </c>
      <c r="X268" s="148">
        <v>0</v>
      </c>
      <c r="Y268" s="148">
        <f>X268*K268</f>
        <v>0</v>
      </c>
      <c r="Z268" s="148">
        <v>0.235</v>
      </c>
      <c r="AA268" s="149">
        <f>Z268*K268</f>
        <v>603.848245</v>
      </c>
      <c r="AR268" s="21" t="s">
        <v>172</v>
      </c>
      <c r="AT268" s="21" t="s">
        <v>168</v>
      </c>
      <c r="AU268" s="21" t="s">
        <v>135</v>
      </c>
      <c r="AY268" s="21" t="s">
        <v>167</v>
      </c>
      <c r="BE268" s="150">
        <f>IF(U268="základní",N268,0)</f>
        <v>0</v>
      </c>
      <c r="BF268" s="150">
        <f>IF(U268="snížená",N268,0)</f>
        <v>0</v>
      </c>
      <c r="BG268" s="150">
        <f>IF(U268="zákl. přenesená",N268,0)</f>
        <v>0</v>
      </c>
      <c r="BH268" s="150">
        <f>IF(U268="sníž. přenesená",N268,0)</f>
        <v>0</v>
      </c>
      <c r="BI268" s="150">
        <f>IF(U268="nulová",N268,0)</f>
        <v>0</v>
      </c>
      <c r="BJ268" s="21" t="s">
        <v>21</v>
      </c>
      <c r="BK268" s="150">
        <f>ROUND(L268*K268,2)</f>
        <v>0</v>
      </c>
      <c r="BL268" s="21" t="s">
        <v>172</v>
      </c>
      <c r="BM268" s="21" t="s">
        <v>1386</v>
      </c>
    </row>
    <row r="269" spans="2:51" s="11" customFormat="1" ht="22.5" customHeight="1">
      <c r="B269" s="159"/>
      <c r="C269" s="210"/>
      <c r="D269" s="210"/>
      <c r="E269" s="211" t="s">
        <v>5</v>
      </c>
      <c r="F269" s="329" t="s">
        <v>1383</v>
      </c>
      <c r="G269" s="330"/>
      <c r="H269" s="330"/>
      <c r="I269" s="330"/>
      <c r="J269" s="210"/>
      <c r="K269" s="212">
        <f>2335.97*1.1</f>
        <v>2569.567</v>
      </c>
      <c r="L269" s="210"/>
      <c r="M269" s="210"/>
      <c r="N269" s="210"/>
      <c r="O269" s="210"/>
      <c r="P269" s="210"/>
      <c r="Q269" s="210"/>
      <c r="R269" s="213"/>
      <c r="T269" s="164"/>
      <c r="U269" s="198"/>
      <c r="V269" s="198"/>
      <c r="W269" s="198"/>
      <c r="X269" s="198"/>
      <c r="Y269" s="198"/>
      <c r="Z269" s="198"/>
      <c r="AA269" s="165"/>
      <c r="AT269" s="166" t="s">
        <v>179</v>
      </c>
      <c r="AU269" s="166" t="s">
        <v>135</v>
      </c>
      <c r="AV269" s="11" t="s">
        <v>135</v>
      </c>
      <c r="AW269" s="11" t="s">
        <v>35</v>
      </c>
      <c r="AX269" s="11" t="s">
        <v>21</v>
      </c>
      <c r="AY269" s="166" t="s">
        <v>167</v>
      </c>
    </row>
    <row r="270" spans="2:65" s="1" customFormat="1" ht="31.5" customHeight="1">
      <c r="B270" s="141"/>
      <c r="C270" s="201" t="s">
        <v>218</v>
      </c>
      <c r="D270" s="201" t="s">
        <v>168</v>
      </c>
      <c r="E270" s="202" t="s">
        <v>1387</v>
      </c>
      <c r="F270" s="317" t="s">
        <v>1388</v>
      </c>
      <c r="G270" s="317"/>
      <c r="H270" s="317"/>
      <c r="I270" s="317"/>
      <c r="J270" s="203" t="s">
        <v>199</v>
      </c>
      <c r="K270" s="204">
        <f>+K271</f>
        <v>2569.567</v>
      </c>
      <c r="L270" s="318"/>
      <c r="M270" s="318"/>
      <c r="N270" s="318">
        <f>ROUND(L270*K270,2)</f>
        <v>0</v>
      </c>
      <c r="O270" s="318"/>
      <c r="P270" s="318"/>
      <c r="Q270" s="318"/>
      <c r="R270" s="205"/>
      <c r="T270" s="147" t="s">
        <v>5</v>
      </c>
      <c r="U270" s="44" t="s">
        <v>43</v>
      </c>
      <c r="V270" s="148">
        <v>0.119</v>
      </c>
      <c r="W270" s="148">
        <f>V270*K270</f>
        <v>305.77847299999996</v>
      </c>
      <c r="X270" s="148">
        <v>0</v>
      </c>
      <c r="Y270" s="148">
        <f>X270*K270</f>
        <v>0</v>
      </c>
      <c r="Z270" s="148">
        <v>0.4</v>
      </c>
      <c r="AA270" s="149">
        <f>Z270*K270</f>
        <v>1027.8268</v>
      </c>
      <c r="AR270" s="21" t="s">
        <v>172</v>
      </c>
      <c r="AT270" s="21" t="s">
        <v>168</v>
      </c>
      <c r="AU270" s="21" t="s">
        <v>135</v>
      </c>
      <c r="AY270" s="21" t="s">
        <v>167</v>
      </c>
      <c r="BE270" s="150">
        <f>IF(U270="základní",N270,0)</f>
        <v>0</v>
      </c>
      <c r="BF270" s="150">
        <f>IF(U270="snížená",N270,0)</f>
        <v>0</v>
      </c>
      <c r="BG270" s="150">
        <f>IF(U270="zákl. přenesená",N270,0)</f>
        <v>0</v>
      </c>
      <c r="BH270" s="150">
        <f>IF(U270="sníž. přenesená",N270,0)</f>
        <v>0</v>
      </c>
      <c r="BI270" s="150">
        <f>IF(U270="nulová",N270,0)</f>
        <v>0</v>
      </c>
      <c r="BJ270" s="21" t="s">
        <v>21</v>
      </c>
      <c r="BK270" s="150">
        <f>ROUND(L270*K270,2)</f>
        <v>0</v>
      </c>
      <c r="BL270" s="21" t="s">
        <v>172</v>
      </c>
      <c r="BM270" s="21" t="s">
        <v>1389</v>
      </c>
    </row>
    <row r="271" spans="2:51" s="11" customFormat="1" ht="22.5" customHeight="1">
      <c r="B271" s="159"/>
      <c r="C271" s="210"/>
      <c r="D271" s="210"/>
      <c r="E271" s="211" t="s">
        <v>5</v>
      </c>
      <c r="F271" s="329" t="s">
        <v>1383</v>
      </c>
      <c r="G271" s="330"/>
      <c r="H271" s="330"/>
      <c r="I271" s="330"/>
      <c r="J271" s="210"/>
      <c r="K271" s="212">
        <f>2335.97*1.1</f>
        <v>2569.567</v>
      </c>
      <c r="L271" s="210"/>
      <c r="M271" s="210"/>
      <c r="N271" s="210"/>
      <c r="O271" s="210"/>
      <c r="P271" s="210"/>
      <c r="Q271" s="210"/>
      <c r="R271" s="213"/>
      <c r="T271" s="164"/>
      <c r="U271" s="198"/>
      <c r="V271" s="198"/>
      <c r="W271" s="198"/>
      <c r="X271" s="198"/>
      <c r="Y271" s="198"/>
      <c r="Z271" s="198"/>
      <c r="AA271" s="165"/>
      <c r="AT271" s="166" t="s">
        <v>179</v>
      </c>
      <c r="AU271" s="166" t="s">
        <v>135</v>
      </c>
      <c r="AV271" s="11" t="s">
        <v>135</v>
      </c>
      <c r="AW271" s="11" t="s">
        <v>35</v>
      </c>
      <c r="AX271" s="11" t="s">
        <v>21</v>
      </c>
      <c r="AY271" s="166" t="s">
        <v>167</v>
      </c>
    </row>
    <row r="272" spans="2:65" s="1" customFormat="1" ht="31.5" customHeight="1">
      <c r="B272" s="141"/>
      <c r="C272" s="201" t="s">
        <v>25</v>
      </c>
      <c r="D272" s="201" t="s">
        <v>168</v>
      </c>
      <c r="E272" s="202" t="s">
        <v>1140</v>
      </c>
      <c r="F272" s="317" t="s">
        <v>1141</v>
      </c>
      <c r="G272" s="317"/>
      <c r="H272" s="317"/>
      <c r="I272" s="317"/>
      <c r="J272" s="203" t="s">
        <v>176</v>
      </c>
      <c r="K272" s="204">
        <v>13.86</v>
      </c>
      <c r="L272" s="318"/>
      <c r="M272" s="318"/>
      <c r="N272" s="318">
        <f>ROUND(L272*K272,2)</f>
        <v>0</v>
      </c>
      <c r="O272" s="318"/>
      <c r="P272" s="318"/>
      <c r="Q272" s="318"/>
      <c r="R272" s="205"/>
      <c r="T272" s="147" t="s">
        <v>5</v>
      </c>
      <c r="U272" s="44" t="s">
        <v>43</v>
      </c>
      <c r="V272" s="148">
        <v>0.013</v>
      </c>
      <c r="W272" s="148">
        <f>V272*K272</f>
        <v>0.18017999999999998</v>
      </c>
      <c r="X272" s="148">
        <v>0</v>
      </c>
      <c r="Y272" s="148">
        <f>X272*K272</f>
        <v>0</v>
      </c>
      <c r="Z272" s="148">
        <v>0</v>
      </c>
      <c r="AA272" s="149">
        <f>Z272*K272</f>
        <v>0</v>
      </c>
      <c r="AR272" s="21" t="s">
        <v>172</v>
      </c>
      <c r="AT272" s="21" t="s">
        <v>168</v>
      </c>
      <c r="AU272" s="21" t="s">
        <v>135</v>
      </c>
      <c r="AY272" s="21" t="s">
        <v>167</v>
      </c>
      <c r="BE272" s="150">
        <f>IF(U272="základní",N272,0)</f>
        <v>0</v>
      </c>
      <c r="BF272" s="150">
        <f>IF(U272="snížená",N272,0)</f>
        <v>0</v>
      </c>
      <c r="BG272" s="150">
        <f>IF(U272="zákl. přenesená",N272,0)</f>
        <v>0</v>
      </c>
      <c r="BH272" s="150">
        <f>IF(U272="sníž. přenesená",N272,0)</f>
        <v>0</v>
      </c>
      <c r="BI272" s="150">
        <f>IF(U272="nulová",N272,0)</f>
        <v>0</v>
      </c>
      <c r="BJ272" s="21" t="s">
        <v>21</v>
      </c>
      <c r="BK272" s="150">
        <f>ROUND(L272*K272,2)</f>
        <v>0</v>
      </c>
      <c r="BL272" s="21" t="s">
        <v>172</v>
      </c>
      <c r="BM272" s="21" t="s">
        <v>1390</v>
      </c>
    </row>
    <row r="273" spans="2:51" s="11" customFormat="1" ht="22.5" customHeight="1">
      <c r="B273" s="159"/>
      <c r="C273" s="210"/>
      <c r="D273" s="210"/>
      <c r="E273" s="211" t="s">
        <v>5</v>
      </c>
      <c r="F273" s="329" t="s">
        <v>1391</v>
      </c>
      <c r="G273" s="330"/>
      <c r="H273" s="330"/>
      <c r="I273" s="330"/>
      <c r="J273" s="210"/>
      <c r="K273" s="212">
        <v>13.86</v>
      </c>
      <c r="L273" s="210"/>
      <c r="M273" s="210"/>
      <c r="N273" s="210"/>
      <c r="O273" s="210"/>
      <c r="P273" s="210"/>
      <c r="Q273" s="210"/>
      <c r="R273" s="213"/>
      <c r="T273" s="164"/>
      <c r="U273" s="160"/>
      <c r="V273" s="160"/>
      <c r="W273" s="160"/>
      <c r="X273" s="160"/>
      <c r="Y273" s="160"/>
      <c r="Z273" s="160"/>
      <c r="AA273" s="165"/>
      <c r="AT273" s="166" t="s">
        <v>179</v>
      </c>
      <c r="AU273" s="166" t="s">
        <v>135</v>
      </c>
      <c r="AV273" s="11" t="s">
        <v>135</v>
      </c>
      <c r="AW273" s="11" t="s">
        <v>35</v>
      </c>
      <c r="AX273" s="11" t="s">
        <v>21</v>
      </c>
      <c r="AY273" s="166" t="s">
        <v>167</v>
      </c>
    </row>
    <row r="274" spans="2:65" s="1" customFormat="1" ht="31.5" customHeight="1">
      <c r="B274" s="141"/>
      <c r="C274" s="201" t="s">
        <v>270</v>
      </c>
      <c r="D274" s="201" t="s">
        <v>168</v>
      </c>
      <c r="E274" s="202" t="s">
        <v>1392</v>
      </c>
      <c r="F274" s="317" t="s">
        <v>1393</v>
      </c>
      <c r="G274" s="317"/>
      <c r="H274" s="317"/>
      <c r="I274" s="317"/>
      <c r="J274" s="203" t="s">
        <v>176</v>
      </c>
      <c r="K274" s="204">
        <f>+K281</f>
        <v>1483.2975</v>
      </c>
      <c r="L274" s="318"/>
      <c r="M274" s="318"/>
      <c r="N274" s="318">
        <f>ROUND(L274*K274,2)</f>
        <v>0</v>
      </c>
      <c r="O274" s="318"/>
      <c r="P274" s="318"/>
      <c r="Q274" s="318"/>
      <c r="R274" s="205"/>
      <c r="T274" s="147" t="s">
        <v>5</v>
      </c>
      <c r="U274" s="44" t="s">
        <v>43</v>
      </c>
      <c r="V274" s="148">
        <v>0.586</v>
      </c>
      <c r="W274" s="148">
        <f>V274*K274</f>
        <v>869.2123349999999</v>
      </c>
      <c r="X274" s="148">
        <v>0</v>
      </c>
      <c r="Y274" s="148">
        <f>X274*K274</f>
        <v>0</v>
      </c>
      <c r="Z274" s="148">
        <v>0</v>
      </c>
      <c r="AA274" s="149">
        <f>Z274*K274</f>
        <v>0</v>
      </c>
      <c r="AR274" s="21" t="s">
        <v>172</v>
      </c>
      <c r="AT274" s="21" t="s">
        <v>168</v>
      </c>
      <c r="AU274" s="21" t="s">
        <v>135</v>
      </c>
      <c r="AY274" s="21" t="s">
        <v>167</v>
      </c>
      <c r="BE274" s="150">
        <f>IF(U274="základní",N274,0)</f>
        <v>0</v>
      </c>
      <c r="BF274" s="150">
        <f>IF(U274="snížená",N274,0)</f>
        <v>0</v>
      </c>
      <c r="BG274" s="150">
        <f>IF(U274="zákl. přenesená",N274,0)</f>
        <v>0</v>
      </c>
      <c r="BH274" s="150">
        <f>IF(U274="sníž. přenesená",N274,0)</f>
        <v>0</v>
      </c>
      <c r="BI274" s="150">
        <f>IF(U274="nulová",N274,0)</f>
        <v>0</v>
      </c>
      <c r="BJ274" s="21" t="s">
        <v>21</v>
      </c>
      <c r="BK274" s="150">
        <f>ROUND(L274*K274,2)</f>
        <v>0</v>
      </c>
      <c r="BL274" s="21" t="s">
        <v>172</v>
      </c>
      <c r="BM274" s="21" t="s">
        <v>1394</v>
      </c>
    </row>
    <row r="275" spans="2:51" s="10" customFormat="1" ht="22.5" customHeight="1">
      <c r="B275" s="151"/>
      <c r="C275" s="206"/>
      <c r="D275" s="206"/>
      <c r="E275" s="207" t="s">
        <v>5</v>
      </c>
      <c r="F275" s="319" t="s">
        <v>1395</v>
      </c>
      <c r="G275" s="320"/>
      <c r="H275" s="320"/>
      <c r="I275" s="320"/>
      <c r="J275" s="206"/>
      <c r="K275" s="208" t="s">
        <v>5</v>
      </c>
      <c r="L275" s="206"/>
      <c r="M275" s="206"/>
      <c r="N275" s="206"/>
      <c r="O275" s="206"/>
      <c r="P275" s="206"/>
      <c r="Q275" s="206"/>
      <c r="R275" s="209"/>
      <c r="T275" s="156"/>
      <c r="U275" s="152"/>
      <c r="V275" s="152"/>
      <c r="W275" s="152"/>
      <c r="X275" s="152"/>
      <c r="Y275" s="152"/>
      <c r="Z275" s="152"/>
      <c r="AA275" s="157"/>
      <c r="AT275" s="158" t="s">
        <v>179</v>
      </c>
      <c r="AU275" s="158" t="s">
        <v>135</v>
      </c>
      <c r="AV275" s="10" t="s">
        <v>21</v>
      </c>
      <c r="AW275" s="10" t="s">
        <v>35</v>
      </c>
      <c r="AX275" s="10" t="s">
        <v>78</v>
      </c>
      <c r="AY275" s="158" t="s">
        <v>167</v>
      </c>
    </row>
    <row r="276" spans="2:51" s="11" customFormat="1" ht="22.5" customHeight="1">
      <c r="B276" s="159"/>
      <c r="C276" s="210"/>
      <c r="D276" s="210"/>
      <c r="E276" s="211" t="s">
        <v>5</v>
      </c>
      <c r="F276" s="321">
        <v>6229.108</v>
      </c>
      <c r="G276" s="322"/>
      <c r="H276" s="322"/>
      <c r="I276" s="322"/>
      <c r="J276" s="210"/>
      <c r="K276" s="212">
        <v>6229.108</v>
      </c>
      <c r="L276" s="210"/>
      <c r="M276" s="210"/>
      <c r="N276" s="210"/>
      <c r="O276" s="210"/>
      <c r="P276" s="210"/>
      <c r="Q276" s="210"/>
      <c r="R276" s="213"/>
      <c r="T276" s="164"/>
      <c r="U276" s="160"/>
      <c r="V276" s="160"/>
      <c r="W276" s="160"/>
      <c r="X276" s="160"/>
      <c r="Y276" s="160"/>
      <c r="Z276" s="160"/>
      <c r="AA276" s="165"/>
      <c r="AT276" s="166" t="s">
        <v>179</v>
      </c>
      <c r="AU276" s="166" t="s">
        <v>135</v>
      </c>
      <c r="AV276" s="11" t="s">
        <v>135</v>
      </c>
      <c r="AW276" s="11" t="s">
        <v>35</v>
      </c>
      <c r="AX276" s="11" t="s">
        <v>78</v>
      </c>
      <c r="AY276" s="166" t="s">
        <v>167</v>
      </c>
    </row>
    <row r="277" spans="2:51" s="10" customFormat="1" ht="22.5" customHeight="1">
      <c r="B277" s="151"/>
      <c r="C277" s="206"/>
      <c r="D277" s="206"/>
      <c r="E277" s="207" t="s">
        <v>5</v>
      </c>
      <c r="F277" s="325" t="s">
        <v>1396</v>
      </c>
      <c r="G277" s="326"/>
      <c r="H277" s="326"/>
      <c r="I277" s="326"/>
      <c r="J277" s="206"/>
      <c r="K277" s="208" t="s">
        <v>5</v>
      </c>
      <c r="L277" s="206"/>
      <c r="M277" s="206"/>
      <c r="N277" s="206"/>
      <c r="O277" s="206"/>
      <c r="P277" s="206"/>
      <c r="Q277" s="206"/>
      <c r="R277" s="209"/>
      <c r="T277" s="156"/>
      <c r="U277" s="152"/>
      <c r="V277" s="152"/>
      <c r="W277" s="152"/>
      <c r="X277" s="152"/>
      <c r="Y277" s="152"/>
      <c r="Z277" s="152"/>
      <c r="AA277" s="157"/>
      <c r="AT277" s="158" t="s">
        <v>179</v>
      </c>
      <c r="AU277" s="158" t="s">
        <v>135</v>
      </c>
      <c r="AV277" s="10" t="s">
        <v>21</v>
      </c>
      <c r="AW277" s="10" t="s">
        <v>35</v>
      </c>
      <c r="AX277" s="10" t="s">
        <v>78</v>
      </c>
      <c r="AY277" s="158" t="s">
        <v>167</v>
      </c>
    </row>
    <row r="278" spans="2:51" s="11" customFormat="1" ht="22.5" customHeight="1">
      <c r="B278" s="159"/>
      <c r="C278" s="210"/>
      <c r="D278" s="210"/>
      <c r="E278" s="211" t="s">
        <v>5</v>
      </c>
      <c r="F278" s="321" t="s">
        <v>1397</v>
      </c>
      <c r="G278" s="322"/>
      <c r="H278" s="322"/>
      <c r="I278" s="322"/>
      <c r="J278" s="210"/>
      <c r="K278" s="212">
        <f>-2335.97*1.1*0.5</f>
        <v>-1284.7835</v>
      </c>
      <c r="L278" s="210"/>
      <c r="M278" s="210"/>
      <c r="N278" s="210"/>
      <c r="O278" s="210"/>
      <c r="P278" s="210"/>
      <c r="Q278" s="210"/>
      <c r="R278" s="213"/>
      <c r="T278" s="164"/>
      <c r="U278" s="160"/>
      <c r="V278" s="160"/>
      <c r="W278" s="160"/>
      <c r="X278" s="160"/>
      <c r="Y278" s="160"/>
      <c r="Z278" s="160"/>
      <c r="AA278" s="165"/>
      <c r="AT278" s="166" t="s">
        <v>179</v>
      </c>
      <c r="AU278" s="166" t="s">
        <v>135</v>
      </c>
      <c r="AV278" s="11" t="s">
        <v>135</v>
      </c>
      <c r="AW278" s="11" t="s">
        <v>35</v>
      </c>
      <c r="AX278" s="11" t="s">
        <v>78</v>
      </c>
      <c r="AY278" s="166" t="s">
        <v>167</v>
      </c>
    </row>
    <row r="279" spans="2:51" s="12" customFormat="1" ht="22.5" customHeight="1">
      <c r="B279" s="167"/>
      <c r="C279" s="218"/>
      <c r="D279" s="218"/>
      <c r="E279" s="219" t="s">
        <v>5</v>
      </c>
      <c r="F279" s="327" t="s">
        <v>183</v>
      </c>
      <c r="G279" s="328"/>
      <c r="H279" s="328"/>
      <c r="I279" s="328"/>
      <c r="J279" s="218"/>
      <c r="K279" s="220">
        <f>SUM(K276:K278)</f>
        <v>4944.324500000001</v>
      </c>
      <c r="L279" s="218"/>
      <c r="M279" s="218"/>
      <c r="N279" s="218"/>
      <c r="O279" s="218"/>
      <c r="P279" s="218"/>
      <c r="Q279" s="218"/>
      <c r="R279" s="221"/>
      <c r="T279" s="172"/>
      <c r="U279" s="168"/>
      <c r="V279" s="168"/>
      <c r="W279" s="168"/>
      <c r="X279" s="168"/>
      <c r="Y279" s="168"/>
      <c r="Z279" s="168"/>
      <c r="AA279" s="173"/>
      <c r="AT279" s="174" t="s">
        <v>179</v>
      </c>
      <c r="AU279" s="174" t="s">
        <v>135</v>
      </c>
      <c r="AV279" s="12" t="s">
        <v>172</v>
      </c>
      <c r="AW279" s="12" t="s">
        <v>35</v>
      </c>
      <c r="AX279" s="12" t="s">
        <v>78</v>
      </c>
      <c r="AY279" s="174" t="s">
        <v>167</v>
      </c>
    </row>
    <row r="280" spans="2:51" s="10" customFormat="1" ht="22.5" customHeight="1">
      <c r="B280" s="151"/>
      <c r="C280" s="206"/>
      <c r="D280" s="206"/>
      <c r="E280" s="207" t="s">
        <v>5</v>
      </c>
      <c r="F280" s="325" t="s">
        <v>1398</v>
      </c>
      <c r="G280" s="326"/>
      <c r="H280" s="326"/>
      <c r="I280" s="326"/>
      <c r="J280" s="206"/>
      <c r="K280" s="208" t="s">
        <v>5</v>
      </c>
      <c r="L280" s="206"/>
      <c r="M280" s="206"/>
      <c r="N280" s="206"/>
      <c r="O280" s="206"/>
      <c r="P280" s="206"/>
      <c r="Q280" s="206"/>
      <c r="R280" s="209"/>
      <c r="T280" s="156"/>
      <c r="U280" s="152"/>
      <c r="V280" s="152"/>
      <c r="W280" s="152"/>
      <c r="X280" s="152"/>
      <c r="Y280" s="152"/>
      <c r="Z280" s="152"/>
      <c r="AA280" s="157"/>
      <c r="AT280" s="158" t="s">
        <v>179</v>
      </c>
      <c r="AU280" s="158" t="s">
        <v>135</v>
      </c>
      <c r="AV280" s="10" t="s">
        <v>21</v>
      </c>
      <c r="AW280" s="10" t="s">
        <v>35</v>
      </c>
      <c r="AX280" s="10" t="s">
        <v>78</v>
      </c>
      <c r="AY280" s="158" t="s">
        <v>167</v>
      </c>
    </row>
    <row r="281" spans="2:51" s="11" customFormat="1" ht="22.5" customHeight="1">
      <c r="B281" s="159"/>
      <c r="C281" s="210"/>
      <c r="D281" s="210"/>
      <c r="E281" s="211" t="s">
        <v>5</v>
      </c>
      <c r="F281" s="321" t="s">
        <v>2202</v>
      </c>
      <c r="G281" s="322"/>
      <c r="H281" s="322"/>
      <c r="I281" s="322"/>
      <c r="J281" s="210"/>
      <c r="K281" s="212">
        <f>4944.325*0.3</f>
        <v>1483.2975</v>
      </c>
      <c r="L281" s="210"/>
      <c r="M281" s="210"/>
      <c r="N281" s="210"/>
      <c r="O281" s="210"/>
      <c r="P281" s="210"/>
      <c r="Q281" s="210"/>
      <c r="R281" s="213"/>
      <c r="T281" s="164"/>
      <c r="U281" s="160"/>
      <c r="V281" s="160"/>
      <c r="W281" s="160"/>
      <c r="X281" s="160"/>
      <c r="Y281" s="160"/>
      <c r="Z281" s="160"/>
      <c r="AA281" s="165"/>
      <c r="AT281" s="166" t="s">
        <v>179</v>
      </c>
      <c r="AU281" s="166" t="s">
        <v>135</v>
      </c>
      <c r="AV281" s="11" t="s">
        <v>135</v>
      </c>
      <c r="AW281" s="11" t="s">
        <v>35</v>
      </c>
      <c r="AX281" s="11" t="s">
        <v>21</v>
      </c>
      <c r="AY281" s="166" t="s">
        <v>167</v>
      </c>
    </row>
    <row r="282" spans="2:65" s="1" customFormat="1" ht="31.5" customHeight="1">
      <c r="B282" s="141"/>
      <c r="C282" s="201" t="s">
        <v>273</v>
      </c>
      <c r="D282" s="201" t="s">
        <v>168</v>
      </c>
      <c r="E282" s="202" t="s">
        <v>505</v>
      </c>
      <c r="F282" s="317" t="s">
        <v>506</v>
      </c>
      <c r="G282" s="317"/>
      <c r="H282" s="317"/>
      <c r="I282" s="317"/>
      <c r="J282" s="203" t="s">
        <v>176</v>
      </c>
      <c r="K282" s="204">
        <f>+K274</f>
        <v>1483.2975</v>
      </c>
      <c r="L282" s="318"/>
      <c r="M282" s="318"/>
      <c r="N282" s="318">
        <f>ROUND(L282*K282,2)</f>
        <v>0</v>
      </c>
      <c r="O282" s="318"/>
      <c r="P282" s="318"/>
      <c r="Q282" s="318"/>
      <c r="R282" s="205"/>
      <c r="T282" s="147" t="s">
        <v>5</v>
      </c>
      <c r="U282" s="44" t="s">
        <v>43</v>
      </c>
      <c r="V282" s="148">
        <v>0.085</v>
      </c>
      <c r="W282" s="148">
        <f>V282*K282</f>
        <v>126.0802875</v>
      </c>
      <c r="X282" s="148">
        <v>0</v>
      </c>
      <c r="Y282" s="148">
        <f>X282*K282</f>
        <v>0</v>
      </c>
      <c r="Z282" s="148">
        <v>0</v>
      </c>
      <c r="AA282" s="149">
        <f>Z282*K282</f>
        <v>0</v>
      </c>
      <c r="AR282" s="21" t="s">
        <v>172</v>
      </c>
      <c r="AT282" s="21" t="s">
        <v>168</v>
      </c>
      <c r="AU282" s="21" t="s">
        <v>135</v>
      </c>
      <c r="AY282" s="21" t="s">
        <v>167</v>
      </c>
      <c r="BE282" s="150">
        <f>IF(U282="základní",N282,0)</f>
        <v>0</v>
      </c>
      <c r="BF282" s="150">
        <f>IF(U282="snížená",N282,0)</f>
        <v>0</v>
      </c>
      <c r="BG282" s="150">
        <f>IF(U282="zákl. přenesená",N282,0)</f>
        <v>0</v>
      </c>
      <c r="BH282" s="150">
        <f>IF(U282="sníž. přenesená",N282,0)</f>
        <v>0</v>
      </c>
      <c r="BI282" s="150">
        <f>IF(U282="nulová",N282,0)</f>
        <v>0</v>
      </c>
      <c r="BJ282" s="21" t="s">
        <v>21</v>
      </c>
      <c r="BK282" s="150">
        <f>ROUND(L282*K282,2)</f>
        <v>0</v>
      </c>
      <c r="BL282" s="21" t="s">
        <v>172</v>
      </c>
      <c r="BM282" s="21" t="s">
        <v>1191</v>
      </c>
    </row>
    <row r="283" spans="2:65" s="1" customFormat="1" ht="31.5" customHeight="1">
      <c r="B283" s="141"/>
      <c r="C283" s="201" t="s">
        <v>276</v>
      </c>
      <c r="D283" s="201" t="s">
        <v>168</v>
      </c>
      <c r="E283" s="202" t="s">
        <v>1399</v>
      </c>
      <c r="F283" s="317" t="s">
        <v>1400</v>
      </c>
      <c r="G283" s="317"/>
      <c r="H283" s="317"/>
      <c r="I283" s="317"/>
      <c r="J283" s="203" t="s">
        <v>176</v>
      </c>
      <c r="K283" s="204">
        <f>+K290</f>
        <v>1977.73</v>
      </c>
      <c r="L283" s="318"/>
      <c r="M283" s="318"/>
      <c r="N283" s="318">
        <f>ROUND(L283*K283,2)</f>
        <v>0</v>
      </c>
      <c r="O283" s="318"/>
      <c r="P283" s="318"/>
      <c r="Q283" s="318"/>
      <c r="R283" s="205"/>
      <c r="T283" s="147" t="s">
        <v>5</v>
      </c>
      <c r="U283" s="44" t="s">
        <v>43</v>
      </c>
      <c r="V283" s="148">
        <v>0.75</v>
      </c>
      <c r="W283" s="148">
        <f>V283*K283</f>
        <v>1483.2975000000001</v>
      </c>
      <c r="X283" s="148">
        <v>0</v>
      </c>
      <c r="Y283" s="148">
        <f>X283*K283</f>
        <v>0</v>
      </c>
      <c r="Z283" s="148">
        <v>0</v>
      </c>
      <c r="AA283" s="149">
        <f>Z283*K283</f>
        <v>0</v>
      </c>
      <c r="AR283" s="21" t="s">
        <v>172</v>
      </c>
      <c r="AT283" s="21" t="s">
        <v>168</v>
      </c>
      <c r="AU283" s="21" t="s">
        <v>135</v>
      </c>
      <c r="AY283" s="21" t="s">
        <v>167</v>
      </c>
      <c r="BE283" s="150">
        <f>IF(U283="základní",N283,0)</f>
        <v>0</v>
      </c>
      <c r="BF283" s="150">
        <f>IF(U283="snížená",N283,0)</f>
        <v>0</v>
      </c>
      <c r="BG283" s="150">
        <f>IF(U283="zákl. přenesená",N283,0)</f>
        <v>0</v>
      </c>
      <c r="BH283" s="150">
        <f>IF(U283="sníž. přenesená",N283,0)</f>
        <v>0</v>
      </c>
      <c r="BI283" s="150">
        <f>IF(U283="nulová",N283,0)</f>
        <v>0</v>
      </c>
      <c r="BJ283" s="21" t="s">
        <v>21</v>
      </c>
      <c r="BK283" s="150">
        <f>ROUND(L283*K283,2)</f>
        <v>0</v>
      </c>
      <c r="BL283" s="21" t="s">
        <v>172</v>
      </c>
      <c r="BM283" s="21" t="s">
        <v>1401</v>
      </c>
    </row>
    <row r="284" spans="2:51" s="10" customFormat="1" ht="22.5" customHeight="1">
      <c r="B284" s="151"/>
      <c r="C284" s="206"/>
      <c r="D284" s="206"/>
      <c r="E284" s="207" t="s">
        <v>5</v>
      </c>
      <c r="F284" s="319" t="s">
        <v>1395</v>
      </c>
      <c r="G284" s="320"/>
      <c r="H284" s="320"/>
      <c r="I284" s="320"/>
      <c r="J284" s="206"/>
      <c r="K284" s="208" t="s">
        <v>5</v>
      </c>
      <c r="L284" s="206"/>
      <c r="M284" s="206"/>
      <c r="N284" s="206"/>
      <c r="O284" s="206"/>
      <c r="P284" s="206"/>
      <c r="Q284" s="206"/>
      <c r="R284" s="209"/>
      <c r="T284" s="156"/>
      <c r="U284" s="152"/>
      <c r="V284" s="152"/>
      <c r="W284" s="152"/>
      <c r="X284" s="152"/>
      <c r="Y284" s="152"/>
      <c r="Z284" s="152"/>
      <c r="AA284" s="157"/>
      <c r="AT284" s="158" t="s">
        <v>179</v>
      </c>
      <c r="AU284" s="158" t="s">
        <v>135</v>
      </c>
      <c r="AV284" s="10" t="s">
        <v>21</v>
      </c>
      <c r="AW284" s="10" t="s">
        <v>35</v>
      </c>
      <c r="AX284" s="10" t="s">
        <v>78</v>
      </c>
      <c r="AY284" s="158" t="s">
        <v>167</v>
      </c>
    </row>
    <row r="285" spans="2:51" s="11" customFormat="1" ht="22.5" customHeight="1">
      <c r="B285" s="159"/>
      <c r="C285" s="210"/>
      <c r="D285" s="210"/>
      <c r="E285" s="211" t="s">
        <v>5</v>
      </c>
      <c r="F285" s="321">
        <v>6229.108</v>
      </c>
      <c r="G285" s="322"/>
      <c r="H285" s="322"/>
      <c r="I285" s="322"/>
      <c r="J285" s="210"/>
      <c r="K285" s="212">
        <v>6229.108</v>
      </c>
      <c r="L285" s="210"/>
      <c r="M285" s="210"/>
      <c r="N285" s="210"/>
      <c r="O285" s="210"/>
      <c r="P285" s="210"/>
      <c r="Q285" s="210"/>
      <c r="R285" s="213"/>
      <c r="T285" s="164"/>
      <c r="U285" s="198"/>
      <c r="V285" s="198"/>
      <c r="W285" s="198"/>
      <c r="X285" s="198"/>
      <c r="Y285" s="198"/>
      <c r="Z285" s="198"/>
      <c r="AA285" s="165"/>
      <c r="AT285" s="166" t="s">
        <v>179</v>
      </c>
      <c r="AU285" s="166" t="s">
        <v>135</v>
      </c>
      <c r="AV285" s="11" t="s">
        <v>135</v>
      </c>
      <c r="AW285" s="11" t="s">
        <v>35</v>
      </c>
      <c r="AX285" s="11" t="s">
        <v>78</v>
      </c>
      <c r="AY285" s="166" t="s">
        <v>167</v>
      </c>
    </row>
    <row r="286" spans="2:51" s="10" customFormat="1" ht="22.5" customHeight="1">
      <c r="B286" s="151"/>
      <c r="C286" s="206"/>
      <c r="D286" s="206"/>
      <c r="E286" s="207" t="s">
        <v>5</v>
      </c>
      <c r="F286" s="325" t="s">
        <v>1396</v>
      </c>
      <c r="G286" s="326"/>
      <c r="H286" s="326"/>
      <c r="I286" s="326"/>
      <c r="J286" s="206"/>
      <c r="K286" s="208" t="s">
        <v>5</v>
      </c>
      <c r="L286" s="206"/>
      <c r="M286" s="206"/>
      <c r="N286" s="206"/>
      <c r="O286" s="206"/>
      <c r="P286" s="206"/>
      <c r="Q286" s="206"/>
      <c r="R286" s="209"/>
      <c r="T286" s="156"/>
      <c r="U286" s="152"/>
      <c r="V286" s="152"/>
      <c r="W286" s="152"/>
      <c r="X286" s="152"/>
      <c r="Y286" s="152"/>
      <c r="Z286" s="152"/>
      <c r="AA286" s="157"/>
      <c r="AT286" s="158" t="s">
        <v>179</v>
      </c>
      <c r="AU286" s="158" t="s">
        <v>135</v>
      </c>
      <c r="AV286" s="10" t="s">
        <v>21</v>
      </c>
      <c r="AW286" s="10" t="s">
        <v>35</v>
      </c>
      <c r="AX286" s="10" t="s">
        <v>78</v>
      </c>
      <c r="AY286" s="158" t="s">
        <v>167</v>
      </c>
    </row>
    <row r="287" spans="2:51" s="11" customFormat="1" ht="22.5" customHeight="1">
      <c r="B287" s="159"/>
      <c r="C287" s="210"/>
      <c r="D287" s="210"/>
      <c r="E287" s="211" t="s">
        <v>5</v>
      </c>
      <c r="F287" s="321" t="s">
        <v>1397</v>
      </c>
      <c r="G287" s="322"/>
      <c r="H287" s="322"/>
      <c r="I287" s="322"/>
      <c r="J287" s="210"/>
      <c r="K287" s="212">
        <f>-2335.97*1.1*0.5</f>
        <v>-1284.7835</v>
      </c>
      <c r="L287" s="210"/>
      <c r="M287" s="210"/>
      <c r="N287" s="210"/>
      <c r="O287" s="210"/>
      <c r="P287" s="210"/>
      <c r="Q287" s="210"/>
      <c r="R287" s="213"/>
      <c r="T287" s="164"/>
      <c r="U287" s="198"/>
      <c r="V287" s="198"/>
      <c r="W287" s="198"/>
      <c r="X287" s="198"/>
      <c r="Y287" s="198"/>
      <c r="Z287" s="198"/>
      <c r="AA287" s="165"/>
      <c r="AT287" s="166" t="s">
        <v>179</v>
      </c>
      <c r="AU287" s="166" t="s">
        <v>135</v>
      </c>
      <c r="AV287" s="11" t="s">
        <v>135</v>
      </c>
      <c r="AW287" s="11" t="s">
        <v>35</v>
      </c>
      <c r="AX287" s="11" t="s">
        <v>78</v>
      </c>
      <c r="AY287" s="166" t="s">
        <v>167</v>
      </c>
    </row>
    <row r="288" spans="2:51" s="12" customFormat="1" ht="22.5" customHeight="1">
      <c r="B288" s="167"/>
      <c r="C288" s="218"/>
      <c r="D288" s="218"/>
      <c r="E288" s="219" t="s">
        <v>5</v>
      </c>
      <c r="F288" s="327" t="s">
        <v>183</v>
      </c>
      <c r="G288" s="328"/>
      <c r="H288" s="328"/>
      <c r="I288" s="328"/>
      <c r="J288" s="218"/>
      <c r="K288" s="220">
        <f>SUM(K284:K287)</f>
        <v>4944.324500000001</v>
      </c>
      <c r="L288" s="218"/>
      <c r="M288" s="218"/>
      <c r="N288" s="218"/>
      <c r="O288" s="218"/>
      <c r="P288" s="218"/>
      <c r="Q288" s="218"/>
      <c r="R288" s="221"/>
      <c r="T288" s="172"/>
      <c r="U288" s="168"/>
      <c r="V288" s="168"/>
      <c r="W288" s="168"/>
      <c r="X288" s="168"/>
      <c r="Y288" s="168"/>
      <c r="Z288" s="168"/>
      <c r="AA288" s="173"/>
      <c r="AT288" s="174" t="s">
        <v>179</v>
      </c>
      <c r="AU288" s="174" t="s">
        <v>135</v>
      </c>
      <c r="AV288" s="12" t="s">
        <v>172</v>
      </c>
      <c r="AW288" s="12" t="s">
        <v>35</v>
      </c>
      <c r="AX288" s="12" t="s">
        <v>78</v>
      </c>
      <c r="AY288" s="174" t="s">
        <v>167</v>
      </c>
    </row>
    <row r="289" spans="2:51" s="10" customFormat="1" ht="22.5" customHeight="1">
      <c r="B289" s="151"/>
      <c r="C289" s="206"/>
      <c r="D289" s="206"/>
      <c r="E289" s="207" t="s">
        <v>5</v>
      </c>
      <c r="F289" s="325" t="s">
        <v>1402</v>
      </c>
      <c r="G289" s="326"/>
      <c r="H289" s="326"/>
      <c r="I289" s="326"/>
      <c r="J289" s="206"/>
      <c r="K289" s="208" t="s">
        <v>5</v>
      </c>
      <c r="L289" s="206"/>
      <c r="M289" s="206"/>
      <c r="N289" s="206"/>
      <c r="O289" s="206"/>
      <c r="P289" s="206"/>
      <c r="Q289" s="206"/>
      <c r="R289" s="209"/>
      <c r="T289" s="156"/>
      <c r="U289" s="152"/>
      <c r="V289" s="152"/>
      <c r="W289" s="152"/>
      <c r="X289" s="152"/>
      <c r="Y289" s="152"/>
      <c r="Z289" s="152"/>
      <c r="AA289" s="157"/>
      <c r="AT289" s="158" t="s">
        <v>179</v>
      </c>
      <c r="AU289" s="158" t="s">
        <v>135</v>
      </c>
      <c r="AV289" s="10" t="s">
        <v>21</v>
      </c>
      <c r="AW289" s="10" t="s">
        <v>35</v>
      </c>
      <c r="AX289" s="10" t="s">
        <v>78</v>
      </c>
      <c r="AY289" s="158" t="s">
        <v>167</v>
      </c>
    </row>
    <row r="290" spans="2:51" s="11" customFormat="1" ht="22.5" customHeight="1">
      <c r="B290" s="159"/>
      <c r="C290" s="210"/>
      <c r="D290" s="210"/>
      <c r="E290" s="211" t="s">
        <v>5</v>
      </c>
      <c r="F290" s="321" t="s">
        <v>2203</v>
      </c>
      <c r="G290" s="322"/>
      <c r="H290" s="322"/>
      <c r="I290" s="322"/>
      <c r="J290" s="210"/>
      <c r="K290" s="212">
        <f>4944.325*0.4</f>
        <v>1977.73</v>
      </c>
      <c r="L290" s="210"/>
      <c r="M290" s="210"/>
      <c r="N290" s="210"/>
      <c r="O290" s="210"/>
      <c r="P290" s="210"/>
      <c r="Q290" s="210"/>
      <c r="R290" s="213"/>
      <c r="T290" s="164"/>
      <c r="U290" s="198"/>
      <c r="V290" s="198"/>
      <c r="W290" s="198"/>
      <c r="X290" s="198"/>
      <c r="Y290" s="198"/>
      <c r="Z290" s="198"/>
      <c r="AA290" s="165"/>
      <c r="AT290" s="166" t="s">
        <v>179</v>
      </c>
      <c r="AU290" s="166" t="s">
        <v>135</v>
      </c>
      <c r="AV290" s="11" t="s">
        <v>135</v>
      </c>
      <c r="AW290" s="11" t="s">
        <v>35</v>
      </c>
      <c r="AX290" s="11" t="s">
        <v>21</v>
      </c>
      <c r="AY290" s="166" t="s">
        <v>167</v>
      </c>
    </row>
    <row r="291" spans="2:65" s="1" customFormat="1" ht="31.5" customHeight="1">
      <c r="B291" s="141"/>
      <c r="C291" s="201" t="s">
        <v>278</v>
      </c>
      <c r="D291" s="201" t="s">
        <v>168</v>
      </c>
      <c r="E291" s="202" t="s">
        <v>1403</v>
      </c>
      <c r="F291" s="317" t="s">
        <v>1404</v>
      </c>
      <c r="G291" s="317"/>
      <c r="H291" s="317"/>
      <c r="I291" s="317"/>
      <c r="J291" s="203" t="s">
        <v>176</v>
      </c>
      <c r="K291" s="204">
        <f>+K290</f>
        <v>1977.73</v>
      </c>
      <c r="L291" s="318"/>
      <c r="M291" s="318"/>
      <c r="N291" s="318">
        <f>ROUND(L291*K291,2)</f>
        <v>0</v>
      </c>
      <c r="O291" s="318"/>
      <c r="P291" s="318"/>
      <c r="Q291" s="318"/>
      <c r="R291" s="205"/>
      <c r="T291" s="147" t="s">
        <v>5</v>
      </c>
      <c r="U291" s="44" t="s">
        <v>43</v>
      </c>
      <c r="V291" s="148">
        <v>0.198</v>
      </c>
      <c r="W291" s="148">
        <f>V291*K291</f>
        <v>391.59054000000003</v>
      </c>
      <c r="X291" s="148">
        <v>0</v>
      </c>
      <c r="Y291" s="148">
        <f>X291*K291</f>
        <v>0</v>
      </c>
      <c r="Z291" s="148">
        <v>0</v>
      </c>
      <c r="AA291" s="149">
        <f>Z291*K291</f>
        <v>0</v>
      </c>
      <c r="AR291" s="21" t="s">
        <v>172</v>
      </c>
      <c r="AT291" s="21" t="s">
        <v>168</v>
      </c>
      <c r="AU291" s="21" t="s">
        <v>135</v>
      </c>
      <c r="AY291" s="21" t="s">
        <v>167</v>
      </c>
      <c r="BE291" s="150">
        <f>IF(U291="základní",N291,0)</f>
        <v>0</v>
      </c>
      <c r="BF291" s="150">
        <f>IF(U291="snížená",N291,0)</f>
        <v>0</v>
      </c>
      <c r="BG291" s="150">
        <f>IF(U291="zákl. přenesená",N291,0)</f>
        <v>0</v>
      </c>
      <c r="BH291" s="150">
        <f>IF(U291="sníž. přenesená",N291,0)</f>
        <v>0</v>
      </c>
      <c r="BI291" s="150">
        <f>IF(U291="nulová",N291,0)</f>
        <v>0</v>
      </c>
      <c r="BJ291" s="21" t="s">
        <v>21</v>
      </c>
      <c r="BK291" s="150">
        <f>ROUND(L291*K291,2)</f>
        <v>0</v>
      </c>
      <c r="BL291" s="21" t="s">
        <v>172</v>
      </c>
      <c r="BM291" s="21" t="s">
        <v>1405</v>
      </c>
    </row>
    <row r="292" spans="2:65" s="1" customFormat="1" ht="22.5" customHeight="1">
      <c r="B292" s="141"/>
      <c r="C292" s="201" t="s">
        <v>11</v>
      </c>
      <c r="D292" s="201" t="s">
        <v>168</v>
      </c>
      <c r="E292" s="202" t="s">
        <v>1406</v>
      </c>
      <c r="F292" s="317" t="s">
        <v>1407</v>
      </c>
      <c r="G292" s="317"/>
      <c r="H292" s="317"/>
      <c r="I292" s="317"/>
      <c r="J292" s="203" t="s">
        <v>176</v>
      </c>
      <c r="K292" s="204">
        <f>+K299</f>
        <v>1483.2975</v>
      </c>
      <c r="L292" s="318"/>
      <c r="M292" s="318"/>
      <c r="N292" s="318">
        <f>ROUND(L292*K292,2)</f>
        <v>0</v>
      </c>
      <c r="O292" s="318"/>
      <c r="P292" s="318"/>
      <c r="Q292" s="318"/>
      <c r="R292" s="205"/>
      <c r="T292" s="147" t="s">
        <v>5</v>
      </c>
      <c r="U292" s="44" t="s">
        <v>43</v>
      </c>
      <c r="V292" s="148">
        <v>2.379</v>
      </c>
      <c r="W292" s="148">
        <f>V292*K292</f>
        <v>3528.7647524999998</v>
      </c>
      <c r="X292" s="148">
        <v>0.01046</v>
      </c>
      <c r="Y292" s="148">
        <f>X292*K292</f>
        <v>15.51529185</v>
      </c>
      <c r="Z292" s="148">
        <v>0</v>
      </c>
      <c r="AA292" s="149">
        <f>Z292*K292</f>
        <v>0</v>
      </c>
      <c r="AR292" s="21" t="s">
        <v>172</v>
      </c>
      <c r="AT292" s="21" t="s">
        <v>168</v>
      </c>
      <c r="AU292" s="21" t="s">
        <v>135</v>
      </c>
      <c r="AY292" s="21" t="s">
        <v>167</v>
      </c>
      <c r="BE292" s="150">
        <f>IF(U292="základní",N292,0)</f>
        <v>0</v>
      </c>
      <c r="BF292" s="150">
        <f>IF(U292="snížená",N292,0)</f>
        <v>0</v>
      </c>
      <c r="BG292" s="150">
        <f>IF(U292="zákl. přenesená",N292,0)</f>
        <v>0</v>
      </c>
      <c r="BH292" s="150">
        <f>IF(U292="sníž. přenesená",N292,0)</f>
        <v>0</v>
      </c>
      <c r="BI292" s="150">
        <f>IF(U292="nulová",N292,0)</f>
        <v>0</v>
      </c>
      <c r="BJ292" s="21" t="s">
        <v>21</v>
      </c>
      <c r="BK292" s="150">
        <f>ROUND(L292*K292,2)</f>
        <v>0</v>
      </c>
      <c r="BL292" s="21" t="s">
        <v>172</v>
      </c>
      <c r="BM292" s="21" t="s">
        <v>1408</v>
      </c>
    </row>
    <row r="293" spans="2:51" s="10" customFormat="1" ht="22.5" customHeight="1">
      <c r="B293" s="151"/>
      <c r="C293" s="206"/>
      <c r="D293" s="206"/>
      <c r="E293" s="207" t="s">
        <v>5</v>
      </c>
      <c r="F293" s="319" t="s">
        <v>1395</v>
      </c>
      <c r="G293" s="320"/>
      <c r="H293" s="320"/>
      <c r="I293" s="320"/>
      <c r="J293" s="206"/>
      <c r="K293" s="208" t="s">
        <v>5</v>
      </c>
      <c r="L293" s="206"/>
      <c r="M293" s="206"/>
      <c r="N293" s="206"/>
      <c r="O293" s="206"/>
      <c r="P293" s="206"/>
      <c r="Q293" s="206"/>
      <c r="R293" s="209"/>
      <c r="T293" s="156"/>
      <c r="U293" s="152"/>
      <c r="V293" s="152"/>
      <c r="W293" s="152"/>
      <c r="X293" s="152"/>
      <c r="Y293" s="152"/>
      <c r="Z293" s="152"/>
      <c r="AA293" s="157"/>
      <c r="AT293" s="158" t="s">
        <v>179</v>
      </c>
      <c r="AU293" s="158" t="s">
        <v>135</v>
      </c>
      <c r="AV293" s="10" t="s">
        <v>21</v>
      </c>
      <c r="AW293" s="10" t="s">
        <v>35</v>
      </c>
      <c r="AX293" s="10" t="s">
        <v>78</v>
      </c>
      <c r="AY293" s="158" t="s">
        <v>167</v>
      </c>
    </row>
    <row r="294" spans="2:51" s="11" customFormat="1" ht="22.5" customHeight="1">
      <c r="B294" s="159"/>
      <c r="C294" s="210"/>
      <c r="D294" s="210"/>
      <c r="E294" s="211" t="s">
        <v>5</v>
      </c>
      <c r="F294" s="321">
        <v>6229.108</v>
      </c>
      <c r="G294" s="322"/>
      <c r="H294" s="322"/>
      <c r="I294" s="322"/>
      <c r="J294" s="210"/>
      <c r="K294" s="212">
        <v>6229.108</v>
      </c>
      <c r="L294" s="210"/>
      <c r="M294" s="210"/>
      <c r="N294" s="210"/>
      <c r="O294" s="210"/>
      <c r="P294" s="210"/>
      <c r="Q294" s="210"/>
      <c r="R294" s="213"/>
      <c r="T294" s="164"/>
      <c r="U294" s="198"/>
      <c r="V294" s="198"/>
      <c r="W294" s="198"/>
      <c r="X294" s="198"/>
      <c r="Y294" s="198"/>
      <c r="Z294" s="198"/>
      <c r="AA294" s="165"/>
      <c r="AT294" s="166" t="s">
        <v>179</v>
      </c>
      <c r="AU294" s="166" t="s">
        <v>135</v>
      </c>
      <c r="AV294" s="11" t="s">
        <v>135</v>
      </c>
      <c r="AW294" s="11" t="s">
        <v>35</v>
      </c>
      <c r="AX294" s="11" t="s">
        <v>78</v>
      </c>
      <c r="AY294" s="166" t="s">
        <v>167</v>
      </c>
    </row>
    <row r="295" spans="2:51" s="10" customFormat="1" ht="22.5" customHeight="1">
      <c r="B295" s="151"/>
      <c r="C295" s="206"/>
      <c r="D295" s="206"/>
      <c r="E295" s="207" t="s">
        <v>5</v>
      </c>
      <c r="F295" s="325" t="s">
        <v>1396</v>
      </c>
      <c r="G295" s="326"/>
      <c r="H295" s="326"/>
      <c r="I295" s="326"/>
      <c r="J295" s="206"/>
      <c r="K295" s="208" t="s">
        <v>5</v>
      </c>
      <c r="L295" s="206"/>
      <c r="M295" s="206"/>
      <c r="N295" s="206"/>
      <c r="O295" s="206"/>
      <c r="P295" s="206"/>
      <c r="Q295" s="206"/>
      <c r="R295" s="209"/>
      <c r="T295" s="156"/>
      <c r="U295" s="152"/>
      <c r="V295" s="152"/>
      <c r="W295" s="152"/>
      <c r="X295" s="152"/>
      <c r="Y295" s="152"/>
      <c r="Z295" s="152"/>
      <c r="AA295" s="157"/>
      <c r="AT295" s="158" t="s">
        <v>179</v>
      </c>
      <c r="AU295" s="158" t="s">
        <v>135</v>
      </c>
      <c r="AV295" s="10" t="s">
        <v>21</v>
      </c>
      <c r="AW295" s="10" t="s">
        <v>35</v>
      </c>
      <c r="AX295" s="10" t="s">
        <v>78</v>
      </c>
      <c r="AY295" s="158" t="s">
        <v>167</v>
      </c>
    </row>
    <row r="296" spans="2:51" s="11" customFormat="1" ht="22.5" customHeight="1">
      <c r="B296" s="159"/>
      <c r="C296" s="210"/>
      <c r="D296" s="210"/>
      <c r="E296" s="211" t="s">
        <v>5</v>
      </c>
      <c r="F296" s="321" t="s">
        <v>1397</v>
      </c>
      <c r="G296" s="322"/>
      <c r="H296" s="322"/>
      <c r="I296" s="322"/>
      <c r="J296" s="210"/>
      <c r="K296" s="212">
        <f>-2335.97*1.1*0.5</f>
        <v>-1284.7835</v>
      </c>
      <c r="L296" s="210"/>
      <c r="M296" s="210"/>
      <c r="N296" s="210"/>
      <c r="O296" s="210"/>
      <c r="P296" s="210"/>
      <c r="Q296" s="210"/>
      <c r="R296" s="213"/>
      <c r="T296" s="164"/>
      <c r="U296" s="198"/>
      <c r="V296" s="198"/>
      <c r="W296" s="198"/>
      <c r="X296" s="198"/>
      <c r="Y296" s="198"/>
      <c r="Z296" s="198"/>
      <c r="AA296" s="165"/>
      <c r="AT296" s="166" t="s">
        <v>179</v>
      </c>
      <c r="AU296" s="166" t="s">
        <v>135</v>
      </c>
      <c r="AV296" s="11" t="s">
        <v>135</v>
      </c>
      <c r="AW296" s="11" t="s">
        <v>35</v>
      </c>
      <c r="AX296" s="11" t="s">
        <v>78</v>
      </c>
      <c r="AY296" s="166" t="s">
        <v>167</v>
      </c>
    </row>
    <row r="297" spans="2:51" s="12" customFormat="1" ht="22.5" customHeight="1">
      <c r="B297" s="167"/>
      <c r="C297" s="218"/>
      <c r="D297" s="218"/>
      <c r="E297" s="219" t="s">
        <v>5</v>
      </c>
      <c r="F297" s="327" t="s">
        <v>183</v>
      </c>
      <c r="G297" s="328"/>
      <c r="H297" s="328"/>
      <c r="I297" s="328"/>
      <c r="J297" s="218"/>
      <c r="K297" s="220">
        <f>SUM(K293:K296)</f>
        <v>4944.324500000001</v>
      </c>
      <c r="L297" s="218"/>
      <c r="M297" s="218"/>
      <c r="N297" s="218"/>
      <c r="O297" s="218"/>
      <c r="P297" s="218"/>
      <c r="Q297" s="218"/>
      <c r="R297" s="221"/>
      <c r="T297" s="172"/>
      <c r="U297" s="168"/>
      <c r="V297" s="168"/>
      <c r="W297" s="168"/>
      <c r="X297" s="168"/>
      <c r="Y297" s="168"/>
      <c r="Z297" s="168"/>
      <c r="AA297" s="173"/>
      <c r="AT297" s="174" t="s">
        <v>179</v>
      </c>
      <c r="AU297" s="174" t="s">
        <v>135</v>
      </c>
      <c r="AV297" s="12" t="s">
        <v>172</v>
      </c>
      <c r="AW297" s="12" t="s">
        <v>35</v>
      </c>
      <c r="AX297" s="12" t="s">
        <v>78</v>
      </c>
      <c r="AY297" s="174" t="s">
        <v>167</v>
      </c>
    </row>
    <row r="298" spans="2:51" s="10" customFormat="1" ht="22.5" customHeight="1">
      <c r="B298" s="151"/>
      <c r="C298" s="206"/>
      <c r="D298" s="206"/>
      <c r="E298" s="207" t="s">
        <v>5</v>
      </c>
      <c r="F298" s="325" t="s">
        <v>1409</v>
      </c>
      <c r="G298" s="326"/>
      <c r="H298" s="326"/>
      <c r="I298" s="326"/>
      <c r="J298" s="206"/>
      <c r="K298" s="208" t="s">
        <v>5</v>
      </c>
      <c r="L298" s="206"/>
      <c r="M298" s="206"/>
      <c r="N298" s="206"/>
      <c r="O298" s="206"/>
      <c r="P298" s="206"/>
      <c r="Q298" s="206"/>
      <c r="R298" s="209"/>
      <c r="T298" s="156"/>
      <c r="U298" s="152"/>
      <c r="V298" s="152"/>
      <c r="W298" s="152"/>
      <c r="X298" s="152"/>
      <c r="Y298" s="152"/>
      <c r="Z298" s="152"/>
      <c r="AA298" s="157"/>
      <c r="AT298" s="158" t="s">
        <v>179</v>
      </c>
      <c r="AU298" s="158" t="s">
        <v>135</v>
      </c>
      <c r="AV298" s="10" t="s">
        <v>21</v>
      </c>
      <c r="AW298" s="10" t="s">
        <v>35</v>
      </c>
      <c r="AX298" s="10" t="s">
        <v>78</v>
      </c>
      <c r="AY298" s="158" t="s">
        <v>167</v>
      </c>
    </row>
    <row r="299" spans="2:51" s="11" customFormat="1" ht="22.5" customHeight="1">
      <c r="B299" s="159"/>
      <c r="C299" s="210"/>
      <c r="D299" s="210"/>
      <c r="E299" s="211" t="s">
        <v>5</v>
      </c>
      <c r="F299" s="321" t="s">
        <v>2202</v>
      </c>
      <c r="G299" s="322"/>
      <c r="H299" s="322"/>
      <c r="I299" s="322"/>
      <c r="J299" s="210"/>
      <c r="K299" s="212">
        <f>4944.325*0.3</f>
        <v>1483.2975</v>
      </c>
      <c r="L299" s="210"/>
      <c r="M299" s="210"/>
      <c r="N299" s="210"/>
      <c r="O299" s="210"/>
      <c r="P299" s="210"/>
      <c r="Q299" s="210"/>
      <c r="R299" s="213"/>
      <c r="T299" s="164"/>
      <c r="U299" s="198"/>
      <c r="V299" s="198"/>
      <c r="W299" s="198"/>
      <c r="X299" s="198"/>
      <c r="Y299" s="198"/>
      <c r="Z299" s="198"/>
      <c r="AA299" s="165"/>
      <c r="AT299" s="166" t="s">
        <v>179</v>
      </c>
      <c r="AU299" s="166" t="s">
        <v>135</v>
      </c>
      <c r="AV299" s="11" t="s">
        <v>135</v>
      </c>
      <c r="AW299" s="11" t="s">
        <v>35</v>
      </c>
      <c r="AX299" s="11" t="s">
        <v>21</v>
      </c>
      <c r="AY299" s="166" t="s">
        <v>167</v>
      </c>
    </row>
    <row r="300" spans="2:65" s="1" customFormat="1" ht="31.5" customHeight="1">
      <c r="B300" s="141"/>
      <c r="C300" s="201" t="s">
        <v>281</v>
      </c>
      <c r="D300" s="201" t="s">
        <v>168</v>
      </c>
      <c r="E300" s="202" t="s">
        <v>508</v>
      </c>
      <c r="F300" s="317" t="s">
        <v>509</v>
      </c>
      <c r="G300" s="317"/>
      <c r="H300" s="317"/>
      <c r="I300" s="317"/>
      <c r="J300" s="203" t="s">
        <v>176</v>
      </c>
      <c r="K300" s="204">
        <f>+K302</f>
        <v>41.73</v>
      </c>
      <c r="L300" s="318"/>
      <c r="M300" s="318"/>
      <c r="N300" s="318">
        <f>ROUND(L300*K300,2)</f>
        <v>0</v>
      </c>
      <c r="O300" s="318"/>
      <c r="P300" s="318"/>
      <c r="Q300" s="318"/>
      <c r="R300" s="205"/>
      <c r="T300" s="147" t="s">
        <v>5</v>
      </c>
      <c r="U300" s="44" t="s">
        <v>43</v>
      </c>
      <c r="V300" s="148">
        <v>3.14</v>
      </c>
      <c r="W300" s="148">
        <f>V300*K300</f>
        <v>131.0322</v>
      </c>
      <c r="X300" s="148">
        <v>0</v>
      </c>
      <c r="Y300" s="148">
        <f>X300*K300</f>
        <v>0</v>
      </c>
      <c r="Z300" s="148">
        <v>0</v>
      </c>
      <c r="AA300" s="149">
        <f>Z300*K300</f>
        <v>0</v>
      </c>
      <c r="AR300" s="21" t="s">
        <v>172</v>
      </c>
      <c r="AT300" s="21" t="s">
        <v>168</v>
      </c>
      <c r="AU300" s="21" t="s">
        <v>135</v>
      </c>
      <c r="AY300" s="21" t="s">
        <v>167</v>
      </c>
      <c r="BE300" s="150">
        <f>IF(U300="základní",N300,0)</f>
        <v>0</v>
      </c>
      <c r="BF300" s="150">
        <f>IF(U300="snížená",N300,0)</f>
        <v>0</v>
      </c>
      <c r="BG300" s="150">
        <f>IF(U300="zákl. přenesená",N300,0)</f>
        <v>0</v>
      </c>
      <c r="BH300" s="150">
        <f>IF(U300="sníž. přenesená",N300,0)</f>
        <v>0</v>
      </c>
      <c r="BI300" s="150">
        <f>IF(U300="nulová",N300,0)</f>
        <v>0</v>
      </c>
      <c r="BJ300" s="21" t="s">
        <v>21</v>
      </c>
      <c r="BK300" s="150">
        <f>ROUND(L300*K300,2)</f>
        <v>0</v>
      </c>
      <c r="BL300" s="21" t="s">
        <v>172</v>
      </c>
      <c r="BM300" s="21" t="s">
        <v>1410</v>
      </c>
    </row>
    <row r="301" spans="2:51" s="10" customFormat="1" ht="22.5" customHeight="1">
      <c r="B301" s="151"/>
      <c r="C301" s="206"/>
      <c r="D301" s="206"/>
      <c r="E301" s="207" t="s">
        <v>5</v>
      </c>
      <c r="F301" s="319" t="s">
        <v>1411</v>
      </c>
      <c r="G301" s="320"/>
      <c r="H301" s="320"/>
      <c r="I301" s="320"/>
      <c r="J301" s="206"/>
      <c r="K301" s="208" t="s">
        <v>5</v>
      </c>
      <c r="L301" s="206"/>
      <c r="M301" s="206"/>
      <c r="N301" s="206"/>
      <c r="O301" s="206"/>
      <c r="P301" s="206"/>
      <c r="Q301" s="206"/>
      <c r="R301" s="209"/>
      <c r="T301" s="156"/>
      <c r="U301" s="197"/>
      <c r="V301" s="197"/>
      <c r="W301" s="197"/>
      <c r="X301" s="197"/>
      <c r="Y301" s="197"/>
      <c r="Z301" s="197"/>
      <c r="AA301" s="157"/>
      <c r="AT301" s="158" t="s">
        <v>179</v>
      </c>
      <c r="AU301" s="158" t="s">
        <v>135</v>
      </c>
      <c r="AV301" s="10" t="s">
        <v>21</v>
      </c>
      <c r="AW301" s="10" t="s">
        <v>35</v>
      </c>
      <c r="AX301" s="10" t="s">
        <v>78</v>
      </c>
      <c r="AY301" s="158" t="s">
        <v>167</v>
      </c>
    </row>
    <row r="302" spans="2:51" s="11" customFormat="1" ht="22.5" customHeight="1">
      <c r="B302" s="159"/>
      <c r="C302" s="210"/>
      <c r="D302" s="210"/>
      <c r="E302" s="211" t="s">
        <v>5</v>
      </c>
      <c r="F302" s="321" t="s">
        <v>2204</v>
      </c>
      <c r="G302" s="322"/>
      <c r="H302" s="322"/>
      <c r="I302" s="322"/>
      <c r="J302" s="210"/>
      <c r="K302" s="212">
        <f>139.1*0.3</f>
        <v>41.73</v>
      </c>
      <c r="L302" s="210"/>
      <c r="M302" s="210"/>
      <c r="N302" s="210"/>
      <c r="O302" s="210"/>
      <c r="P302" s="210"/>
      <c r="Q302" s="210"/>
      <c r="R302" s="213"/>
      <c r="T302" s="164"/>
      <c r="U302" s="160"/>
      <c r="V302" s="160"/>
      <c r="W302" s="160"/>
      <c r="X302" s="160"/>
      <c r="Y302" s="160"/>
      <c r="Z302" s="160"/>
      <c r="AA302" s="165"/>
      <c r="AT302" s="166" t="s">
        <v>179</v>
      </c>
      <c r="AU302" s="166" t="s">
        <v>135</v>
      </c>
      <c r="AV302" s="11" t="s">
        <v>135</v>
      </c>
      <c r="AW302" s="11" t="s">
        <v>35</v>
      </c>
      <c r="AX302" s="11" t="s">
        <v>21</v>
      </c>
      <c r="AY302" s="166" t="s">
        <v>167</v>
      </c>
    </row>
    <row r="303" spans="2:65" s="1" customFormat="1" ht="31.5" customHeight="1">
      <c r="B303" s="141"/>
      <c r="C303" s="201" t="s">
        <v>288</v>
      </c>
      <c r="D303" s="201" t="s">
        <v>168</v>
      </c>
      <c r="E303" s="202" t="s">
        <v>512</v>
      </c>
      <c r="F303" s="317" t="s">
        <v>513</v>
      </c>
      <c r="G303" s="317"/>
      <c r="H303" s="317"/>
      <c r="I303" s="317"/>
      <c r="J303" s="203" t="s">
        <v>176</v>
      </c>
      <c r="K303" s="204">
        <f>+K300</f>
        <v>41.73</v>
      </c>
      <c r="L303" s="318"/>
      <c r="M303" s="318"/>
      <c r="N303" s="318">
        <f>ROUND(L303*K303,2)</f>
        <v>0</v>
      </c>
      <c r="O303" s="318"/>
      <c r="P303" s="318"/>
      <c r="Q303" s="318"/>
      <c r="R303" s="205"/>
      <c r="T303" s="147" t="s">
        <v>5</v>
      </c>
      <c r="U303" s="44" t="s">
        <v>43</v>
      </c>
      <c r="V303" s="148">
        <v>0.474</v>
      </c>
      <c r="W303" s="148">
        <f>V303*K303</f>
        <v>19.780019999999997</v>
      </c>
      <c r="X303" s="148">
        <v>0</v>
      </c>
      <c r="Y303" s="148">
        <f>X303*K303</f>
        <v>0</v>
      </c>
      <c r="Z303" s="148">
        <v>0</v>
      </c>
      <c r="AA303" s="149">
        <f>Z303*K303</f>
        <v>0</v>
      </c>
      <c r="AR303" s="21" t="s">
        <v>172</v>
      </c>
      <c r="AT303" s="21" t="s">
        <v>168</v>
      </c>
      <c r="AU303" s="21" t="s">
        <v>135</v>
      </c>
      <c r="AY303" s="21" t="s">
        <v>167</v>
      </c>
      <c r="BE303" s="150">
        <f>IF(U303="základní",N303,0)</f>
        <v>0</v>
      </c>
      <c r="BF303" s="150">
        <f>IF(U303="snížená",N303,0)</f>
        <v>0</v>
      </c>
      <c r="BG303" s="150">
        <f>IF(U303="zákl. přenesená",N303,0)</f>
        <v>0</v>
      </c>
      <c r="BH303" s="150">
        <f>IF(U303="sníž. přenesená",N303,0)</f>
        <v>0</v>
      </c>
      <c r="BI303" s="150">
        <f>IF(U303="nulová",N303,0)</f>
        <v>0</v>
      </c>
      <c r="BJ303" s="21" t="s">
        <v>21</v>
      </c>
      <c r="BK303" s="150">
        <f>ROUND(L303*K303,2)</f>
        <v>0</v>
      </c>
      <c r="BL303" s="21" t="s">
        <v>172</v>
      </c>
      <c r="BM303" s="21" t="s">
        <v>1412</v>
      </c>
    </row>
    <row r="304" spans="2:65" s="1" customFormat="1" ht="31.5" customHeight="1">
      <c r="B304" s="141"/>
      <c r="C304" s="201" t="s">
        <v>295</v>
      </c>
      <c r="D304" s="201" t="s">
        <v>168</v>
      </c>
      <c r="E304" s="202" t="s">
        <v>1413</v>
      </c>
      <c r="F304" s="317" t="s">
        <v>1414</v>
      </c>
      <c r="G304" s="317"/>
      <c r="H304" s="317"/>
      <c r="I304" s="317"/>
      <c r="J304" s="203" t="s">
        <v>176</v>
      </c>
      <c r="K304" s="204">
        <f>+K306</f>
        <v>55.64</v>
      </c>
      <c r="L304" s="318"/>
      <c r="M304" s="318"/>
      <c r="N304" s="318">
        <f>ROUND(L304*K304,2)</f>
        <v>0</v>
      </c>
      <c r="O304" s="318"/>
      <c r="P304" s="318"/>
      <c r="Q304" s="318"/>
      <c r="R304" s="205"/>
      <c r="T304" s="147" t="s">
        <v>5</v>
      </c>
      <c r="U304" s="44" t="s">
        <v>43</v>
      </c>
      <c r="V304" s="148">
        <v>4.627</v>
      </c>
      <c r="W304" s="148">
        <f>V304*K304</f>
        <v>257.44628</v>
      </c>
      <c r="X304" s="148">
        <v>0</v>
      </c>
      <c r="Y304" s="148">
        <f>X304*K304</f>
        <v>0</v>
      </c>
      <c r="Z304" s="148">
        <v>0</v>
      </c>
      <c r="AA304" s="149">
        <f>Z304*K304</f>
        <v>0</v>
      </c>
      <c r="AR304" s="21" t="s">
        <v>172</v>
      </c>
      <c r="AT304" s="21" t="s">
        <v>168</v>
      </c>
      <c r="AU304" s="21" t="s">
        <v>135</v>
      </c>
      <c r="AY304" s="21" t="s">
        <v>167</v>
      </c>
      <c r="BE304" s="150">
        <f>IF(U304="základní",N304,0)</f>
        <v>0</v>
      </c>
      <c r="BF304" s="150">
        <f>IF(U304="snížená",N304,0)</f>
        <v>0</v>
      </c>
      <c r="BG304" s="150">
        <f>IF(U304="zákl. přenesená",N304,0)</f>
        <v>0</v>
      </c>
      <c r="BH304" s="150">
        <f>IF(U304="sníž. přenesená",N304,0)</f>
        <v>0</v>
      </c>
      <c r="BI304" s="150">
        <f>IF(U304="nulová",N304,0)</f>
        <v>0</v>
      </c>
      <c r="BJ304" s="21" t="s">
        <v>21</v>
      </c>
      <c r="BK304" s="150">
        <f>ROUND(L304*K304,2)</f>
        <v>0</v>
      </c>
      <c r="BL304" s="21" t="s">
        <v>172</v>
      </c>
      <c r="BM304" s="21" t="s">
        <v>1415</v>
      </c>
    </row>
    <row r="305" spans="2:51" s="10" customFormat="1" ht="22.5" customHeight="1">
      <c r="B305" s="151"/>
      <c r="C305" s="206"/>
      <c r="D305" s="206"/>
      <c r="E305" s="207" t="s">
        <v>5</v>
      </c>
      <c r="F305" s="319" t="s">
        <v>1416</v>
      </c>
      <c r="G305" s="320"/>
      <c r="H305" s="320"/>
      <c r="I305" s="320"/>
      <c r="J305" s="206"/>
      <c r="K305" s="208" t="s">
        <v>5</v>
      </c>
      <c r="L305" s="206"/>
      <c r="M305" s="206"/>
      <c r="N305" s="206"/>
      <c r="O305" s="206"/>
      <c r="P305" s="206"/>
      <c r="Q305" s="206"/>
      <c r="R305" s="209"/>
      <c r="T305" s="156"/>
      <c r="U305" s="152"/>
      <c r="V305" s="152"/>
      <c r="W305" s="152"/>
      <c r="X305" s="152"/>
      <c r="Y305" s="152"/>
      <c r="Z305" s="152"/>
      <c r="AA305" s="157"/>
      <c r="AT305" s="158" t="s">
        <v>179</v>
      </c>
      <c r="AU305" s="158" t="s">
        <v>135</v>
      </c>
      <c r="AV305" s="10" t="s">
        <v>21</v>
      </c>
      <c r="AW305" s="10" t="s">
        <v>35</v>
      </c>
      <c r="AX305" s="10" t="s">
        <v>78</v>
      </c>
      <c r="AY305" s="158" t="s">
        <v>167</v>
      </c>
    </row>
    <row r="306" spans="2:51" s="11" customFormat="1" ht="22.5" customHeight="1">
      <c r="B306" s="159"/>
      <c r="C306" s="210"/>
      <c r="D306" s="210"/>
      <c r="E306" s="211" t="s">
        <v>5</v>
      </c>
      <c r="F306" s="321" t="s">
        <v>2205</v>
      </c>
      <c r="G306" s="322"/>
      <c r="H306" s="322"/>
      <c r="I306" s="322"/>
      <c r="J306" s="210"/>
      <c r="K306" s="212">
        <f>139.1*0.4</f>
        <v>55.64</v>
      </c>
      <c r="L306" s="210"/>
      <c r="M306" s="210"/>
      <c r="N306" s="210"/>
      <c r="O306" s="210"/>
      <c r="P306" s="210"/>
      <c r="Q306" s="210"/>
      <c r="R306" s="213"/>
      <c r="T306" s="164"/>
      <c r="U306" s="160"/>
      <c r="V306" s="160"/>
      <c r="W306" s="160"/>
      <c r="X306" s="160"/>
      <c r="Y306" s="160"/>
      <c r="Z306" s="160"/>
      <c r="AA306" s="165"/>
      <c r="AT306" s="166" t="s">
        <v>179</v>
      </c>
      <c r="AU306" s="166" t="s">
        <v>135</v>
      </c>
      <c r="AV306" s="11" t="s">
        <v>135</v>
      </c>
      <c r="AW306" s="11" t="s">
        <v>35</v>
      </c>
      <c r="AX306" s="11" t="s">
        <v>21</v>
      </c>
      <c r="AY306" s="166" t="s">
        <v>167</v>
      </c>
    </row>
    <row r="307" spans="2:65" s="1" customFormat="1" ht="31.5" customHeight="1">
      <c r="B307" s="141"/>
      <c r="C307" s="201" t="s">
        <v>301</v>
      </c>
      <c r="D307" s="201" t="s">
        <v>168</v>
      </c>
      <c r="E307" s="202" t="s">
        <v>1417</v>
      </c>
      <c r="F307" s="317" t="s">
        <v>1418</v>
      </c>
      <c r="G307" s="317"/>
      <c r="H307" s="317"/>
      <c r="I307" s="317"/>
      <c r="J307" s="203" t="s">
        <v>176</v>
      </c>
      <c r="K307" s="204">
        <f>+K304</f>
        <v>55.64</v>
      </c>
      <c r="L307" s="318"/>
      <c r="M307" s="318"/>
      <c r="N307" s="318">
        <f>ROUND(L307*K307,2)</f>
        <v>0</v>
      </c>
      <c r="O307" s="318"/>
      <c r="P307" s="318"/>
      <c r="Q307" s="318"/>
      <c r="R307" s="205"/>
      <c r="T307" s="147" t="s">
        <v>5</v>
      </c>
      <c r="U307" s="44" t="s">
        <v>43</v>
      </c>
      <c r="V307" s="148">
        <v>0.747</v>
      </c>
      <c r="W307" s="148">
        <f>V307*K307</f>
        <v>41.56308</v>
      </c>
      <c r="X307" s="148">
        <v>0</v>
      </c>
      <c r="Y307" s="148">
        <f>X307*K307</f>
        <v>0</v>
      </c>
      <c r="Z307" s="148">
        <v>0</v>
      </c>
      <c r="AA307" s="149">
        <f>Z307*K307</f>
        <v>0</v>
      </c>
      <c r="AR307" s="21" t="s">
        <v>172</v>
      </c>
      <c r="AT307" s="21" t="s">
        <v>168</v>
      </c>
      <c r="AU307" s="21" t="s">
        <v>135</v>
      </c>
      <c r="AY307" s="21" t="s">
        <v>167</v>
      </c>
      <c r="BE307" s="150">
        <f>IF(U307="základní",N307,0)</f>
        <v>0</v>
      </c>
      <c r="BF307" s="150">
        <f>IF(U307="snížená",N307,0)</f>
        <v>0</v>
      </c>
      <c r="BG307" s="150">
        <f>IF(U307="zákl. přenesená",N307,0)</f>
        <v>0</v>
      </c>
      <c r="BH307" s="150">
        <f>IF(U307="sníž. přenesená",N307,0)</f>
        <v>0</v>
      </c>
      <c r="BI307" s="150">
        <f>IF(U307="nulová",N307,0)</f>
        <v>0</v>
      </c>
      <c r="BJ307" s="21" t="s">
        <v>21</v>
      </c>
      <c r="BK307" s="150">
        <f>ROUND(L307*K307,2)</f>
        <v>0</v>
      </c>
      <c r="BL307" s="21" t="s">
        <v>172</v>
      </c>
      <c r="BM307" s="21" t="s">
        <v>1419</v>
      </c>
    </row>
    <row r="308" spans="2:65" s="1" customFormat="1" ht="22.5" customHeight="1">
      <c r="B308" s="141"/>
      <c r="C308" s="201" t="s">
        <v>305</v>
      </c>
      <c r="D308" s="201" t="s">
        <v>168</v>
      </c>
      <c r="E308" s="202" t="s">
        <v>1420</v>
      </c>
      <c r="F308" s="317" t="s">
        <v>1421</v>
      </c>
      <c r="G308" s="317"/>
      <c r="H308" s="317"/>
      <c r="I308" s="317"/>
      <c r="J308" s="203" t="s">
        <v>176</v>
      </c>
      <c r="K308" s="204">
        <f>+K310</f>
        <v>41.73</v>
      </c>
      <c r="L308" s="318"/>
      <c r="M308" s="318"/>
      <c r="N308" s="318">
        <f>ROUND(L308*K308,2)</f>
        <v>0</v>
      </c>
      <c r="O308" s="318"/>
      <c r="P308" s="318"/>
      <c r="Q308" s="318"/>
      <c r="R308" s="205"/>
      <c r="T308" s="147" t="s">
        <v>5</v>
      </c>
      <c r="U308" s="44" t="s">
        <v>43</v>
      </c>
      <c r="V308" s="148">
        <v>3.856</v>
      </c>
      <c r="W308" s="148">
        <f>V308*K308</f>
        <v>160.91088</v>
      </c>
      <c r="X308" s="148">
        <v>0.00355</v>
      </c>
      <c r="Y308" s="148">
        <f>X308*K308</f>
        <v>0.1481415</v>
      </c>
      <c r="Z308" s="148">
        <v>0</v>
      </c>
      <c r="AA308" s="149">
        <f>Z308*K308</f>
        <v>0</v>
      </c>
      <c r="AR308" s="21" t="s">
        <v>172</v>
      </c>
      <c r="AT308" s="21" t="s">
        <v>168</v>
      </c>
      <c r="AU308" s="21" t="s">
        <v>135</v>
      </c>
      <c r="AY308" s="21" t="s">
        <v>167</v>
      </c>
      <c r="BE308" s="150">
        <f>IF(U308="základní",N308,0)</f>
        <v>0</v>
      </c>
      <c r="BF308" s="150">
        <f>IF(U308="snížená",N308,0)</f>
        <v>0</v>
      </c>
      <c r="BG308" s="150">
        <f>IF(U308="zákl. přenesená",N308,0)</f>
        <v>0</v>
      </c>
      <c r="BH308" s="150">
        <f>IF(U308="sníž. přenesená",N308,0)</f>
        <v>0</v>
      </c>
      <c r="BI308" s="150">
        <f>IF(U308="nulová",N308,0)</f>
        <v>0</v>
      </c>
      <c r="BJ308" s="21" t="s">
        <v>21</v>
      </c>
      <c r="BK308" s="150">
        <f>ROUND(L308*K308,2)</f>
        <v>0</v>
      </c>
      <c r="BL308" s="21" t="s">
        <v>172</v>
      </c>
      <c r="BM308" s="21" t="s">
        <v>1422</v>
      </c>
    </row>
    <row r="309" spans="2:51" s="10" customFormat="1" ht="22.5" customHeight="1">
      <c r="B309" s="151"/>
      <c r="C309" s="206"/>
      <c r="D309" s="206"/>
      <c r="E309" s="207" t="s">
        <v>5</v>
      </c>
      <c r="F309" s="319" t="s">
        <v>1423</v>
      </c>
      <c r="G309" s="320"/>
      <c r="H309" s="320"/>
      <c r="I309" s="320"/>
      <c r="J309" s="206"/>
      <c r="K309" s="208" t="s">
        <v>5</v>
      </c>
      <c r="L309" s="206"/>
      <c r="M309" s="206"/>
      <c r="N309" s="206"/>
      <c r="O309" s="206"/>
      <c r="P309" s="206"/>
      <c r="Q309" s="206"/>
      <c r="R309" s="209"/>
      <c r="T309" s="156"/>
      <c r="U309" s="152"/>
      <c r="V309" s="152"/>
      <c r="W309" s="152"/>
      <c r="X309" s="152"/>
      <c r="Y309" s="152"/>
      <c r="Z309" s="152"/>
      <c r="AA309" s="157"/>
      <c r="AT309" s="158" t="s">
        <v>179</v>
      </c>
      <c r="AU309" s="158" t="s">
        <v>135</v>
      </c>
      <c r="AV309" s="10" t="s">
        <v>21</v>
      </c>
      <c r="AW309" s="10" t="s">
        <v>35</v>
      </c>
      <c r="AX309" s="10" t="s">
        <v>78</v>
      </c>
      <c r="AY309" s="158" t="s">
        <v>167</v>
      </c>
    </row>
    <row r="310" spans="2:51" s="11" customFormat="1" ht="22.5" customHeight="1">
      <c r="B310" s="159"/>
      <c r="C310" s="210"/>
      <c r="D310" s="210"/>
      <c r="E310" s="211" t="s">
        <v>5</v>
      </c>
      <c r="F310" s="321" t="s">
        <v>2204</v>
      </c>
      <c r="G310" s="322"/>
      <c r="H310" s="322"/>
      <c r="I310" s="322"/>
      <c r="J310" s="210"/>
      <c r="K310" s="212">
        <f>139.1*0.3</f>
        <v>41.73</v>
      </c>
      <c r="L310" s="210"/>
      <c r="M310" s="210"/>
      <c r="N310" s="210"/>
      <c r="O310" s="210"/>
      <c r="P310" s="210"/>
      <c r="Q310" s="210"/>
      <c r="R310" s="213"/>
      <c r="T310" s="164"/>
      <c r="U310" s="198"/>
      <c r="V310" s="198"/>
      <c r="W310" s="198"/>
      <c r="X310" s="198"/>
      <c r="Y310" s="198"/>
      <c r="Z310" s="198"/>
      <c r="AA310" s="165"/>
      <c r="AT310" s="166" t="s">
        <v>179</v>
      </c>
      <c r="AU310" s="166" t="s">
        <v>135</v>
      </c>
      <c r="AV310" s="11" t="s">
        <v>135</v>
      </c>
      <c r="AW310" s="11" t="s">
        <v>35</v>
      </c>
      <c r="AX310" s="11" t="s">
        <v>21</v>
      </c>
      <c r="AY310" s="166" t="s">
        <v>167</v>
      </c>
    </row>
    <row r="311" spans="2:65" s="1" customFormat="1" ht="31.5" customHeight="1">
      <c r="B311" s="141"/>
      <c r="C311" s="201" t="s">
        <v>10</v>
      </c>
      <c r="D311" s="201" t="s">
        <v>168</v>
      </c>
      <c r="E311" s="202" t="s">
        <v>1424</v>
      </c>
      <c r="F311" s="317" t="s">
        <v>1425</v>
      </c>
      <c r="G311" s="317"/>
      <c r="H311" s="317"/>
      <c r="I311" s="317"/>
      <c r="J311" s="203" t="s">
        <v>176</v>
      </c>
      <c r="K311" s="204">
        <v>128.122</v>
      </c>
      <c r="L311" s="318"/>
      <c r="M311" s="318"/>
      <c r="N311" s="318">
        <f>ROUND(L311*K311,2)</f>
        <v>0</v>
      </c>
      <c r="O311" s="318"/>
      <c r="P311" s="318"/>
      <c r="Q311" s="318"/>
      <c r="R311" s="205"/>
      <c r="T311" s="147" t="s">
        <v>5</v>
      </c>
      <c r="U311" s="44" t="s">
        <v>43</v>
      </c>
      <c r="V311" s="148">
        <v>4.967</v>
      </c>
      <c r="W311" s="148">
        <f>V311*K311</f>
        <v>636.381974</v>
      </c>
      <c r="X311" s="148">
        <v>0</v>
      </c>
      <c r="Y311" s="148">
        <f>X311*K311</f>
        <v>0</v>
      </c>
      <c r="Z311" s="148">
        <v>0</v>
      </c>
      <c r="AA311" s="149">
        <f>Z311*K311</f>
        <v>0</v>
      </c>
      <c r="AR311" s="21" t="s">
        <v>172</v>
      </c>
      <c r="AT311" s="21" t="s">
        <v>168</v>
      </c>
      <c r="AU311" s="21" t="s">
        <v>135</v>
      </c>
      <c r="AY311" s="21" t="s">
        <v>167</v>
      </c>
      <c r="BE311" s="150">
        <f>IF(U311="základní",N311,0)</f>
        <v>0</v>
      </c>
      <c r="BF311" s="150">
        <f>IF(U311="snížená",N311,0)</f>
        <v>0</v>
      </c>
      <c r="BG311" s="150">
        <f>IF(U311="zákl. přenesená",N311,0)</f>
        <v>0</v>
      </c>
      <c r="BH311" s="150">
        <f>IF(U311="sníž. přenesená",N311,0)</f>
        <v>0</v>
      </c>
      <c r="BI311" s="150">
        <f>IF(U311="nulová",N311,0)</f>
        <v>0</v>
      </c>
      <c r="BJ311" s="21" t="s">
        <v>21</v>
      </c>
      <c r="BK311" s="150">
        <f>ROUND(L311*K311,2)</f>
        <v>0</v>
      </c>
      <c r="BL311" s="21" t="s">
        <v>172</v>
      </c>
      <c r="BM311" s="21" t="s">
        <v>1426</v>
      </c>
    </row>
    <row r="312" spans="2:51" s="11" customFormat="1" ht="22.5" customHeight="1">
      <c r="B312" s="159"/>
      <c r="C312" s="210"/>
      <c r="D312" s="210"/>
      <c r="E312" s="211" t="s">
        <v>5</v>
      </c>
      <c r="F312" s="329" t="s">
        <v>1427</v>
      </c>
      <c r="G312" s="330"/>
      <c r="H312" s="330"/>
      <c r="I312" s="330"/>
      <c r="J312" s="210"/>
      <c r="K312" s="212">
        <v>128.122</v>
      </c>
      <c r="L312" s="210"/>
      <c r="M312" s="210"/>
      <c r="N312" s="210"/>
      <c r="O312" s="210"/>
      <c r="P312" s="210"/>
      <c r="Q312" s="210"/>
      <c r="R312" s="213"/>
      <c r="T312" s="164"/>
      <c r="U312" s="160"/>
      <c r="V312" s="160"/>
      <c r="W312" s="160"/>
      <c r="X312" s="160"/>
      <c r="Y312" s="160"/>
      <c r="Z312" s="160"/>
      <c r="AA312" s="165"/>
      <c r="AT312" s="166" t="s">
        <v>179</v>
      </c>
      <c r="AU312" s="166" t="s">
        <v>135</v>
      </c>
      <c r="AV312" s="11" t="s">
        <v>135</v>
      </c>
      <c r="AW312" s="11" t="s">
        <v>35</v>
      </c>
      <c r="AX312" s="11" t="s">
        <v>21</v>
      </c>
      <c r="AY312" s="166" t="s">
        <v>167</v>
      </c>
    </row>
    <row r="313" spans="2:65" s="1" customFormat="1" ht="31.5" customHeight="1">
      <c r="B313" s="141"/>
      <c r="C313" s="201" t="s">
        <v>316</v>
      </c>
      <c r="D313" s="201" t="s">
        <v>168</v>
      </c>
      <c r="E313" s="202" t="s">
        <v>248</v>
      </c>
      <c r="F313" s="317" t="s">
        <v>249</v>
      </c>
      <c r="G313" s="317"/>
      <c r="H313" s="317"/>
      <c r="I313" s="317"/>
      <c r="J313" s="203" t="s">
        <v>176</v>
      </c>
      <c r="K313" s="204">
        <f>+K322</f>
        <v>1480.9590000000007</v>
      </c>
      <c r="L313" s="318"/>
      <c r="M313" s="318"/>
      <c r="N313" s="318">
        <f>ROUND(L313*K313,2)</f>
        <v>0</v>
      </c>
      <c r="O313" s="318"/>
      <c r="P313" s="318"/>
      <c r="Q313" s="318"/>
      <c r="R313" s="205"/>
      <c r="T313" s="147" t="s">
        <v>5</v>
      </c>
      <c r="U313" s="44" t="s">
        <v>43</v>
      </c>
      <c r="V313" s="148">
        <v>0.097</v>
      </c>
      <c r="W313" s="148">
        <f>V313*K313</f>
        <v>143.65302300000008</v>
      </c>
      <c r="X313" s="148">
        <v>0</v>
      </c>
      <c r="Y313" s="148">
        <f>X313*K313</f>
        <v>0</v>
      </c>
      <c r="Z313" s="148">
        <v>0</v>
      </c>
      <c r="AA313" s="149">
        <f>Z313*K313</f>
        <v>0</v>
      </c>
      <c r="AR313" s="21" t="s">
        <v>172</v>
      </c>
      <c r="AT313" s="21" t="s">
        <v>168</v>
      </c>
      <c r="AU313" s="21" t="s">
        <v>135</v>
      </c>
      <c r="AY313" s="21" t="s">
        <v>167</v>
      </c>
      <c r="BE313" s="150">
        <f>IF(U313="základní",N313,0)</f>
        <v>0</v>
      </c>
      <c r="BF313" s="150">
        <f>IF(U313="snížená",N313,0)</f>
        <v>0</v>
      </c>
      <c r="BG313" s="150">
        <f>IF(U313="zákl. přenesená",N313,0)</f>
        <v>0</v>
      </c>
      <c r="BH313" s="150">
        <f>IF(U313="sníž. přenesená",N313,0)</f>
        <v>0</v>
      </c>
      <c r="BI313" s="150">
        <f>IF(U313="nulová",N313,0)</f>
        <v>0</v>
      </c>
      <c r="BJ313" s="21" t="s">
        <v>21</v>
      </c>
      <c r="BK313" s="150">
        <f>ROUND(L313*K313,2)</f>
        <v>0</v>
      </c>
      <c r="BL313" s="21" t="s">
        <v>172</v>
      </c>
      <c r="BM313" s="21" t="s">
        <v>1428</v>
      </c>
    </row>
    <row r="314" spans="2:51" s="10" customFormat="1" ht="22.5" customHeight="1">
      <c r="B314" s="151"/>
      <c r="C314" s="206"/>
      <c r="D314" s="206"/>
      <c r="E314" s="207" t="s">
        <v>5</v>
      </c>
      <c r="F314" s="319" t="s">
        <v>1395</v>
      </c>
      <c r="G314" s="320"/>
      <c r="H314" s="320"/>
      <c r="I314" s="320"/>
      <c r="J314" s="206"/>
      <c r="K314" s="208" t="s">
        <v>5</v>
      </c>
      <c r="L314" s="206"/>
      <c r="M314" s="206"/>
      <c r="N314" s="206"/>
      <c r="O314" s="206"/>
      <c r="P314" s="206"/>
      <c r="Q314" s="206"/>
      <c r="R314" s="209"/>
      <c r="T314" s="156"/>
      <c r="U314" s="152"/>
      <c r="V314" s="152"/>
      <c r="W314" s="152"/>
      <c r="X314" s="152"/>
      <c r="Y314" s="152"/>
      <c r="Z314" s="152"/>
      <c r="AA314" s="157"/>
      <c r="AT314" s="158" t="s">
        <v>179</v>
      </c>
      <c r="AU314" s="158" t="s">
        <v>135</v>
      </c>
      <c r="AV314" s="10" t="s">
        <v>21</v>
      </c>
      <c r="AW314" s="10" t="s">
        <v>35</v>
      </c>
      <c r="AX314" s="10" t="s">
        <v>78</v>
      </c>
      <c r="AY314" s="158" t="s">
        <v>167</v>
      </c>
    </row>
    <row r="315" spans="2:51" s="11" customFormat="1" ht="22.5" customHeight="1">
      <c r="B315" s="159"/>
      <c r="C315" s="210"/>
      <c r="D315" s="210"/>
      <c r="E315" s="211" t="s">
        <v>5</v>
      </c>
      <c r="F315" s="321">
        <v>4944.325</v>
      </c>
      <c r="G315" s="322"/>
      <c r="H315" s="322"/>
      <c r="I315" s="322"/>
      <c r="J315" s="210"/>
      <c r="K315" s="212">
        <v>4944.325</v>
      </c>
      <c r="L315" s="210"/>
      <c r="M315" s="210"/>
      <c r="N315" s="210"/>
      <c r="O315" s="210"/>
      <c r="P315" s="210"/>
      <c r="Q315" s="210"/>
      <c r="R315" s="213"/>
      <c r="T315" s="164"/>
      <c r="U315" s="160"/>
      <c r="V315" s="160"/>
      <c r="W315" s="160"/>
      <c r="X315" s="160"/>
      <c r="Y315" s="160"/>
      <c r="Z315" s="160"/>
      <c r="AA315" s="165"/>
      <c r="AT315" s="166" t="s">
        <v>179</v>
      </c>
      <c r="AU315" s="166" t="s">
        <v>135</v>
      </c>
      <c r="AV315" s="11" t="s">
        <v>135</v>
      </c>
      <c r="AW315" s="11" t="s">
        <v>35</v>
      </c>
      <c r="AX315" s="11" t="s">
        <v>78</v>
      </c>
      <c r="AY315" s="166" t="s">
        <v>167</v>
      </c>
    </row>
    <row r="316" spans="2:51" s="11" customFormat="1" ht="22.5" customHeight="1">
      <c r="B316" s="159"/>
      <c r="C316" s="210"/>
      <c r="D316" s="210"/>
      <c r="E316" s="211" t="s">
        <v>5</v>
      </c>
      <c r="F316" s="321" t="s">
        <v>2206</v>
      </c>
      <c r="G316" s="322"/>
      <c r="H316" s="322"/>
      <c r="I316" s="322"/>
      <c r="J316" s="210"/>
      <c r="K316" s="212">
        <v>139.104</v>
      </c>
      <c r="L316" s="210"/>
      <c r="M316" s="210"/>
      <c r="N316" s="210"/>
      <c r="O316" s="210"/>
      <c r="P316" s="210"/>
      <c r="Q316" s="210"/>
      <c r="R316" s="213"/>
      <c r="T316" s="164"/>
      <c r="U316" s="160"/>
      <c r="V316" s="160"/>
      <c r="W316" s="160"/>
      <c r="X316" s="160"/>
      <c r="Y316" s="160"/>
      <c r="Z316" s="160"/>
      <c r="AA316" s="165"/>
      <c r="AT316" s="166" t="s">
        <v>179</v>
      </c>
      <c r="AU316" s="166" t="s">
        <v>135</v>
      </c>
      <c r="AV316" s="11" t="s">
        <v>135</v>
      </c>
      <c r="AW316" s="11" t="s">
        <v>35</v>
      </c>
      <c r="AX316" s="11" t="s">
        <v>78</v>
      </c>
      <c r="AY316" s="166" t="s">
        <v>167</v>
      </c>
    </row>
    <row r="317" spans="2:51" s="11" customFormat="1" ht="22.5" customHeight="1">
      <c r="B317" s="159"/>
      <c r="C317" s="210"/>
      <c r="D317" s="210"/>
      <c r="E317" s="211" t="s">
        <v>5</v>
      </c>
      <c r="F317" s="321" t="s">
        <v>1429</v>
      </c>
      <c r="G317" s="322"/>
      <c r="H317" s="322"/>
      <c r="I317" s="322"/>
      <c r="J317" s="210"/>
      <c r="K317" s="212">
        <v>128.122</v>
      </c>
      <c r="L317" s="210"/>
      <c r="M317" s="210"/>
      <c r="N317" s="210"/>
      <c r="O317" s="210"/>
      <c r="P317" s="210"/>
      <c r="Q317" s="210"/>
      <c r="R317" s="213"/>
      <c r="T317" s="164"/>
      <c r="U317" s="160"/>
      <c r="V317" s="160"/>
      <c r="W317" s="160"/>
      <c r="X317" s="160"/>
      <c r="Y317" s="160"/>
      <c r="Z317" s="160"/>
      <c r="AA317" s="165"/>
      <c r="AT317" s="166" t="s">
        <v>179</v>
      </c>
      <c r="AU317" s="166" t="s">
        <v>135</v>
      </c>
      <c r="AV317" s="11" t="s">
        <v>135</v>
      </c>
      <c r="AW317" s="11" t="s">
        <v>35</v>
      </c>
      <c r="AX317" s="11" t="s">
        <v>78</v>
      </c>
      <c r="AY317" s="166" t="s">
        <v>167</v>
      </c>
    </row>
    <row r="318" spans="2:51" s="13" customFormat="1" ht="22.5" customHeight="1">
      <c r="B318" s="186"/>
      <c r="C318" s="214"/>
      <c r="D318" s="214"/>
      <c r="E318" s="215" t="s">
        <v>5</v>
      </c>
      <c r="F318" s="323" t="s">
        <v>1278</v>
      </c>
      <c r="G318" s="324"/>
      <c r="H318" s="324"/>
      <c r="I318" s="324"/>
      <c r="J318" s="214"/>
      <c r="K318" s="216">
        <f>SUM(K315:K317)</f>
        <v>5211.551</v>
      </c>
      <c r="L318" s="214"/>
      <c r="M318" s="214"/>
      <c r="N318" s="214"/>
      <c r="O318" s="214"/>
      <c r="P318" s="214"/>
      <c r="Q318" s="214"/>
      <c r="R318" s="217"/>
      <c r="T318" s="191"/>
      <c r="U318" s="187"/>
      <c r="V318" s="187"/>
      <c r="W318" s="187"/>
      <c r="X318" s="187"/>
      <c r="Y318" s="187"/>
      <c r="Z318" s="187"/>
      <c r="AA318" s="192"/>
      <c r="AT318" s="193" t="s">
        <v>179</v>
      </c>
      <c r="AU318" s="193" t="s">
        <v>135</v>
      </c>
      <c r="AV318" s="13" t="s">
        <v>184</v>
      </c>
      <c r="AW318" s="13" t="s">
        <v>35</v>
      </c>
      <c r="AX318" s="13" t="s">
        <v>78</v>
      </c>
      <c r="AY318" s="193" t="s">
        <v>167</v>
      </c>
    </row>
    <row r="319" spans="2:51" s="11" customFormat="1" ht="22.5" customHeight="1">
      <c r="B319" s="159"/>
      <c r="C319" s="210"/>
      <c r="D319" s="210"/>
      <c r="E319" s="211" t="s">
        <v>5</v>
      </c>
      <c r="F319" s="321" t="s">
        <v>1430</v>
      </c>
      <c r="G319" s="322"/>
      <c r="H319" s="322"/>
      <c r="I319" s="322"/>
      <c r="J319" s="210"/>
      <c r="K319" s="212">
        <v>-3630.941</v>
      </c>
      <c r="L319" s="210"/>
      <c r="M319" s="210"/>
      <c r="N319" s="210"/>
      <c r="O319" s="210"/>
      <c r="P319" s="210"/>
      <c r="Q319" s="210"/>
      <c r="R319" s="213"/>
      <c r="T319" s="164"/>
      <c r="U319" s="160"/>
      <c r="V319" s="160"/>
      <c r="W319" s="160"/>
      <c r="X319" s="160"/>
      <c r="Y319" s="160"/>
      <c r="Z319" s="160"/>
      <c r="AA319" s="165"/>
      <c r="AT319" s="166" t="s">
        <v>179</v>
      </c>
      <c r="AU319" s="166" t="s">
        <v>135</v>
      </c>
      <c r="AV319" s="11" t="s">
        <v>135</v>
      </c>
      <c r="AW319" s="11" t="s">
        <v>35</v>
      </c>
      <c r="AX319" s="11" t="s">
        <v>78</v>
      </c>
      <c r="AY319" s="166" t="s">
        <v>167</v>
      </c>
    </row>
    <row r="320" spans="2:51" s="11" customFormat="1" ht="22.5" customHeight="1">
      <c r="B320" s="159"/>
      <c r="C320" s="210"/>
      <c r="D320" s="210"/>
      <c r="E320" s="211" t="s">
        <v>5</v>
      </c>
      <c r="F320" s="321" t="s">
        <v>1431</v>
      </c>
      <c r="G320" s="322"/>
      <c r="H320" s="322"/>
      <c r="I320" s="322"/>
      <c r="J320" s="210"/>
      <c r="K320" s="212">
        <v>-99.651</v>
      </c>
      <c r="L320" s="210"/>
      <c r="M320" s="210"/>
      <c r="N320" s="210"/>
      <c r="O320" s="210"/>
      <c r="P320" s="210"/>
      <c r="Q320" s="210"/>
      <c r="R320" s="213"/>
      <c r="T320" s="164"/>
      <c r="U320" s="160"/>
      <c r="V320" s="160"/>
      <c r="W320" s="160"/>
      <c r="X320" s="160"/>
      <c r="Y320" s="160"/>
      <c r="Z320" s="160"/>
      <c r="AA320" s="165"/>
      <c r="AT320" s="166" t="s">
        <v>179</v>
      </c>
      <c r="AU320" s="166" t="s">
        <v>135</v>
      </c>
      <c r="AV320" s="11" t="s">
        <v>135</v>
      </c>
      <c r="AW320" s="11" t="s">
        <v>35</v>
      </c>
      <c r="AX320" s="11" t="s">
        <v>78</v>
      </c>
      <c r="AY320" s="166" t="s">
        <v>167</v>
      </c>
    </row>
    <row r="321" spans="2:51" s="13" customFormat="1" ht="22.5" customHeight="1">
      <c r="B321" s="186"/>
      <c r="C321" s="214"/>
      <c r="D321" s="214"/>
      <c r="E321" s="215" t="s">
        <v>5</v>
      </c>
      <c r="F321" s="323" t="s">
        <v>1278</v>
      </c>
      <c r="G321" s="324"/>
      <c r="H321" s="324"/>
      <c r="I321" s="324"/>
      <c r="J321" s="214"/>
      <c r="K321" s="216">
        <f>SUM(K319:K320)</f>
        <v>-3730.5919999999996</v>
      </c>
      <c r="L321" s="214"/>
      <c r="M321" s="214"/>
      <c r="N321" s="214"/>
      <c r="O321" s="214"/>
      <c r="P321" s="214"/>
      <c r="Q321" s="214"/>
      <c r="R321" s="217"/>
      <c r="T321" s="191"/>
      <c r="U321" s="187"/>
      <c r="V321" s="187"/>
      <c r="W321" s="187"/>
      <c r="X321" s="187"/>
      <c r="Y321" s="187"/>
      <c r="Z321" s="187"/>
      <c r="AA321" s="192"/>
      <c r="AT321" s="193" t="s">
        <v>179</v>
      </c>
      <c r="AU321" s="193" t="s">
        <v>135</v>
      </c>
      <c r="AV321" s="13" t="s">
        <v>184</v>
      </c>
      <c r="AW321" s="13" t="s">
        <v>35</v>
      </c>
      <c r="AX321" s="13" t="s">
        <v>78</v>
      </c>
      <c r="AY321" s="193" t="s">
        <v>167</v>
      </c>
    </row>
    <row r="322" spans="2:51" s="12" customFormat="1" ht="22.5" customHeight="1">
      <c r="B322" s="167"/>
      <c r="C322" s="218"/>
      <c r="D322" s="218"/>
      <c r="E322" s="219" t="s">
        <v>5</v>
      </c>
      <c r="F322" s="327" t="s">
        <v>183</v>
      </c>
      <c r="G322" s="328"/>
      <c r="H322" s="328"/>
      <c r="I322" s="328"/>
      <c r="J322" s="218"/>
      <c r="K322" s="220">
        <f>+K318+K321</f>
        <v>1480.9590000000007</v>
      </c>
      <c r="L322" s="218"/>
      <c r="M322" s="218"/>
      <c r="N322" s="218"/>
      <c r="O322" s="218"/>
      <c r="P322" s="218"/>
      <c r="Q322" s="218"/>
      <c r="R322" s="221"/>
      <c r="T322" s="172"/>
      <c r="U322" s="168"/>
      <c r="V322" s="168"/>
      <c r="W322" s="168"/>
      <c r="X322" s="168"/>
      <c r="Y322" s="168"/>
      <c r="Z322" s="168"/>
      <c r="AA322" s="173"/>
      <c r="AT322" s="174" t="s">
        <v>179</v>
      </c>
      <c r="AU322" s="174" t="s">
        <v>135</v>
      </c>
      <c r="AV322" s="12" t="s">
        <v>172</v>
      </c>
      <c r="AW322" s="12" t="s">
        <v>35</v>
      </c>
      <c r="AX322" s="12" t="s">
        <v>21</v>
      </c>
      <c r="AY322" s="174" t="s">
        <v>167</v>
      </c>
    </row>
    <row r="323" spans="2:65" s="1" customFormat="1" ht="31.5" customHeight="1">
      <c r="B323" s="141"/>
      <c r="C323" s="201" t="s">
        <v>321</v>
      </c>
      <c r="D323" s="201" t="s">
        <v>168</v>
      </c>
      <c r="E323" s="202" t="s">
        <v>1432</v>
      </c>
      <c r="F323" s="317" t="s">
        <v>1433</v>
      </c>
      <c r="G323" s="317"/>
      <c r="H323" s="317"/>
      <c r="I323" s="317"/>
      <c r="J323" s="203" t="s">
        <v>176</v>
      </c>
      <c r="K323" s="204">
        <f>+K313</f>
        <v>1480.9590000000007</v>
      </c>
      <c r="L323" s="318"/>
      <c r="M323" s="318"/>
      <c r="N323" s="318">
        <f>ROUND(L323*K323,2)</f>
        <v>0</v>
      </c>
      <c r="O323" s="318"/>
      <c r="P323" s="318"/>
      <c r="Q323" s="318"/>
      <c r="R323" s="205"/>
      <c r="T323" s="147" t="s">
        <v>5</v>
      </c>
      <c r="U323" s="44" t="s">
        <v>43</v>
      </c>
      <c r="V323" s="148">
        <v>0.011</v>
      </c>
      <c r="W323" s="148">
        <f>V323*K323</f>
        <v>16.290549000000006</v>
      </c>
      <c r="X323" s="148">
        <v>0</v>
      </c>
      <c r="Y323" s="148">
        <f>X323*K323</f>
        <v>0</v>
      </c>
      <c r="Z323" s="148">
        <v>0</v>
      </c>
      <c r="AA323" s="149">
        <f>Z323*K323</f>
        <v>0</v>
      </c>
      <c r="AR323" s="21" t="s">
        <v>172</v>
      </c>
      <c r="AT323" s="21" t="s">
        <v>168</v>
      </c>
      <c r="AU323" s="21" t="s">
        <v>135</v>
      </c>
      <c r="AY323" s="21" t="s">
        <v>167</v>
      </c>
      <c r="BE323" s="150">
        <f>IF(U323="základní",N323,0)</f>
        <v>0</v>
      </c>
      <c r="BF323" s="150">
        <f>IF(U323="snížená",N323,0)</f>
        <v>0</v>
      </c>
      <c r="BG323" s="150">
        <f>IF(U323="zákl. přenesená",N323,0)</f>
        <v>0</v>
      </c>
      <c r="BH323" s="150">
        <f>IF(U323="sníž. přenesená",N323,0)</f>
        <v>0</v>
      </c>
      <c r="BI323" s="150">
        <f>IF(U323="nulová",N323,0)</f>
        <v>0</v>
      </c>
      <c r="BJ323" s="21" t="s">
        <v>21</v>
      </c>
      <c r="BK323" s="150">
        <f>ROUND(L323*K323,2)</f>
        <v>0</v>
      </c>
      <c r="BL323" s="21" t="s">
        <v>172</v>
      </c>
      <c r="BM323" s="21" t="s">
        <v>1434</v>
      </c>
    </row>
    <row r="324" spans="2:65" s="1" customFormat="1" ht="22.5" customHeight="1">
      <c r="B324" s="141"/>
      <c r="C324" s="201" t="s">
        <v>326</v>
      </c>
      <c r="D324" s="201" t="s">
        <v>168</v>
      </c>
      <c r="E324" s="202" t="s">
        <v>1435</v>
      </c>
      <c r="F324" s="317" t="s">
        <v>1436</v>
      </c>
      <c r="G324" s="317"/>
      <c r="H324" s="317"/>
      <c r="I324" s="317"/>
      <c r="J324" s="203" t="s">
        <v>176</v>
      </c>
      <c r="K324" s="204">
        <f>+K323</f>
        <v>1480.9590000000007</v>
      </c>
      <c r="L324" s="318"/>
      <c r="M324" s="318"/>
      <c r="N324" s="318">
        <f>ROUND(L324*K324,2)</f>
        <v>0</v>
      </c>
      <c r="O324" s="318"/>
      <c r="P324" s="318"/>
      <c r="Q324" s="318"/>
      <c r="R324" s="205"/>
      <c r="T324" s="147" t="s">
        <v>5</v>
      </c>
      <c r="U324" s="44" t="s">
        <v>43</v>
      </c>
      <c r="V324" s="148">
        <v>0.097</v>
      </c>
      <c r="W324" s="148">
        <f>V324*K324</f>
        <v>143.65302300000008</v>
      </c>
      <c r="X324" s="148">
        <v>0</v>
      </c>
      <c r="Y324" s="148">
        <f>X324*K324</f>
        <v>0</v>
      </c>
      <c r="Z324" s="148">
        <v>0</v>
      </c>
      <c r="AA324" s="149">
        <f>Z324*K324</f>
        <v>0</v>
      </c>
      <c r="AR324" s="21" t="s">
        <v>172</v>
      </c>
      <c r="AT324" s="21" t="s">
        <v>168</v>
      </c>
      <c r="AU324" s="21" t="s">
        <v>135</v>
      </c>
      <c r="AY324" s="21" t="s">
        <v>167</v>
      </c>
      <c r="BE324" s="150">
        <f>IF(U324="základní",N324,0)</f>
        <v>0</v>
      </c>
      <c r="BF324" s="150">
        <f>IF(U324="snížená",N324,0)</f>
        <v>0</v>
      </c>
      <c r="BG324" s="150">
        <f>IF(U324="zákl. přenesená",N324,0)</f>
        <v>0</v>
      </c>
      <c r="BH324" s="150">
        <f>IF(U324="sníž. přenesená",N324,0)</f>
        <v>0</v>
      </c>
      <c r="BI324" s="150">
        <f>IF(U324="nulová",N324,0)</f>
        <v>0</v>
      </c>
      <c r="BJ324" s="21" t="s">
        <v>21</v>
      </c>
      <c r="BK324" s="150">
        <f>ROUND(L324*K324,2)</f>
        <v>0</v>
      </c>
      <c r="BL324" s="21" t="s">
        <v>172</v>
      </c>
      <c r="BM324" s="21" t="s">
        <v>1437</v>
      </c>
    </row>
    <row r="325" spans="2:65" s="1" customFormat="1" ht="31.5" customHeight="1">
      <c r="B325" s="141"/>
      <c r="C325" s="201" t="s">
        <v>331</v>
      </c>
      <c r="D325" s="201" t="s">
        <v>168</v>
      </c>
      <c r="E325" s="202" t="s">
        <v>1438</v>
      </c>
      <c r="F325" s="317" t="s">
        <v>1439</v>
      </c>
      <c r="G325" s="317"/>
      <c r="H325" s="317"/>
      <c r="I325" s="317"/>
      <c r="J325" s="203" t="s">
        <v>199</v>
      </c>
      <c r="K325" s="204">
        <f>+K371</f>
        <v>11375.876</v>
      </c>
      <c r="L325" s="318"/>
      <c r="M325" s="318"/>
      <c r="N325" s="318">
        <f>ROUND(L325*K325,2)</f>
        <v>0</v>
      </c>
      <c r="O325" s="318"/>
      <c r="P325" s="318"/>
      <c r="Q325" s="318"/>
      <c r="R325" s="205"/>
      <c r="T325" s="147" t="s">
        <v>5</v>
      </c>
      <c r="U325" s="44" t="s">
        <v>43</v>
      </c>
      <c r="V325" s="148">
        <v>0.236</v>
      </c>
      <c r="W325" s="148">
        <f>V325*K325</f>
        <v>2684.706736</v>
      </c>
      <c r="X325" s="148">
        <v>0.00084</v>
      </c>
      <c r="Y325" s="148">
        <f>X325*K325</f>
        <v>9.55573584</v>
      </c>
      <c r="Z325" s="148">
        <v>0</v>
      </c>
      <c r="AA325" s="149">
        <f>Z325*K325</f>
        <v>0</v>
      </c>
      <c r="AR325" s="21" t="s">
        <v>172</v>
      </c>
      <c r="AT325" s="21" t="s">
        <v>168</v>
      </c>
      <c r="AU325" s="21" t="s">
        <v>135</v>
      </c>
      <c r="AY325" s="21" t="s">
        <v>167</v>
      </c>
      <c r="BE325" s="150">
        <f>IF(U325="základní",N325,0)</f>
        <v>0</v>
      </c>
      <c r="BF325" s="150">
        <f>IF(U325="snížená",N325,0)</f>
        <v>0</v>
      </c>
      <c r="BG325" s="150">
        <f>IF(U325="zákl. přenesená",N325,0)</f>
        <v>0</v>
      </c>
      <c r="BH325" s="150">
        <f>IF(U325="sníž. přenesená",N325,0)</f>
        <v>0</v>
      </c>
      <c r="BI325" s="150">
        <f>IF(U325="nulová",N325,0)</f>
        <v>0</v>
      </c>
      <c r="BJ325" s="21" t="s">
        <v>21</v>
      </c>
      <c r="BK325" s="150">
        <f>ROUND(L325*K325,2)</f>
        <v>0</v>
      </c>
      <c r="BL325" s="21" t="s">
        <v>172</v>
      </c>
      <c r="BM325" s="21" t="s">
        <v>1440</v>
      </c>
    </row>
    <row r="326" spans="2:51" s="10" customFormat="1" ht="22.5" customHeight="1">
      <c r="B326" s="151"/>
      <c r="C326" s="206"/>
      <c r="D326" s="206"/>
      <c r="E326" s="207" t="s">
        <v>5</v>
      </c>
      <c r="F326" s="319" t="s">
        <v>1295</v>
      </c>
      <c r="G326" s="320"/>
      <c r="H326" s="320"/>
      <c r="I326" s="320"/>
      <c r="J326" s="206"/>
      <c r="K326" s="208" t="s">
        <v>5</v>
      </c>
      <c r="L326" s="206"/>
      <c r="M326" s="206"/>
      <c r="N326" s="206"/>
      <c r="O326" s="206"/>
      <c r="P326" s="206"/>
      <c r="Q326" s="206"/>
      <c r="R326" s="209"/>
      <c r="T326" s="156"/>
      <c r="U326" s="152"/>
      <c r="V326" s="152"/>
      <c r="W326" s="152"/>
      <c r="X326" s="152"/>
      <c r="Y326" s="152"/>
      <c r="Z326" s="152"/>
      <c r="AA326" s="157"/>
      <c r="AT326" s="158" t="s">
        <v>179</v>
      </c>
      <c r="AU326" s="158" t="s">
        <v>135</v>
      </c>
      <c r="AV326" s="10" t="s">
        <v>21</v>
      </c>
      <c r="AW326" s="10" t="s">
        <v>35</v>
      </c>
      <c r="AX326" s="10" t="s">
        <v>78</v>
      </c>
      <c r="AY326" s="158" t="s">
        <v>167</v>
      </c>
    </row>
    <row r="327" spans="2:51" s="11" customFormat="1" ht="22.5" customHeight="1">
      <c r="B327" s="159"/>
      <c r="C327" s="210"/>
      <c r="D327" s="210"/>
      <c r="E327" s="211" t="s">
        <v>5</v>
      </c>
      <c r="F327" s="321" t="s">
        <v>1441</v>
      </c>
      <c r="G327" s="322"/>
      <c r="H327" s="322"/>
      <c r="I327" s="322"/>
      <c r="J327" s="210"/>
      <c r="K327" s="212">
        <v>40.6</v>
      </c>
      <c r="L327" s="210"/>
      <c r="M327" s="210"/>
      <c r="N327" s="210"/>
      <c r="O327" s="210"/>
      <c r="P327" s="210"/>
      <c r="Q327" s="210"/>
      <c r="R327" s="213"/>
      <c r="T327" s="164"/>
      <c r="U327" s="160"/>
      <c r="V327" s="160"/>
      <c r="W327" s="160"/>
      <c r="X327" s="160"/>
      <c r="Y327" s="160"/>
      <c r="Z327" s="160"/>
      <c r="AA327" s="165"/>
      <c r="AT327" s="166" t="s">
        <v>179</v>
      </c>
      <c r="AU327" s="166" t="s">
        <v>135</v>
      </c>
      <c r="AV327" s="11" t="s">
        <v>135</v>
      </c>
      <c r="AW327" s="11" t="s">
        <v>35</v>
      </c>
      <c r="AX327" s="11" t="s">
        <v>78</v>
      </c>
      <c r="AY327" s="166" t="s">
        <v>167</v>
      </c>
    </row>
    <row r="328" spans="2:51" s="11" customFormat="1" ht="22.5" customHeight="1">
      <c r="B328" s="159"/>
      <c r="C328" s="210"/>
      <c r="D328" s="210"/>
      <c r="E328" s="211" t="s">
        <v>5</v>
      </c>
      <c r="F328" s="321" t="s">
        <v>1442</v>
      </c>
      <c r="G328" s="322"/>
      <c r="H328" s="322"/>
      <c r="I328" s="322"/>
      <c r="J328" s="210"/>
      <c r="K328" s="212">
        <v>538.2</v>
      </c>
      <c r="L328" s="210"/>
      <c r="M328" s="210"/>
      <c r="N328" s="210"/>
      <c r="O328" s="210"/>
      <c r="P328" s="210"/>
      <c r="Q328" s="210"/>
      <c r="R328" s="213"/>
      <c r="T328" s="164"/>
      <c r="U328" s="160"/>
      <c r="V328" s="160"/>
      <c r="W328" s="160"/>
      <c r="X328" s="160"/>
      <c r="Y328" s="160"/>
      <c r="Z328" s="160"/>
      <c r="AA328" s="165"/>
      <c r="AT328" s="166" t="s">
        <v>179</v>
      </c>
      <c r="AU328" s="166" t="s">
        <v>135</v>
      </c>
      <c r="AV328" s="11" t="s">
        <v>135</v>
      </c>
      <c r="AW328" s="11" t="s">
        <v>35</v>
      </c>
      <c r="AX328" s="11" t="s">
        <v>78</v>
      </c>
      <c r="AY328" s="166" t="s">
        <v>167</v>
      </c>
    </row>
    <row r="329" spans="2:51" s="13" customFormat="1" ht="22.5" customHeight="1">
      <c r="B329" s="186"/>
      <c r="C329" s="214"/>
      <c r="D329" s="214"/>
      <c r="E329" s="215" t="s">
        <v>5</v>
      </c>
      <c r="F329" s="323" t="s">
        <v>1278</v>
      </c>
      <c r="G329" s="324"/>
      <c r="H329" s="324"/>
      <c r="I329" s="324"/>
      <c r="J329" s="214"/>
      <c r="K329" s="216">
        <v>578.8</v>
      </c>
      <c r="L329" s="214"/>
      <c r="M329" s="214"/>
      <c r="N329" s="214"/>
      <c r="O329" s="214"/>
      <c r="P329" s="214"/>
      <c r="Q329" s="214"/>
      <c r="R329" s="217"/>
      <c r="T329" s="191"/>
      <c r="U329" s="187"/>
      <c r="V329" s="187"/>
      <c r="W329" s="187"/>
      <c r="X329" s="187"/>
      <c r="Y329" s="187"/>
      <c r="Z329" s="187"/>
      <c r="AA329" s="192"/>
      <c r="AT329" s="193" t="s">
        <v>179</v>
      </c>
      <c r="AU329" s="193" t="s">
        <v>135</v>
      </c>
      <c r="AV329" s="13" t="s">
        <v>184</v>
      </c>
      <c r="AW329" s="13" t="s">
        <v>35</v>
      </c>
      <c r="AX329" s="13" t="s">
        <v>78</v>
      </c>
      <c r="AY329" s="193" t="s">
        <v>167</v>
      </c>
    </row>
    <row r="330" spans="2:51" s="10" customFormat="1" ht="22.5" customHeight="1">
      <c r="B330" s="151"/>
      <c r="C330" s="206"/>
      <c r="D330" s="206"/>
      <c r="E330" s="207" t="s">
        <v>5</v>
      </c>
      <c r="F330" s="325" t="s">
        <v>1298</v>
      </c>
      <c r="G330" s="326"/>
      <c r="H330" s="326"/>
      <c r="I330" s="326"/>
      <c r="J330" s="206"/>
      <c r="K330" s="208" t="s">
        <v>5</v>
      </c>
      <c r="L330" s="206"/>
      <c r="M330" s="206"/>
      <c r="N330" s="206"/>
      <c r="O330" s="206"/>
      <c r="P330" s="206"/>
      <c r="Q330" s="206"/>
      <c r="R330" s="209"/>
      <c r="T330" s="156"/>
      <c r="U330" s="152"/>
      <c r="V330" s="152"/>
      <c r="W330" s="152"/>
      <c r="X330" s="152"/>
      <c r="Y330" s="152"/>
      <c r="Z330" s="152"/>
      <c r="AA330" s="157"/>
      <c r="AT330" s="158" t="s">
        <v>179</v>
      </c>
      <c r="AU330" s="158" t="s">
        <v>135</v>
      </c>
      <c r="AV330" s="10" t="s">
        <v>21</v>
      </c>
      <c r="AW330" s="10" t="s">
        <v>35</v>
      </c>
      <c r="AX330" s="10" t="s">
        <v>78</v>
      </c>
      <c r="AY330" s="158" t="s">
        <v>167</v>
      </c>
    </row>
    <row r="331" spans="2:51" s="11" customFormat="1" ht="22.5" customHeight="1">
      <c r="B331" s="159"/>
      <c r="C331" s="210"/>
      <c r="D331" s="210"/>
      <c r="E331" s="211" t="s">
        <v>5</v>
      </c>
      <c r="F331" s="321" t="s">
        <v>1443</v>
      </c>
      <c r="G331" s="322"/>
      <c r="H331" s="322"/>
      <c r="I331" s="322"/>
      <c r="J331" s="210"/>
      <c r="K331" s="212">
        <v>595.2</v>
      </c>
      <c r="L331" s="210"/>
      <c r="M331" s="210"/>
      <c r="N331" s="210"/>
      <c r="O331" s="210"/>
      <c r="P331" s="210"/>
      <c r="Q331" s="210"/>
      <c r="R331" s="213"/>
      <c r="T331" s="164"/>
      <c r="U331" s="160"/>
      <c r="V331" s="160"/>
      <c r="W331" s="160"/>
      <c r="X331" s="160"/>
      <c r="Y331" s="160"/>
      <c r="Z331" s="160"/>
      <c r="AA331" s="165"/>
      <c r="AT331" s="166" t="s">
        <v>179</v>
      </c>
      <c r="AU331" s="166" t="s">
        <v>135</v>
      </c>
      <c r="AV331" s="11" t="s">
        <v>135</v>
      </c>
      <c r="AW331" s="11" t="s">
        <v>35</v>
      </c>
      <c r="AX331" s="11" t="s">
        <v>78</v>
      </c>
      <c r="AY331" s="166" t="s">
        <v>167</v>
      </c>
    </row>
    <row r="332" spans="2:51" s="11" customFormat="1" ht="22.5" customHeight="1">
      <c r="B332" s="159"/>
      <c r="C332" s="210"/>
      <c r="D332" s="210"/>
      <c r="E332" s="211" t="s">
        <v>5</v>
      </c>
      <c r="F332" s="321" t="s">
        <v>1444</v>
      </c>
      <c r="G332" s="322"/>
      <c r="H332" s="322"/>
      <c r="I332" s="322"/>
      <c r="J332" s="210"/>
      <c r="K332" s="212">
        <v>450</v>
      </c>
      <c r="L332" s="210"/>
      <c r="M332" s="210"/>
      <c r="N332" s="210"/>
      <c r="O332" s="210"/>
      <c r="P332" s="210"/>
      <c r="Q332" s="210"/>
      <c r="R332" s="213"/>
      <c r="T332" s="164"/>
      <c r="U332" s="160"/>
      <c r="V332" s="160"/>
      <c r="W332" s="160"/>
      <c r="X332" s="160"/>
      <c r="Y332" s="160"/>
      <c r="Z332" s="160"/>
      <c r="AA332" s="165"/>
      <c r="AT332" s="166" t="s">
        <v>179</v>
      </c>
      <c r="AU332" s="166" t="s">
        <v>135</v>
      </c>
      <c r="AV332" s="11" t="s">
        <v>135</v>
      </c>
      <c r="AW332" s="11" t="s">
        <v>35</v>
      </c>
      <c r="AX332" s="11" t="s">
        <v>78</v>
      </c>
      <c r="AY332" s="166" t="s">
        <v>167</v>
      </c>
    </row>
    <row r="333" spans="2:51" s="11" customFormat="1" ht="22.5" customHeight="1">
      <c r="B333" s="159"/>
      <c r="C333" s="210"/>
      <c r="D333" s="210"/>
      <c r="E333" s="211" t="s">
        <v>5</v>
      </c>
      <c r="F333" s="321" t="s">
        <v>1445</v>
      </c>
      <c r="G333" s="322"/>
      <c r="H333" s="322"/>
      <c r="I333" s="322"/>
      <c r="J333" s="210"/>
      <c r="K333" s="212">
        <v>189</v>
      </c>
      <c r="L333" s="210"/>
      <c r="M333" s="210"/>
      <c r="N333" s="210"/>
      <c r="O333" s="210"/>
      <c r="P333" s="210"/>
      <c r="Q333" s="210"/>
      <c r="R333" s="213"/>
      <c r="T333" s="164"/>
      <c r="U333" s="160"/>
      <c r="V333" s="160"/>
      <c r="W333" s="160"/>
      <c r="X333" s="160"/>
      <c r="Y333" s="160"/>
      <c r="Z333" s="160"/>
      <c r="AA333" s="165"/>
      <c r="AT333" s="166" t="s">
        <v>179</v>
      </c>
      <c r="AU333" s="166" t="s">
        <v>135</v>
      </c>
      <c r="AV333" s="11" t="s">
        <v>135</v>
      </c>
      <c r="AW333" s="11" t="s">
        <v>35</v>
      </c>
      <c r="AX333" s="11" t="s">
        <v>78</v>
      </c>
      <c r="AY333" s="166" t="s">
        <v>167</v>
      </c>
    </row>
    <row r="334" spans="2:51" s="11" customFormat="1" ht="22.5" customHeight="1">
      <c r="B334" s="159"/>
      <c r="C334" s="210"/>
      <c r="D334" s="210"/>
      <c r="E334" s="211" t="s">
        <v>5</v>
      </c>
      <c r="F334" s="321" t="s">
        <v>1446</v>
      </c>
      <c r="G334" s="322"/>
      <c r="H334" s="322"/>
      <c r="I334" s="322"/>
      <c r="J334" s="210"/>
      <c r="K334" s="212">
        <v>1468.808</v>
      </c>
      <c r="L334" s="210"/>
      <c r="M334" s="210"/>
      <c r="N334" s="210"/>
      <c r="O334" s="210"/>
      <c r="P334" s="210"/>
      <c r="Q334" s="210"/>
      <c r="R334" s="213"/>
      <c r="T334" s="164"/>
      <c r="U334" s="160"/>
      <c r="V334" s="160"/>
      <c r="W334" s="160"/>
      <c r="X334" s="160"/>
      <c r="Y334" s="160"/>
      <c r="Z334" s="160"/>
      <c r="AA334" s="165"/>
      <c r="AT334" s="166" t="s">
        <v>179</v>
      </c>
      <c r="AU334" s="166" t="s">
        <v>135</v>
      </c>
      <c r="AV334" s="11" t="s">
        <v>135</v>
      </c>
      <c r="AW334" s="11" t="s">
        <v>35</v>
      </c>
      <c r="AX334" s="11" t="s">
        <v>78</v>
      </c>
      <c r="AY334" s="166" t="s">
        <v>167</v>
      </c>
    </row>
    <row r="335" spans="2:51" s="13" customFormat="1" ht="22.5" customHeight="1">
      <c r="B335" s="186"/>
      <c r="C335" s="214"/>
      <c r="D335" s="214"/>
      <c r="E335" s="215" t="s">
        <v>5</v>
      </c>
      <c r="F335" s="323" t="s">
        <v>1278</v>
      </c>
      <c r="G335" s="324"/>
      <c r="H335" s="324"/>
      <c r="I335" s="324"/>
      <c r="J335" s="214"/>
      <c r="K335" s="216">
        <v>2703.008</v>
      </c>
      <c r="L335" s="214"/>
      <c r="M335" s="214"/>
      <c r="N335" s="214"/>
      <c r="O335" s="214"/>
      <c r="P335" s="214"/>
      <c r="Q335" s="214"/>
      <c r="R335" s="217"/>
      <c r="T335" s="191"/>
      <c r="U335" s="187"/>
      <c r="V335" s="187"/>
      <c r="W335" s="187"/>
      <c r="X335" s="187"/>
      <c r="Y335" s="187"/>
      <c r="Z335" s="187"/>
      <c r="AA335" s="192"/>
      <c r="AT335" s="193" t="s">
        <v>179</v>
      </c>
      <c r="AU335" s="193" t="s">
        <v>135</v>
      </c>
      <c r="AV335" s="13" t="s">
        <v>184</v>
      </c>
      <c r="AW335" s="13" t="s">
        <v>35</v>
      </c>
      <c r="AX335" s="13" t="s">
        <v>78</v>
      </c>
      <c r="AY335" s="193" t="s">
        <v>167</v>
      </c>
    </row>
    <row r="336" spans="2:51" s="10" customFormat="1" ht="22.5" customHeight="1">
      <c r="B336" s="151"/>
      <c r="C336" s="206"/>
      <c r="D336" s="206"/>
      <c r="E336" s="207" t="s">
        <v>5</v>
      </c>
      <c r="F336" s="325" t="s">
        <v>1303</v>
      </c>
      <c r="G336" s="326"/>
      <c r="H336" s="326"/>
      <c r="I336" s="326"/>
      <c r="J336" s="206"/>
      <c r="K336" s="208" t="s">
        <v>5</v>
      </c>
      <c r="L336" s="206"/>
      <c r="M336" s="206"/>
      <c r="N336" s="206"/>
      <c r="O336" s="206"/>
      <c r="P336" s="206"/>
      <c r="Q336" s="206"/>
      <c r="R336" s="209"/>
      <c r="T336" s="156"/>
      <c r="U336" s="152"/>
      <c r="V336" s="152"/>
      <c r="W336" s="152"/>
      <c r="X336" s="152"/>
      <c r="Y336" s="152"/>
      <c r="Z336" s="152"/>
      <c r="AA336" s="157"/>
      <c r="AT336" s="158" t="s">
        <v>179</v>
      </c>
      <c r="AU336" s="158" t="s">
        <v>135</v>
      </c>
      <c r="AV336" s="10" t="s">
        <v>21</v>
      </c>
      <c r="AW336" s="10" t="s">
        <v>35</v>
      </c>
      <c r="AX336" s="10" t="s">
        <v>78</v>
      </c>
      <c r="AY336" s="158" t="s">
        <v>167</v>
      </c>
    </row>
    <row r="337" spans="2:51" s="11" customFormat="1" ht="22.5" customHeight="1">
      <c r="B337" s="159"/>
      <c r="C337" s="210"/>
      <c r="D337" s="210"/>
      <c r="E337" s="211" t="s">
        <v>5</v>
      </c>
      <c r="F337" s="321" t="s">
        <v>1447</v>
      </c>
      <c r="G337" s="322"/>
      <c r="H337" s="322"/>
      <c r="I337" s="322"/>
      <c r="J337" s="210"/>
      <c r="K337" s="212">
        <v>1152</v>
      </c>
      <c r="L337" s="210"/>
      <c r="M337" s="210"/>
      <c r="N337" s="210"/>
      <c r="O337" s="210"/>
      <c r="P337" s="210"/>
      <c r="Q337" s="210"/>
      <c r="R337" s="213"/>
      <c r="T337" s="164"/>
      <c r="U337" s="160"/>
      <c r="V337" s="160"/>
      <c r="W337" s="160"/>
      <c r="X337" s="160"/>
      <c r="Y337" s="160"/>
      <c r="Z337" s="160"/>
      <c r="AA337" s="165"/>
      <c r="AT337" s="166" t="s">
        <v>179</v>
      </c>
      <c r="AU337" s="166" t="s">
        <v>135</v>
      </c>
      <c r="AV337" s="11" t="s">
        <v>135</v>
      </c>
      <c r="AW337" s="11" t="s">
        <v>35</v>
      </c>
      <c r="AX337" s="11" t="s">
        <v>78</v>
      </c>
      <c r="AY337" s="166" t="s">
        <v>167</v>
      </c>
    </row>
    <row r="338" spans="2:51" s="11" customFormat="1" ht="22.5" customHeight="1">
      <c r="B338" s="159"/>
      <c r="C338" s="210"/>
      <c r="D338" s="210"/>
      <c r="E338" s="211" t="s">
        <v>5</v>
      </c>
      <c r="F338" s="321" t="s">
        <v>1448</v>
      </c>
      <c r="G338" s="322"/>
      <c r="H338" s="322"/>
      <c r="I338" s="322"/>
      <c r="J338" s="210"/>
      <c r="K338" s="212">
        <v>1008</v>
      </c>
      <c r="L338" s="210"/>
      <c r="M338" s="210"/>
      <c r="N338" s="210"/>
      <c r="O338" s="210"/>
      <c r="P338" s="210"/>
      <c r="Q338" s="210"/>
      <c r="R338" s="213"/>
      <c r="T338" s="164"/>
      <c r="U338" s="160"/>
      <c r="V338" s="160"/>
      <c r="W338" s="160"/>
      <c r="X338" s="160"/>
      <c r="Y338" s="160"/>
      <c r="Z338" s="160"/>
      <c r="AA338" s="165"/>
      <c r="AT338" s="166" t="s">
        <v>179</v>
      </c>
      <c r="AU338" s="166" t="s">
        <v>135</v>
      </c>
      <c r="AV338" s="11" t="s">
        <v>135</v>
      </c>
      <c r="AW338" s="11" t="s">
        <v>35</v>
      </c>
      <c r="AX338" s="11" t="s">
        <v>78</v>
      </c>
      <c r="AY338" s="166" t="s">
        <v>167</v>
      </c>
    </row>
    <row r="339" spans="2:51" s="11" customFormat="1" ht="22.5" customHeight="1">
      <c r="B339" s="159"/>
      <c r="C339" s="210"/>
      <c r="D339" s="210"/>
      <c r="E339" s="211" t="s">
        <v>5</v>
      </c>
      <c r="F339" s="321">
        <v>0</v>
      </c>
      <c r="G339" s="322"/>
      <c r="H339" s="322"/>
      <c r="I339" s="322"/>
      <c r="J339" s="210"/>
      <c r="K339" s="212">
        <v>0</v>
      </c>
      <c r="L339" s="210"/>
      <c r="M339" s="210"/>
      <c r="N339" s="210"/>
      <c r="O339" s="210"/>
      <c r="P339" s="210"/>
      <c r="Q339" s="210"/>
      <c r="R339" s="213"/>
      <c r="T339" s="164"/>
      <c r="U339" s="160"/>
      <c r="V339" s="160"/>
      <c r="W339" s="160"/>
      <c r="X339" s="160"/>
      <c r="Y339" s="160"/>
      <c r="Z339" s="160"/>
      <c r="AA339" s="165"/>
      <c r="AT339" s="166" t="s">
        <v>179</v>
      </c>
      <c r="AU339" s="166" t="s">
        <v>135</v>
      </c>
      <c r="AV339" s="11" t="s">
        <v>135</v>
      </c>
      <c r="AW339" s="11" t="s">
        <v>35</v>
      </c>
      <c r="AX339" s="11" t="s">
        <v>78</v>
      </c>
      <c r="AY339" s="166" t="s">
        <v>167</v>
      </c>
    </row>
    <row r="340" spans="2:51" s="11" customFormat="1" ht="22.5" customHeight="1">
      <c r="B340" s="159"/>
      <c r="C340" s="210"/>
      <c r="D340" s="210"/>
      <c r="E340" s="211" t="s">
        <v>5</v>
      </c>
      <c r="F340" s="321">
        <v>0</v>
      </c>
      <c r="G340" s="322"/>
      <c r="H340" s="322"/>
      <c r="I340" s="322"/>
      <c r="J340" s="210"/>
      <c r="K340" s="212">
        <v>0</v>
      </c>
      <c r="L340" s="210"/>
      <c r="M340" s="210"/>
      <c r="N340" s="210"/>
      <c r="O340" s="210"/>
      <c r="P340" s="210"/>
      <c r="Q340" s="210"/>
      <c r="R340" s="213"/>
      <c r="T340" s="164"/>
      <c r="U340" s="160"/>
      <c r="V340" s="160"/>
      <c r="W340" s="160"/>
      <c r="X340" s="160"/>
      <c r="Y340" s="160"/>
      <c r="Z340" s="160"/>
      <c r="AA340" s="165"/>
      <c r="AT340" s="166" t="s">
        <v>179</v>
      </c>
      <c r="AU340" s="166" t="s">
        <v>135</v>
      </c>
      <c r="AV340" s="11" t="s">
        <v>135</v>
      </c>
      <c r="AW340" s="11" t="s">
        <v>35</v>
      </c>
      <c r="AX340" s="11" t="s">
        <v>78</v>
      </c>
      <c r="AY340" s="166" t="s">
        <v>167</v>
      </c>
    </row>
    <row r="341" spans="2:51" s="13" customFormat="1" ht="22.5" customHeight="1">
      <c r="B341" s="186"/>
      <c r="C341" s="214"/>
      <c r="D341" s="214"/>
      <c r="E341" s="215" t="s">
        <v>5</v>
      </c>
      <c r="F341" s="323" t="s">
        <v>1278</v>
      </c>
      <c r="G341" s="324"/>
      <c r="H341" s="324"/>
      <c r="I341" s="324"/>
      <c r="J341" s="214"/>
      <c r="K341" s="216">
        <f>SUM(K337:K340)</f>
        <v>2160</v>
      </c>
      <c r="L341" s="214"/>
      <c r="M341" s="214"/>
      <c r="N341" s="214"/>
      <c r="O341" s="214"/>
      <c r="P341" s="214"/>
      <c r="Q341" s="214"/>
      <c r="R341" s="217"/>
      <c r="T341" s="191"/>
      <c r="U341" s="187"/>
      <c r="V341" s="187"/>
      <c r="W341" s="187"/>
      <c r="X341" s="187"/>
      <c r="Y341" s="187"/>
      <c r="Z341" s="187"/>
      <c r="AA341" s="192"/>
      <c r="AT341" s="193" t="s">
        <v>179</v>
      </c>
      <c r="AU341" s="193" t="s">
        <v>135</v>
      </c>
      <c r="AV341" s="13" t="s">
        <v>184</v>
      </c>
      <c r="AW341" s="13" t="s">
        <v>35</v>
      </c>
      <c r="AX341" s="13" t="s">
        <v>78</v>
      </c>
      <c r="AY341" s="193" t="s">
        <v>167</v>
      </c>
    </row>
    <row r="342" spans="2:51" s="10" customFormat="1" ht="22.5" customHeight="1">
      <c r="B342" s="151"/>
      <c r="C342" s="206"/>
      <c r="D342" s="206"/>
      <c r="E342" s="207" t="s">
        <v>5</v>
      </c>
      <c r="F342" s="325" t="s">
        <v>1306</v>
      </c>
      <c r="G342" s="326"/>
      <c r="H342" s="326"/>
      <c r="I342" s="326"/>
      <c r="J342" s="206"/>
      <c r="K342" s="208" t="s">
        <v>5</v>
      </c>
      <c r="L342" s="206"/>
      <c r="M342" s="206"/>
      <c r="N342" s="206"/>
      <c r="O342" s="206"/>
      <c r="P342" s="206"/>
      <c r="Q342" s="206"/>
      <c r="R342" s="209"/>
      <c r="T342" s="156"/>
      <c r="U342" s="152"/>
      <c r="V342" s="152"/>
      <c r="W342" s="152"/>
      <c r="X342" s="152"/>
      <c r="Y342" s="152"/>
      <c r="Z342" s="152"/>
      <c r="AA342" s="157"/>
      <c r="AT342" s="158" t="s">
        <v>179</v>
      </c>
      <c r="AU342" s="158" t="s">
        <v>135</v>
      </c>
      <c r="AV342" s="10" t="s">
        <v>21</v>
      </c>
      <c r="AW342" s="10" t="s">
        <v>35</v>
      </c>
      <c r="AX342" s="10" t="s">
        <v>78</v>
      </c>
      <c r="AY342" s="158" t="s">
        <v>167</v>
      </c>
    </row>
    <row r="343" spans="2:51" s="11" customFormat="1" ht="22.5" customHeight="1">
      <c r="B343" s="159"/>
      <c r="C343" s="210"/>
      <c r="D343" s="210"/>
      <c r="E343" s="211" t="s">
        <v>5</v>
      </c>
      <c r="F343" s="321" t="s">
        <v>1449</v>
      </c>
      <c r="G343" s="322"/>
      <c r="H343" s="322"/>
      <c r="I343" s="322"/>
      <c r="J343" s="210"/>
      <c r="K343" s="212">
        <v>1071.2</v>
      </c>
      <c r="L343" s="210"/>
      <c r="M343" s="210"/>
      <c r="N343" s="210"/>
      <c r="O343" s="210"/>
      <c r="P343" s="210"/>
      <c r="Q343" s="210"/>
      <c r="R343" s="213"/>
      <c r="T343" s="164"/>
      <c r="U343" s="160"/>
      <c r="V343" s="160"/>
      <c r="W343" s="160"/>
      <c r="X343" s="160"/>
      <c r="Y343" s="160"/>
      <c r="Z343" s="160"/>
      <c r="AA343" s="165"/>
      <c r="AT343" s="166" t="s">
        <v>179</v>
      </c>
      <c r="AU343" s="166" t="s">
        <v>135</v>
      </c>
      <c r="AV343" s="11" t="s">
        <v>135</v>
      </c>
      <c r="AW343" s="11" t="s">
        <v>35</v>
      </c>
      <c r="AX343" s="11" t="s">
        <v>78</v>
      </c>
      <c r="AY343" s="166" t="s">
        <v>167</v>
      </c>
    </row>
    <row r="344" spans="2:51" s="13" customFormat="1" ht="22.5" customHeight="1">
      <c r="B344" s="186"/>
      <c r="C344" s="214"/>
      <c r="D344" s="214"/>
      <c r="E344" s="215" t="s">
        <v>5</v>
      </c>
      <c r="F344" s="323" t="s">
        <v>1278</v>
      </c>
      <c r="G344" s="324"/>
      <c r="H344" s="324"/>
      <c r="I344" s="324"/>
      <c r="J344" s="214"/>
      <c r="K344" s="216">
        <v>1071.2</v>
      </c>
      <c r="L344" s="214"/>
      <c r="M344" s="214"/>
      <c r="N344" s="214"/>
      <c r="O344" s="214"/>
      <c r="P344" s="214"/>
      <c r="Q344" s="214"/>
      <c r="R344" s="217"/>
      <c r="T344" s="191"/>
      <c r="U344" s="187"/>
      <c r="V344" s="187"/>
      <c r="W344" s="187"/>
      <c r="X344" s="187"/>
      <c r="Y344" s="187"/>
      <c r="Z344" s="187"/>
      <c r="AA344" s="192"/>
      <c r="AT344" s="193" t="s">
        <v>179</v>
      </c>
      <c r="AU344" s="193" t="s">
        <v>135</v>
      </c>
      <c r="AV344" s="13" t="s">
        <v>184</v>
      </c>
      <c r="AW344" s="13" t="s">
        <v>35</v>
      </c>
      <c r="AX344" s="13" t="s">
        <v>78</v>
      </c>
      <c r="AY344" s="193" t="s">
        <v>167</v>
      </c>
    </row>
    <row r="345" spans="2:51" s="10" customFormat="1" ht="22.5" customHeight="1">
      <c r="B345" s="151"/>
      <c r="C345" s="206"/>
      <c r="D345" s="206"/>
      <c r="E345" s="207" t="s">
        <v>5</v>
      </c>
      <c r="F345" s="325" t="s">
        <v>1308</v>
      </c>
      <c r="G345" s="326"/>
      <c r="H345" s="326"/>
      <c r="I345" s="326"/>
      <c r="J345" s="206"/>
      <c r="K345" s="208" t="s">
        <v>5</v>
      </c>
      <c r="L345" s="206"/>
      <c r="M345" s="206"/>
      <c r="N345" s="206"/>
      <c r="O345" s="206"/>
      <c r="P345" s="206"/>
      <c r="Q345" s="206"/>
      <c r="R345" s="209"/>
      <c r="T345" s="156"/>
      <c r="U345" s="152"/>
      <c r="V345" s="152"/>
      <c r="W345" s="152"/>
      <c r="X345" s="152"/>
      <c r="Y345" s="152"/>
      <c r="Z345" s="152"/>
      <c r="AA345" s="157"/>
      <c r="AT345" s="158" t="s">
        <v>179</v>
      </c>
      <c r="AU345" s="158" t="s">
        <v>135</v>
      </c>
      <c r="AV345" s="10" t="s">
        <v>21</v>
      </c>
      <c r="AW345" s="10" t="s">
        <v>35</v>
      </c>
      <c r="AX345" s="10" t="s">
        <v>78</v>
      </c>
      <c r="AY345" s="158" t="s">
        <v>167</v>
      </c>
    </row>
    <row r="346" spans="2:51" s="11" customFormat="1" ht="22.5" customHeight="1">
      <c r="B346" s="159"/>
      <c r="C346" s="210"/>
      <c r="D346" s="210"/>
      <c r="E346" s="211" t="s">
        <v>5</v>
      </c>
      <c r="F346" s="321" t="s">
        <v>1450</v>
      </c>
      <c r="G346" s="322"/>
      <c r="H346" s="322"/>
      <c r="I346" s="322"/>
      <c r="J346" s="210"/>
      <c r="K346" s="212">
        <v>88.4</v>
      </c>
      <c r="L346" s="210"/>
      <c r="M346" s="210"/>
      <c r="N346" s="210"/>
      <c r="O346" s="210"/>
      <c r="P346" s="210"/>
      <c r="Q346" s="210"/>
      <c r="R346" s="213"/>
      <c r="T346" s="164"/>
      <c r="U346" s="160"/>
      <c r="V346" s="160"/>
      <c r="W346" s="160"/>
      <c r="X346" s="160"/>
      <c r="Y346" s="160"/>
      <c r="Z346" s="160"/>
      <c r="AA346" s="165"/>
      <c r="AT346" s="166" t="s">
        <v>179</v>
      </c>
      <c r="AU346" s="166" t="s">
        <v>135</v>
      </c>
      <c r="AV346" s="11" t="s">
        <v>135</v>
      </c>
      <c r="AW346" s="11" t="s">
        <v>35</v>
      </c>
      <c r="AX346" s="11" t="s">
        <v>78</v>
      </c>
      <c r="AY346" s="166" t="s">
        <v>167</v>
      </c>
    </row>
    <row r="347" spans="2:51" s="11" customFormat="1" ht="22.5" customHeight="1">
      <c r="B347" s="159"/>
      <c r="C347" s="210"/>
      <c r="D347" s="210"/>
      <c r="E347" s="211" t="s">
        <v>5</v>
      </c>
      <c r="F347" s="321" t="s">
        <v>1451</v>
      </c>
      <c r="G347" s="322"/>
      <c r="H347" s="322"/>
      <c r="I347" s="322"/>
      <c r="J347" s="210"/>
      <c r="K347" s="212">
        <v>252</v>
      </c>
      <c r="L347" s="210"/>
      <c r="M347" s="210"/>
      <c r="N347" s="210"/>
      <c r="O347" s="210"/>
      <c r="P347" s="210"/>
      <c r="Q347" s="210"/>
      <c r="R347" s="213"/>
      <c r="T347" s="164"/>
      <c r="U347" s="160"/>
      <c r="V347" s="160"/>
      <c r="W347" s="160"/>
      <c r="X347" s="160"/>
      <c r="Y347" s="160"/>
      <c r="Z347" s="160"/>
      <c r="AA347" s="165"/>
      <c r="AT347" s="166" t="s">
        <v>179</v>
      </c>
      <c r="AU347" s="166" t="s">
        <v>135</v>
      </c>
      <c r="AV347" s="11" t="s">
        <v>135</v>
      </c>
      <c r="AW347" s="11" t="s">
        <v>35</v>
      </c>
      <c r="AX347" s="11" t="s">
        <v>78</v>
      </c>
      <c r="AY347" s="166" t="s">
        <v>167</v>
      </c>
    </row>
    <row r="348" spans="2:51" s="11" customFormat="1" ht="22.5" customHeight="1">
      <c r="B348" s="159"/>
      <c r="C348" s="210"/>
      <c r="D348" s="210"/>
      <c r="E348" s="211" t="s">
        <v>5</v>
      </c>
      <c r="F348" s="321" t="s">
        <v>1452</v>
      </c>
      <c r="G348" s="322"/>
      <c r="H348" s="322"/>
      <c r="I348" s="322"/>
      <c r="J348" s="210"/>
      <c r="K348" s="212">
        <v>396</v>
      </c>
      <c r="L348" s="210"/>
      <c r="M348" s="210"/>
      <c r="N348" s="210"/>
      <c r="O348" s="210"/>
      <c r="P348" s="210"/>
      <c r="Q348" s="210"/>
      <c r="R348" s="213"/>
      <c r="T348" s="164"/>
      <c r="U348" s="160"/>
      <c r="V348" s="160"/>
      <c r="W348" s="160"/>
      <c r="X348" s="160"/>
      <c r="Y348" s="160"/>
      <c r="Z348" s="160"/>
      <c r="AA348" s="165"/>
      <c r="AT348" s="166" t="s">
        <v>179</v>
      </c>
      <c r="AU348" s="166" t="s">
        <v>135</v>
      </c>
      <c r="AV348" s="11" t="s">
        <v>135</v>
      </c>
      <c r="AW348" s="11" t="s">
        <v>35</v>
      </c>
      <c r="AX348" s="11" t="s">
        <v>78</v>
      </c>
      <c r="AY348" s="166" t="s">
        <v>167</v>
      </c>
    </row>
    <row r="349" spans="2:51" s="11" customFormat="1" ht="22.5" customHeight="1">
      <c r="B349" s="159"/>
      <c r="C349" s="210"/>
      <c r="D349" s="210"/>
      <c r="E349" s="211" t="s">
        <v>5</v>
      </c>
      <c r="F349" s="321" t="s">
        <v>1453</v>
      </c>
      <c r="G349" s="322"/>
      <c r="H349" s="322"/>
      <c r="I349" s="322"/>
      <c r="J349" s="210"/>
      <c r="K349" s="212">
        <v>1388</v>
      </c>
      <c r="L349" s="210"/>
      <c r="M349" s="210"/>
      <c r="N349" s="210"/>
      <c r="O349" s="210"/>
      <c r="P349" s="210"/>
      <c r="Q349" s="210"/>
      <c r="R349" s="213"/>
      <c r="T349" s="164"/>
      <c r="U349" s="160"/>
      <c r="V349" s="160"/>
      <c r="W349" s="160"/>
      <c r="X349" s="160"/>
      <c r="Y349" s="160"/>
      <c r="Z349" s="160"/>
      <c r="AA349" s="165"/>
      <c r="AT349" s="166" t="s">
        <v>179</v>
      </c>
      <c r="AU349" s="166" t="s">
        <v>135</v>
      </c>
      <c r="AV349" s="11" t="s">
        <v>135</v>
      </c>
      <c r="AW349" s="11" t="s">
        <v>35</v>
      </c>
      <c r="AX349" s="11" t="s">
        <v>78</v>
      </c>
      <c r="AY349" s="166" t="s">
        <v>167</v>
      </c>
    </row>
    <row r="350" spans="2:51" s="13" customFormat="1" ht="22.5" customHeight="1">
      <c r="B350" s="186"/>
      <c r="C350" s="214"/>
      <c r="D350" s="214"/>
      <c r="E350" s="215" t="s">
        <v>5</v>
      </c>
      <c r="F350" s="323" t="s">
        <v>1278</v>
      </c>
      <c r="G350" s="324"/>
      <c r="H350" s="324"/>
      <c r="I350" s="324"/>
      <c r="J350" s="214"/>
      <c r="K350" s="216">
        <v>2124.4</v>
      </c>
      <c r="L350" s="214"/>
      <c r="M350" s="214"/>
      <c r="N350" s="214"/>
      <c r="O350" s="214"/>
      <c r="P350" s="214"/>
      <c r="Q350" s="214"/>
      <c r="R350" s="217"/>
      <c r="T350" s="191"/>
      <c r="U350" s="187"/>
      <c r="V350" s="187"/>
      <c r="W350" s="187"/>
      <c r="X350" s="187"/>
      <c r="Y350" s="187"/>
      <c r="Z350" s="187"/>
      <c r="AA350" s="192"/>
      <c r="AT350" s="193" t="s">
        <v>179</v>
      </c>
      <c r="AU350" s="193" t="s">
        <v>135</v>
      </c>
      <c r="AV350" s="13" t="s">
        <v>184</v>
      </c>
      <c r="AW350" s="13" t="s">
        <v>35</v>
      </c>
      <c r="AX350" s="13" t="s">
        <v>78</v>
      </c>
      <c r="AY350" s="193" t="s">
        <v>167</v>
      </c>
    </row>
    <row r="351" spans="2:51" s="10" customFormat="1" ht="22.5" customHeight="1">
      <c r="B351" s="151"/>
      <c r="C351" s="206"/>
      <c r="D351" s="206"/>
      <c r="E351" s="207" t="s">
        <v>5</v>
      </c>
      <c r="F351" s="325" t="s">
        <v>1313</v>
      </c>
      <c r="G351" s="326"/>
      <c r="H351" s="326"/>
      <c r="I351" s="326"/>
      <c r="J351" s="206"/>
      <c r="K351" s="208" t="s">
        <v>5</v>
      </c>
      <c r="L351" s="206"/>
      <c r="M351" s="206"/>
      <c r="N351" s="206"/>
      <c r="O351" s="206"/>
      <c r="P351" s="206"/>
      <c r="Q351" s="206"/>
      <c r="R351" s="209"/>
      <c r="T351" s="156"/>
      <c r="U351" s="152"/>
      <c r="V351" s="152"/>
      <c r="W351" s="152"/>
      <c r="X351" s="152"/>
      <c r="Y351" s="152"/>
      <c r="Z351" s="152"/>
      <c r="AA351" s="157"/>
      <c r="AT351" s="158" t="s">
        <v>179</v>
      </c>
      <c r="AU351" s="158" t="s">
        <v>135</v>
      </c>
      <c r="AV351" s="10" t="s">
        <v>21</v>
      </c>
      <c r="AW351" s="10" t="s">
        <v>35</v>
      </c>
      <c r="AX351" s="10" t="s">
        <v>78</v>
      </c>
      <c r="AY351" s="158" t="s">
        <v>167</v>
      </c>
    </row>
    <row r="352" spans="2:51" s="11" customFormat="1" ht="22.5" customHeight="1">
      <c r="B352" s="159"/>
      <c r="C352" s="210"/>
      <c r="D352" s="210"/>
      <c r="E352" s="211" t="s">
        <v>5</v>
      </c>
      <c r="F352" s="321" t="s">
        <v>1454</v>
      </c>
      <c r="G352" s="322"/>
      <c r="H352" s="322"/>
      <c r="I352" s="322"/>
      <c r="J352" s="210"/>
      <c r="K352" s="212">
        <v>374.4</v>
      </c>
      <c r="L352" s="210"/>
      <c r="M352" s="210"/>
      <c r="N352" s="210"/>
      <c r="O352" s="210"/>
      <c r="P352" s="210"/>
      <c r="Q352" s="210"/>
      <c r="R352" s="213"/>
      <c r="T352" s="164"/>
      <c r="U352" s="160"/>
      <c r="V352" s="160"/>
      <c r="W352" s="160"/>
      <c r="X352" s="160"/>
      <c r="Y352" s="160"/>
      <c r="Z352" s="160"/>
      <c r="AA352" s="165"/>
      <c r="AT352" s="166" t="s">
        <v>179</v>
      </c>
      <c r="AU352" s="166" t="s">
        <v>135</v>
      </c>
      <c r="AV352" s="11" t="s">
        <v>135</v>
      </c>
      <c r="AW352" s="11" t="s">
        <v>35</v>
      </c>
      <c r="AX352" s="11" t="s">
        <v>78</v>
      </c>
      <c r="AY352" s="166" t="s">
        <v>167</v>
      </c>
    </row>
    <row r="353" spans="2:51" s="13" customFormat="1" ht="22.5" customHeight="1">
      <c r="B353" s="186"/>
      <c r="C353" s="214"/>
      <c r="D353" s="214"/>
      <c r="E353" s="215" t="s">
        <v>5</v>
      </c>
      <c r="F353" s="323" t="s">
        <v>1278</v>
      </c>
      <c r="G353" s="324"/>
      <c r="H353" s="324"/>
      <c r="I353" s="324"/>
      <c r="J353" s="214"/>
      <c r="K353" s="216">
        <v>374.4</v>
      </c>
      <c r="L353" s="214"/>
      <c r="M353" s="214"/>
      <c r="N353" s="214"/>
      <c r="O353" s="214"/>
      <c r="P353" s="214"/>
      <c r="Q353" s="214"/>
      <c r="R353" s="217"/>
      <c r="T353" s="191"/>
      <c r="U353" s="187"/>
      <c r="V353" s="187"/>
      <c r="W353" s="187"/>
      <c r="X353" s="187"/>
      <c r="Y353" s="187"/>
      <c r="Z353" s="187"/>
      <c r="AA353" s="192"/>
      <c r="AT353" s="193" t="s">
        <v>179</v>
      </c>
      <c r="AU353" s="193" t="s">
        <v>135</v>
      </c>
      <c r="AV353" s="13" t="s">
        <v>184</v>
      </c>
      <c r="AW353" s="13" t="s">
        <v>35</v>
      </c>
      <c r="AX353" s="13" t="s">
        <v>78</v>
      </c>
      <c r="AY353" s="193" t="s">
        <v>167</v>
      </c>
    </row>
    <row r="354" spans="2:51" s="10" customFormat="1" ht="22.5" customHeight="1">
      <c r="B354" s="151"/>
      <c r="C354" s="206"/>
      <c r="D354" s="206"/>
      <c r="E354" s="207" t="s">
        <v>5</v>
      </c>
      <c r="F354" s="325" t="s">
        <v>1315</v>
      </c>
      <c r="G354" s="326"/>
      <c r="H354" s="326"/>
      <c r="I354" s="326"/>
      <c r="J354" s="206"/>
      <c r="K354" s="208" t="s">
        <v>5</v>
      </c>
      <c r="L354" s="206"/>
      <c r="M354" s="206"/>
      <c r="N354" s="206"/>
      <c r="O354" s="206"/>
      <c r="P354" s="206"/>
      <c r="Q354" s="206"/>
      <c r="R354" s="209"/>
      <c r="T354" s="156"/>
      <c r="U354" s="152"/>
      <c r="V354" s="152"/>
      <c r="W354" s="152"/>
      <c r="X354" s="152"/>
      <c r="Y354" s="152"/>
      <c r="Z354" s="152"/>
      <c r="AA354" s="157"/>
      <c r="AT354" s="158" t="s">
        <v>179</v>
      </c>
      <c r="AU354" s="158" t="s">
        <v>135</v>
      </c>
      <c r="AV354" s="10" t="s">
        <v>21</v>
      </c>
      <c r="AW354" s="10" t="s">
        <v>35</v>
      </c>
      <c r="AX354" s="10" t="s">
        <v>78</v>
      </c>
      <c r="AY354" s="158" t="s">
        <v>167</v>
      </c>
    </row>
    <row r="355" spans="2:51" s="11" customFormat="1" ht="22.5" customHeight="1">
      <c r="B355" s="159"/>
      <c r="C355" s="210"/>
      <c r="D355" s="210"/>
      <c r="E355" s="211" t="s">
        <v>5</v>
      </c>
      <c r="F355" s="321" t="s">
        <v>1455</v>
      </c>
      <c r="G355" s="322"/>
      <c r="H355" s="322"/>
      <c r="I355" s="322"/>
      <c r="J355" s="210"/>
      <c r="K355" s="212">
        <v>282.1</v>
      </c>
      <c r="L355" s="210"/>
      <c r="M355" s="210"/>
      <c r="N355" s="210"/>
      <c r="O355" s="210"/>
      <c r="P355" s="210"/>
      <c r="Q355" s="210"/>
      <c r="R355" s="213"/>
      <c r="T355" s="164"/>
      <c r="U355" s="160"/>
      <c r="V355" s="160"/>
      <c r="W355" s="160"/>
      <c r="X355" s="160"/>
      <c r="Y355" s="160"/>
      <c r="Z355" s="160"/>
      <c r="AA355" s="165"/>
      <c r="AT355" s="166" t="s">
        <v>179</v>
      </c>
      <c r="AU355" s="166" t="s">
        <v>135</v>
      </c>
      <c r="AV355" s="11" t="s">
        <v>135</v>
      </c>
      <c r="AW355" s="11" t="s">
        <v>35</v>
      </c>
      <c r="AX355" s="11" t="s">
        <v>78</v>
      </c>
      <c r="AY355" s="166" t="s">
        <v>167</v>
      </c>
    </row>
    <row r="356" spans="2:51" s="11" customFormat="1" ht="22.5" customHeight="1">
      <c r="B356" s="159"/>
      <c r="C356" s="210"/>
      <c r="D356" s="210"/>
      <c r="E356" s="211" t="s">
        <v>5</v>
      </c>
      <c r="F356" s="321" t="s">
        <v>1456</v>
      </c>
      <c r="G356" s="322"/>
      <c r="H356" s="322"/>
      <c r="I356" s="322"/>
      <c r="J356" s="210"/>
      <c r="K356" s="212">
        <v>336.7</v>
      </c>
      <c r="L356" s="210"/>
      <c r="M356" s="210"/>
      <c r="N356" s="210"/>
      <c r="O356" s="210"/>
      <c r="P356" s="210"/>
      <c r="Q356" s="210"/>
      <c r="R356" s="213"/>
      <c r="T356" s="164"/>
      <c r="U356" s="160"/>
      <c r="V356" s="160"/>
      <c r="W356" s="160"/>
      <c r="X356" s="160"/>
      <c r="Y356" s="160"/>
      <c r="Z356" s="160"/>
      <c r="AA356" s="165"/>
      <c r="AT356" s="166" t="s">
        <v>179</v>
      </c>
      <c r="AU356" s="166" t="s">
        <v>135</v>
      </c>
      <c r="AV356" s="11" t="s">
        <v>135</v>
      </c>
      <c r="AW356" s="11" t="s">
        <v>35</v>
      </c>
      <c r="AX356" s="11" t="s">
        <v>78</v>
      </c>
      <c r="AY356" s="166" t="s">
        <v>167</v>
      </c>
    </row>
    <row r="357" spans="2:51" s="11" customFormat="1" ht="22.5" customHeight="1">
      <c r="B357" s="159"/>
      <c r="C357" s="210"/>
      <c r="D357" s="210"/>
      <c r="E357" s="211" t="s">
        <v>5</v>
      </c>
      <c r="F357" s="321" t="s">
        <v>1457</v>
      </c>
      <c r="G357" s="322"/>
      <c r="H357" s="322"/>
      <c r="I357" s="322"/>
      <c r="J357" s="210"/>
      <c r="K357" s="212">
        <v>228</v>
      </c>
      <c r="L357" s="210"/>
      <c r="M357" s="210"/>
      <c r="N357" s="210"/>
      <c r="O357" s="210"/>
      <c r="P357" s="210"/>
      <c r="Q357" s="210"/>
      <c r="R357" s="213"/>
      <c r="T357" s="164"/>
      <c r="U357" s="160"/>
      <c r="V357" s="160"/>
      <c r="W357" s="160"/>
      <c r="X357" s="160"/>
      <c r="Y357" s="160"/>
      <c r="Z357" s="160"/>
      <c r="AA357" s="165"/>
      <c r="AT357" s="166" t="s">
        <v>179</v>
      </c>
      <c r="AU357" s="166" t="s">
        <v>135</v>
      </c>
      <c r="AV357" s="11" t="s">
        <v>135</v>
      </c>
      <c r="AW357" s="11" t="s">
        <v>35</v>
      </c>
      <c r="AX357" s="11" t="s">
        <v>78</v>
      </c>
      <c r="AY357" s="166" t="s">
        <v>167</v>
      </c>
    </row>
    <row r="358" spans="2:51" s="11" customFormat="1" ht="22.5" customHeight="1">
      <c r="B358" s="159"/>
      <c r="C358" s="210"/>
      <c r="D358" s="210"/>
      <c r="E358" s="211" t="s">
        <v>5</v>
      </c>
      <c r="F358" s="321" t="s">
        <v>1458</v>
      </c>
      <c r="G358" s="322"/>
      <c r="H358" s="322"/>
      <c r="I358" s="322"/>
      <c r="J358" s="210"/>
      <c r="K358" s="212">
        <v>174.8</v>
      </c>
      <c r="L358" s="210"/>
      <c r="M358" s="210"/>
      <c r="N358" s="210"/>
      <c r="O358" s="210"/>
      <c r="P358" s="210"/>
      <c r="Q358" s="210"/>
      <c r="R358" s="213"/>
      <c r="T358" s="164"/>
      <c r="U358" s="160"/>
      <c r="V358" s="160"/>
      <c r="W358" s="160"/>
      <c r="X358" s="160"/>
      <c r="Y358" s="160"/>
      <c r="Z358" s="160"/>
      <c r="AA358" s="165"/>
      <c r="AT358" s="166" t="s">
        <v>179</v>
      </c>
      <c r="AU358" s="166" t="s">
        <v>135</v>
      </c>
      <c r="AV358" s="11" t="s">
        <v>135</v>
      </c>
      <c r="AW358" s="11" t="s">
        <v>35</v>
      </c>
      <c r="AX358" s="11" t="s">
        <v>78</v>
      </c>
      <c r="AY358" s="166" t="s">
        <v>167</v>
      </c>
    </row>
    <row r="359" spans="2:51" s="13" customFormat="1" ht="22.5" customHeight="1">
      <c r="B359" s="186"/>
      <c r="C359" s="214"/>
      <c r="D359" s="214"/>
      <c r="E359" s="215" t="s">
        <v>5</v>
      </c>
      <c r="F359" s="323" t="s">
        <v>1278</v>
      </c>
      <c r="G359" s="324"/>
      <c r="H359" s="324"/>
      <c r="I359" s="324"/>
      <c r="J359" s="214"/>
      <c r="K359" s="216">
        <v>1021.6</v>
      </c>
      <c r="L359" s="214"/>
      <c r="M359" s="214"/>
      <c r="N359" s="214"/>
      <c r="O359" s="214"/>
      <c r="P359" s="214"/>
      <c r="Q359" s="214"/>
      <c r="R359" s="217"/>
      <c r="T359" s="191"/>
      <c r="U359" s="187"/>
      <c r="V359" s="187"/>
      <c r="W359" s="187"/>
      <c r="X359" s="187"/>
      <c r="Y359" s="187"/>
      <c r="Z359" s="187"/>
      <c r="AA359" s="192"/>
      <c r="AT359" s="193" t="s">
        <v>179</v>
      </c>
      <c r="AU359" s="193" t="s">
        <v>135</v>
      </c>
      <c r="AV359" s="13" t="s">
        <v>184</v>
      </c>
      <c r="AW359" s="13" t="s">
        <v>35</v>
      </c>
      <c r="AX359" s="13" t="s">
        <v>78</v>
      </c>
      <c r="AY359" s="193" t="s">
        <v>167</v>
      </c>
    </row>
    <row r="360" spans="2:51" s="10" customFormat="1" ht="22.5" customHeight="1">
      <c r="B360" s="151"/>
      <c r="C360" s="206"/>
      <c r="D360" s="206"/>
      <c r="E360" s="207" t="s">
        <v>5</v>
      </c>
      <c r="F360" s="325" t="s">
        <v>1320</v>
      </c>
      <c r="G360" s="326"/>
      <c r="H360" s="326"/>
      <c r="I360" s="326"/>
      <c r="J360" s="206"/>
      <c r="K360" s="208" t="s">
        <v>5</v>
      </c>
      <c r="L360" s="206"/>
      <c r="M360" s="206"/>
      <c r="N360" s="206"/>
      <c r="O360" s="206"/>
      <c r="P360" s="206"/>
      <c r="Q360" s="206"/>
      <c r="R360" s="209"/>
      <c r="T360" s="156"/>
      <c r="U360" s="152"/>
      <c r="V360" s="152"/>
      <c r="W360" s="152"/>
      <c r="X360" s="152"/>
      <c r="Y360" s="152"/>
      <c r="Z360" s="152"/>
      <c r="AA360" s="157"/>
      <c r="AT360" s="158" t="s">
        <v>179</v>
      </c>
      <c r="AU360" s="158" t="s">
        <v>135</v>
      </c>
      <c r="AV360" s="10" t="s">
        <v>21</v>
      </c>
      <c r="AW360" s="10" t="s">
        <v>35</v>
      </c>
      <c r="AX360" s="10" t="s">
        <v>78</v>
      </c>
      <c r="AY360" s="158" t="s">
        <v>167</v>
      </c>
    </row>
    <row r="361" spans="2:51" s="11" customFormat="1" ht="22.5" customHeight="1">
      <c r="B361" s="159"/>
      <c r="C361" s="210"/>
      <c r="D361" s="210"/>
      <c r="E361" s="211" t="s">
        <v>5</v>
      </c>
      <c r="F361" s="321" t="s">
        <v>1459</v>
      </c>
      <c r="G361" s="322"/>
      <c r="H361" s="322"/>
      <c r="I361" s="322"/>
      <c r="J361" s="210"/>
      <c r="K361" s="212">
        <v>234</v>
      </c>
      <c r="L361" s="210"/>
      <c r="M361" s="210"/>
      <c r="N361" s="210"/>
      <c r="O361" s="210"/>
      <c r="P361" s="210"/>
      <c r="Q361" s="210"/>
      <c r="R361" s="213"/>
      <c r="T361" s="164"/>
      <c r="U361" s="160"/>
      <c r="V361" s="160"/>
      <c r="W361" s="160"/>
      <c r="X361" s="160"/>
      <c r="Y361" s="160"/>
      <c r="Z361" s="160"/>
      <c r="AA361" s="165"/>
      <c r="AT361" s="166" t="s">
        <v>179</v>
      </c>
      <c r="AU361" s="166" t="s">
        <v>135</v>
      </c>
      <c r="AV361" s="11" t="s">
        <v>135</v>
      </c>
      <c r="AW361" s="11" t="s">
        <v>35</v>
      </c>
      <c r="AX361" s="11" t="s">
        <v>78</v>
      </c>
      <c r="AY361" s="166" t="s">
        <v>167</v>
      </c>
    </row>
    <row r="362" spans="2:51" s="11" customFormat="1" ht="22.5" customHeight="1">
      <c r="B362" s="159"/>
      <c r="C362" s="210"/>
      <c r="D362" s="210"/>
      <c r="E362" s="211" t="s">
        <v>5</v>
      </c>
      <c r="F362" s="321" t="s">
        <v>1460</v>
      </c>
      <c r="G362" s="322"/>
      <c r="H362" s="322"/>
      <c r="I362" s="322"/>
      <c r="J362" s="210"/>
      <c r="K362" s="212">
        <v>556</v>
      </c>
      <c r="L362" s="210"/>
      <c r="M362" s="210"/>
      <c r="N362" s="210"/>
      <c r="O362" s="210"/>
      <c r="P362" s="210"/>
      <c r="Q362" s="210"/>
      <c r="R362" s="213"/>
      <c r="T362" s="164"/>
      <c r="U362" s="160"/>
      <c r="V362" s="160"/>
      <c r="W362" s="160"/>
      <c r="X362" s="160"/>
      <c r="Y362" s="160"/>
      <c r="Z362" s="160"/>
      <c r="AA362" s="165"/>
      <c r="AT362" s="166" t="s">
        <v>179</v>
      </c>
      <c r="AU362" s="166" t="s">
        <v>135</v>
      </c>
      <c r="AV362" s="11" t="s">
        <v>135</v>
      </c>
      <c r="AW362" s="11" t="s">
        <v>35</v>
      </c>
      <c r="AX362" s="11" t="s">
        <v>78</v>
      </c>
      <c r="AY362" s="166" t="s">
        <v>167</v>
      </c>
    </row>
    <row r="363" spans="2:51" s="13" customFormat="1" ht="22.5" customHeight="1">
      <c r="B363" s="186"/>
      <c r="C363" s="214"/>
      <c r="D363" s="214"/>
      <c r="E363" s="215" t="s">
        <v>5</v>
      </c>
      <c r="F363" s="323" t="s">
        <v>1278</v>
      </c>
      <c r="G363" s="324"/>
      <c r="H363" s="324"/>
      <c r="I363" s="324"/>
      <c r="J363" s="214"/>
      <c r="K363" s="216">
        <v>790</v>
      </c>
      <c r="L363" s="214"/>
      <c r="M363" s="214"/>
      <c r="N363" s="214"/>
      <c r="O363" s="214"/>
      <c r="P363" s="214"/>
      <c r="Q363" s="214"/>
      <c r="R363" s="217"/>
      <c r="T363" s="191"/>
      <c r="U363" s="187"/>
      <c r="V363" s="187"/>
      <c r="W363" s="187"/>
      <c r="X363" s="187"/>
      <c r="Y363" s="187"/>
      <c r="Z363" s="187"/>
      <c r="AA363" s="192"/>
      <c r="AT363" s="193" t="s">
        <v>179</v>
      </c>
      <c r="AU363" s="193" t="s">
        <v>135</v>
      </c>
      <c r="AV363" s="13" t="s">
        <v>184</v>
      </c>
      <c r="AW363" s="13" t="s">
        <v>35</v>
      </c>
      <c r="AX363" s="13" t="s">
        <v>78</v>
      </c>
      <c r="AY363" s="193" t="s">
        <v>167</v>
      </c>
    </row>
    <row r="364" spans="2:51" s="10" customFormat="1" ht="22.5" customHeight="1">
      <c r="B364" s="151"/>
      <c r="C364" s="206"/>
      <c r="D364" s="206"/>
      <c r="E364" s="207" t="s">
        <v>5</v>
      </c>
      <c r="F364" s="325" t="s">
        <v>1323</v>
      </c>
      <c r="G364" s="326"/>
      <c r="H364" s="326"/>
      <c r="I364" s="326"/>
      <c r="J364" s="206"/>
      <c r="K364" s="208" t="s">
        <v>5</v>
      </c>
      <c r="L364" s="206"/>
      <c r="M364" s="206"/>
      <c r="N364" s="206"/>
      <c r="O364" s="206"/>
      <c r="P364" s="206"/>
      <c r="Q364" s="206"/>
      <c r="R364" s="209"/>
      <c r="T364" s="156"/>
      <c r="U364" s="152"/>
      <c r="V364" s="152"/>
      <c r="W364" s="152"/>
      <c r="X364" s="152"/>
      <c r="Y364" s="152"/>
      <c r="Z364" s="152"/>
      <c r="AA364" s="157"/>
      <c r="AT364" s="158" t="s">
        <v>179</v>
      </c>
      <c r="AU364" s="158" t="s">
        <v>135</v>
      </c>
      <c r="AV364" s="10" t="s">
        <v>21</v>
      </c>
      <c r="AW364" s="10" t="s">
        <v>35</v>
      </c>
      <c r="AX364" s="10" t="s">
        <v>78</v>
      </c>
      <c r="AY364" s="158" t="s">
        <v>167</v>
      </c>
    </row>
    <row r="365" spans="2:51" s="11" customFormat="1" ht="22.5" customHeight="1">
      <c r="B365" s="159"/>
      <c r="C365" s="210"/>
      <c r="D365" s="210"/>
      <c r="E365" s="211" t="s">
        <v>5</v>
      </c>
      <c r="F365" s="321" t="s">
        <v>1461</v>
      </c>
      <c r="G365" s="322"/>
      <c r="H365" s="322"/>
      <c r="I365" s="322"/>
      <c r="J365" s="210"/>
      <c r="K365" s="212">
        <v>152.208</v>
      </c>
      <c r="L365" s="210"/>
      <c r="M365" s="210"/>
      <c r="N365" s="210"/>
      <c r="O365" s="210"/>
      <c r="P365" s="210"/>
      <c r="Q365" s="210"/>
      <c r="R365" s="213"/>
      <c r="T365" s="164"/>
      <c r="U365" s="160"/>
      <c r="V365" s="160"/>
      <c r="W365" s="160"/>
      <c r="X365" s="160"/>
      <c r="Y365" s="160"/>
      <c r="Z365" s="160"/>
      <c r="AA365" s="165"/>
      <c r="AT365" s="166" t="s">
        <v>179</v>
      </c>
      <c r="AU365" s="166" t="s">
        <v>135</v>
      </c>
      <c r="AV365" s="11" t="s">
        <v>135</v>
      </c>
      <c r="AW365" s="11" t="s">
        <v>35</v>
      </c>
      <c r="AX365" s="11" t="s">
        <v>78</v>
      </c>
      <c r="AY365" s="166" t="s">
        <v>167</v>
      </c>
    </row>
    <row r="366" spans="2:51" s="11" customFormat="1" ht="22.5" customHeight="1">
      <c r="B366" s="159"/>
      <c r="C366" s="210"/>
      <c r="D366" s="210"/>
      <c r="E366" s="211" t="s">
        <v>5</v>
      </c>
      <c r="F366" s="321" t="s">
        <v>1462</v>
      </c>
      <c r="G366" s="322"/>
      <c r="H366" s="322"/>
      <c r="I366" s="322"/>
      <c r="J366" s="210"/>
      <c r="K366" s="212">
        <v>152.398</v>
      </c>
      <c r="L366" s="210"/>
      <c r="M366" s="210"/>
      <c r="N366" s="210"/>
      <c r="O366" s="210"/>
      <c r="P366" s="210"/>
      <c r="Q366" s="210"/>
      <c r="R366" s="213"/>
      <c r="T366" s="164"/>
      <c r="U366" s="160"/>
      <c r="V366" s="160"/>
      <c r="W366" s="160"/>
      <c r="X366" s="160"/>
      <c r="Y366" s="160"/>
      <c r="Z366" s="160"/>
      <c r="AA366" s="165"/>
      <c r="AT366" s="166" t="s">
        <v>179</v>
      </c>
      <c r="AU366" s="166" t="s">
        <v>135</v>
      </c>
      <c r="AV366" s="11" t="s">
        <v>135</v>
      </c>
      <c r="AW366" s="11" t="s">
        <v>35</v>
      </c>
      <c r="AX366" s="11" t="s">
        <v>78</v>
      </c>
      <c r="AY366" s="166" t="s">
        <v>167</v>
      </c>
    </row>
    <row r="367" spans="2:51" s="11" customFormat="1" ht="22.5" customHeight="1">
      <c r="B367" s="159"/>
      <c r="C367" s="210"/>
      <c r="D367" s="210"/>
      <c r="E367" s="211" t="s">
        <v>5</v>
      </c>
      <c r="F367" s="321" t="s">
        <v>1463</v>
      </c>
      <c r="G367" s="322"/>
      <c r="H367" s="322"/>
      <c r="I367" s="322"/>
      <c r="J367" s="210"/>
      <c r="K367" s="212">
        <v>34.72</v>
      </c>
      <c r="L367" s="210"/>
      <c r="M367" s="210"/>
      <c r="N367" s="210"/>
      <c r="O367" s="210"/>
      <c r="P367" s="210"/>
      <c r="Q367" s="210"/>
      <c r="R367" s="213"/>
      <c r="T367" s="164"/>
      <c r="U367" s="160"/>
      <c r="V367" s="160"/>
      <c r="W367" s="160"/>
      <c r="X367" s="160"/>
      <c r="Y367" s="160"/>
      <c r="Z367" s="160"/>
      <c r="AA367" s="165"/>
      <c r="AT367" s="166" t="s">
        <v>179</v>
      </c>
      <c r="AU367" s="166" t="s">
        <v>135</v>
      </c>
      <c r="AV367" s="11" t="s">
        <v>135</v>
      </c>
      <c r="AW367" s="11" t="s">
        <v>35</v>
      </c>
      <c r="AX367" s="11" t="s">
        <v>78</v>
      </c>
      <c r="AY367" s="166" t="s">
        <v>167</v>
      </c>
    </row>
    <row r="368" spans="2:51" s="11" customFormat="1" ht="22.5" customHeight="1">
      <c r="B368" s="159"/>
      <c r="C368" s="210"/>
      <c r="D368" s="210"/>
      <c r="E368" s="211" t="s">
        <v>5</v>
      </c>
      <c r="F368" s="321" t="s">
        <v>1464</v>
      </c>
      <c r="G368" s="322"/>
      <c r="H368" s="322"/>
      <c r="I368" s="322"/>
      <c r="J368" s="210"/>
      <c r="K368" s="212">
        <v>189.24</v>
      </c>
      <c r="L368" s="210"/>
      <c r="M368" s="210"/>
      <c r="N368" s="210"/>
      <c r="O368" s="210"/>
      <c r="P368" s="210"/>
      <c r="Q368" s="210"/>
      <c r="R368" s="213"/>
      <c r="T368" s="164"/>
      <c r="U368" s="160"/>
      <c r="V368" s="160"/>
      <c r="W368" s="160"/>
      <c r="X368" s="160"/>
      <c r="Y368" s="160"/>
      <c r="Z368" s="160"/>
      <c r="AA368" s="165"/>
      <c r="AT368" s="166" t="s">
        <v>179</v>
      </c>
      <c r="AU368" s="166" t="s">
        <v>135</v>
      </c>
      <c r="AV368" s="11" t="s">
        <v>135</v>
      </c>
      <c r="AW368" s="11" t="s">
        <v>35</v>
      </c>
      <c r="AX368" s="11" t="s">
        <v>78</v>
      </c>
      <c r="AY368" s="166" t="s">
        <v>167</v>
      </c>
    </row>
    <row r="369" spans="2:51" s="11" customFormat="1" ht="22.5" customHeight="1">
      <c r="B369" s="159"/>
      <c r="C369" s="210"/>
      <c r="D369" s="210"/>
      <c r="E369" s="211" t="s">
        <v>5</v>
      </c>
      <c r="F369" s="321" t="s">
        <v>1465</v>
      </c>
      <c r="G369" s="322"/>
      <c r="H369" s="322"/>
      <c r="I369" s="322"/>
      <c r="J369" s="210"/>
      <c r="K369" s="212">
        <v>23.902</v>
      </c>
      <c r="L369" s="210"/>
      <c r="M369" s="210"/>
      <c r="N369" s="210"/>
      <c r="O369" s="210"/>
      <c r="P369" s="210"/>
      <c r="Q369" s="210"/>
      <c r="R369" s="213"/>
      <c r="T369" s="164"/>
      <c r="U369" s="160"/>
      <c r="V369" s="160"/>
      <c r="W369" s="160"/>
      <c r="X369" s="160"/>
      <c r="Y369" s="160"/>
      <c r="Z369" s="160"/>
      <c r="AA369" s="165"/>
      <c r="AT369" s="166" t="s">
        <v>179</v>
      </c>
      <c r="AU369" s="166" t="s">
        <v>135</v>
      </c>
      <c r="AV369" s="11" t="s">
        <v>135</v>
      </c>
      <c r="AW369" s="11" t="s">
        <v>35</v>
      </c>
      <c r="AX369" s="11" t="s">
        <v>78</v>
      </c>
      <c r="AY369" s="166" t="s">
        <v>167</v>
      </c>
    </row>
    <row r="370" spans="2:51" s="13" customFormat="1" ht="22.5" customHeight="1">
      <c r="B370" s="186"/>
      <c r="C370" s="214"/>
      <c r="D370" s="214"/>
      <c r="E370" s="215" t="s">
        <v>5</v>
      </c>
      <c r="F370" s="323" t="s">
        <v>1278</v>
      </c>
      <c r="G370" s="324"/>
      <c r="H370" s="324"/>
      <c r="I370" s="324"/>
      <c r="J370" s="214"/>
      <c r="K370" s="216">
        <v>552.468</v>
      </c>
      <c r="L370" s="214"/>
      <c r="M370" s="214"/>
      <c r="N370" s="214"/>
      <c r="O370" s="214"/>
      <c r="P370" s="214"/>
      <c r="Q370" s="214"/>
      <c r="R370" s="217"/>
      <c r="T370" s="191"/>
      <c r="U370" s="187"/>
      <c r="V370" s="187"/>
      <c r="W370" s="187"/>
      <c r="X370" s="187"/>
      <c r="Y370" s="187"/>
      <c r="Z370" s="187"/>
      <c r="AA370" s="192"/>
      <c r="AT370" s="193" t="s">
        <v>179</v>
      </c>
      <c r="AU370" s="193" t="s">
        <v>135</v>
      </c>
      <c r="AV370" s="13" t="s">
        <v>184</v>
      </c>
      <c r="AW370" s="13" t="s">
        <v>35</v>
      </c>
      <c r="AX370" s="13" t="s">
        <v>78</v>
      </c>
      <c r="AY370" s="193" t="s">
        <v>167</v>
      </c>
    </row>
    <row r="371" spans="2:51" s="12" customFormat="1" ht="22.5" customHeight="1">
      <c r="B371" s="167"/>
      <c r="C371" s="218"/>
      <c r="D371" s="218"/>
      <c r="E371" s="219" t="s">
        <v>5</v>
      </c>
      <c r="F371" s="327" t="s">
        <v>183</v>
      </c>
      <c r="G371" s="328"/>
      <c r="H371" s="328"/>
      <c r="I371" s="328"/>
      <c r="J371" s="218"/>
      <c r="K371" s="220">
        <f>+K370+K363+K359+K353+K350+K344+K341+K335+K329</f>
        <v>11375.876</v>
      </c>
      <c r="L371" s="218"/>
      <c r="M371" s="218"/>
      <c r="N371" s="218"/>
      <c r="O371" s="218"/>
      <c r="P371" s="218"/>
      <c r="Q371" s="218"/>
      <c r="R371" s="221"/>
      <c r="T371" s="172"/>
      <c r="U371" s="168"/>
      <c r="V371" s="168"/>
      <c r="W371" s="168"/>
      <c r="X371" s="168"/>
      <c r="Y371" s="168"/>
      <c r="Z371" s="168"/>
      <c r="AA371" s="173"/>
      <c r="AT371" s="174" t="s">
        <v>179</v>
      </c>
      <c r="AU371" s="174" t="s">
        <v>135</v>
      </c>
      <c r="AV371" s="12" t="s">
        <v>172</v>
      </c>
      <c r="AW371" s="12" t="s">
        <v>35</v>
      </c>
      <c r="AX371" s="12" t="s">
        <v>21</v>
      </c>
      <c r="AY371" s="174" t="s">
        <v>167</v>
      </c>
    </row>
    <row r="372" spans="2:65" s="1" customFormat="1" ht="31.5" customHeight="1">
      <c r="B372" s="141"/>
      <c r="C372" s="201" t="s">
        <v>335</v>
      </c>
      <c r="D372" s="201" t="s">
        <v>168</v>
      </c>
      <c r="E372" s="202" t="s">
        <v>1466</v>
      </c>
      <c r="F372" s="317" t="s">
        <v>1467</v>
      </c>
      <c r="G372" s="317"/>
      <c r="H372" s="317"/>
      <c r="I372" s="317"/>
      <c r="J372" s="203" t="s">
        <v>199</v>
      </c>
      <c r="K372" s="204">
        <f>+K371</f>
        <v>11375.876</v>
      </c>
      <c r="L372" s="318"/>
      <c r="M372" s="318"/>
      <c r="N372" s="318">
        <f>ROUND(L372*K372,2)</f>
        <v>0</v>
      </c>
      <c r="O372" s="318"/>
      <c r="P372" s="318"/>
      <c r="Q372" s="318"/>
      <c r="R372" s="205"/>
      <c r="T372" s="147" t="s">
        <v>5</v>
      </c>
      <c r="U372" s="44" t="s">
        <v>43</v>
      </c>
      <c r="V372" s="148">
        <v>0.07</v>
      </c>
      <c r="W372" s="148">
        <f>V372*K372</f>
        <v>796.3113200000001</v>
      </c>
      <c r="X372" s="148">
        <v>0</v>
      </c>
      <c r="Y372" s="148">
        <f>X372*K372</f>
        <v>0</v>
      </c>
      <c r="Z372" s="148">
        <v>0</v>
      </c>
      <c r="AA372" s="149">
        <f>Z372*K372</f>
        <v>0</v>
      </c>
      <c r="AR372" s="21" t="s">
        <v>172</v>
      </c>
      <c r="AT372" s="21" t="s">
        <v>168</v>
      </c>
      <c r="AU372" s="21" t="s">
        <v>135</v>
      </c>
      <c r="AY372" s="21" t="s">
        <v>167</v>
      </c>
      <c r="BE372" s="150">
        <f>IF(U372="základní",N372,0)</f>
        <v>0</v>
      </c>
      <c r="BF372" s="150">
        <f>IF(U372="snížená",N372,0)</f>
        <v>0</v>
      </c>
      <c r="BG372" s="150">
        <f>IF(U372="zákl. přenesená",N372,0)</f>
        <v>0</v>
      </c>
      <c r="BH372" s="150">
        <f>IF(U372="sníž. přenesená",N372,0)</f>
        <v>0</v>
      </c>
      <c r="BI372" s="150">
        <f>IF(U372="nulová",N372,0)</f>
        <v>0</v>
      </c>
      <c r="BJ372" s="21" t="s">
        <v>21</v>
      </c>
      <c r="BK372" s="150">
        <f>ROUND(L372*K372,2)</f>
        <v>0</v>
      </c>
      <c r="BL372" s="21" t="s">
        <v>172</v>
      </c>
      <c r="BM372" s="21" t="s">
        <v>1468</v>
      </c>
    </row>
    <row r="373" spans="2:65" s="1" customFormat="1" ht="44.25" customHeight="1">
      <c r="B373" s="141"/>
      <c r="C373" s="201" t="s">
        <v>340</v>
      </c>
      <c r="D373" s="201" t="s">
        <v>168</v>
      </c>
      <c r="E373" s="202" t="s">
        <v>1469</v>
      </c>
      <c r="F373" s="317" t="s">
        <v>1470</v>
      </c>
      <c r="G373" s="317"/>
      <c r="H373" s="317"/>
      <c r="I373" s="317"/>
      <c r="J373" s="203" t="s">
        <v>199</v>
      </c>
      <c r="K373" s="204">
        <v>163.56</v>
      </c>
      <c r="L373" s="318"/>
      <c r="M373" s="318"/>
      <c r="N373" s="318">
        <f>ROUND(L373*K373,2)</f>
        <v>0</v>
      </c>
      <c r="O373" s="318"/>
      <c r="P373" s="318"/>
      <c r="Q373" s="318"/>
      <c r="R373" s="205"/>
      <c r="T373" s="147" t="s">
        <v>5</v>
      </c>
      <c r="U373" s="44" t="s">
        <v>43</v>
      </c>
      <c r="V373" s="148">
        <v>1.82</v>
      </c>
      <c r="W373" s="148">
        <f>V373*K373</f>
        <v>297.67920000000004</v>
      </c>
      <c r="X373" s="148">
        <v>0</v>
      </c>
      <c r="Y373" s="148">
        <f>X373*K373</f>
        <v>0</v>
      </c>
      <c r="Z373" s="148">
        <v>0</v>
      </c>
      <c r="AA373" s="149">
        <f>Z373*K373</f>
        <v>0</v>
      </c>
      <c r="AR373" s="21" t="s">
        <v>172</v>
      </c>
      <c r="AT373" s="21" t="s">
        <v>168</v>
      </c>
      <c r="AU373" s="21" t="s">
        <v>135</v>
      </c>
      <c r="AY373" s="21" t="s">
        <v>167</v>
      </c>
      <c r="BE373" s="150">
        <f>IF(U373="základní",N373,0)</f>
        <v>0</v>
      </c>
      <c r="BF373" s="150">
        <f>IF(U373="snížená",N373,0)</f>
        <v>0</v>
      </c>
      <c r="BG373" s="150">
        <f>IF(U373="zákl. přenesená",N373,0)</f>
        <v>0</v>
      </c>
      <c r="BH373" s="150">
        <f>IF(U373="sníž. přenesená",N373,0)</f>
        <v>0</v>
      </c>
      <c r="BI373" s="150">
        <f>IF(U373="nulová",N373,0)</f>
        <v>0</v>
      </c>
      <c r="BJ373" s="21" t="s">
        <v>21</v>
      </c>
      <c r="BK373" s="150">
        <f>ROUND(L373*K373,2)</f>
        <v>0</v>
      </c>
      <c r="BL373" s="21" t="s">
        <v>172</v>
      </c>
      <c r="BM373" s="21" t="s">
        <v>1471</v>
      </c>
    </row>
    <row r="374" spans="2:51" s="10" customFormat="1" ht="22.5" customHeight="1">
      <c r="B374" s="151"/>
      <c r="C374" s="206"/>
      <c r="D374" s="206"/>
      <c r="E374" s="207" t="s">
        <v>5</v>
      </c>
      <c r="F374" s="319" t="s">
        <v>1472</v>
      </c>
      <c r="G374" s="320"/>
      <c r="H374" s="320"/>
      <c r="I374" s="320"/>
      <c r="J374" s="206"/>
      <c r="K374" s="208" t="s">
        <v>5</v>
      </c>
      <c r="L374" s="206"/>
      <c r="M374" s="206"/>
      <c r="N374" s="206"/>
      <c r="O374" s="206"/>
      <c r="P374" s="206"/>
      <c r="Q374" s="206"/>
      <c r="R374" s="209"/>
      <c r="T374" s="156"/>
      <c r="U374" s="152"/>
      <c r="V374" s="152"/>
      <c r="W374" s="152"/>
      <c r="X374" s="152"/>
      <c r="Y374" s="152"/>
      <c r="Z374" s="152"/>
      <c r="AA374" s="157"/>
      <c r="AT374" s="158" t="s">
        <v>179</v>
      </c>
      <c r="AU374" s="158" t="s">
        <v>135</v>
      </c>
      <c r="AV374" s="10" t="s">
        <v>21</v>
      </c>
      <c r="AW374" s="10" t="s">
        <v>35</v>
      </c>
      <c r="AX374" s="10" t="s">
        <v>78</v>
      </c>
      <c r="AY374" s="158" t="s">
        <v>167</v>
      </c>
    </row>
    <row r="375" spans="2:51" s="11" customFormat="1" ht="22.5" customHeight="1">
      <c r="B375" s="159"/>
      <c r="C375" s="210"/>
      <c r="D375" s="210"/>
      <c r="E375" s="211" t="s">
        <v>5</v>
      </c>
      <c r="F375" s="321" t="s">
        <v>1473</v>
      </c>
      <c r="G375" s="322"/>
      <c r="H375" s="322"/>
      <c r="I375" s="322"/>
      <c r="J375" s="210"/>
      <c r="K375" s="212">
        <v>163.56</v>
      </c>
      <c r="L375" s="210"/>
      <c r="M375" s="210"/>
      <c r="N375" s="210"/>
      <c r="O375" s="210"/>
      <c r="P375" s="210"/>
      <c r="Q375" s="210"/>
      <c r="R375" s="213"/>
      <c r="T375" s="164"/>
      <c r="U375" s="160"/>
      <c r="V375" s="160"/>
      <c r="W375" s="160"/>
      <c r="X375" s="160"/>
      <c r="Y375" s="160"/>
      <c r="Z375" s="160"/>
      <c r="AA375" s="165"/>
      <c r="AT375" s="166" t="s">
        <v>179</v>
      </c>
      <c r="AU375" s="166" t="s">
        <v>135</v>
      </c>
      <c r="AV375" s="11" t="s">
        <v>135</v>
      </c>
      <c r="AW375" s="11" t="s">
        <v>35</v>
      </c>
      <c r="AX375" s="11" t="s">
        <v>21</v>
      </c>
      <c r="AY375" s="166" t="s">
        <v>167</v>
      </c>
    </row>
    <row r="376" spans="2:65" s="1" customFormat="1" ht="31.5" customHeight="1">
      <c r="B376" s="141"/>
      <c r="C376" s="201" t="s">
        <v>344</v>
      </c>
      <c r="D376" s="201" t="s">
        <v>168</v>
      </c>
      <c r="E376" s="202" t="s">
        <v>1474</v>
      </c>
      <c r="F376" s="317" t="s">
        <v>1475</v>
      </c>
      <c r="G376" s="317"/>
      <c r="H376" s="317"/>
      <c r="I376" s="317"/>
      <c r="J376" s="203" t="s">
        <v>176</v>
      </c>
      <c r="K376" s="204">
        <f>+K377</f>
        <v>7261.882</v>
      </c>
      <c r="L376" s="318"/>
      <c r="M376" s="318"/>
      <c r="N376" s="318">
        <f>ROUND(L376*K376,2)</f>
        <v>0</v>
      </c>
      <c r="O376" s="318"/>
      <c r="P376" s="318"/>
      <c r="Q376" s="318"/>
      <c r="R376" s="205"/>
      <c r="T376" s="147" t="s">
        <v>5</v>
      </c>
      <c r="U376" s="44" t="s">
        <v>43</v>
      </c>
      <c r="V376" s="148">
        <v>0.097</v>
      </c>
      <c r="W376" s="148">
        <f>V376*K376</f>
        <v>704.402554</v>
      </c>
      <c r="X376" s="148">
        <v>0</v>
      </c>
      <c r="Y376" s="148">
        <f>X376*K376</f>
        <v>0</v>
      </c>
      <c r="Z376" s="148">
        <v>0</v>
      </c>
      <c r="AA376" s="149">
        <f>Z376*K376</f>
        <v>0</v>
      </c>
      <c r="AR376" s="21" t="s">
        <v>172</v>
      </c>
      <c r="AT376" s="21" t="s">
        <v>168</v>
      </c>
      <c r="AU376" s="21" t="s">
        <v>135</v>
      </c>
      <c r="AY376" s="21" t="s">
        <v>167</v>
      </c>
      <c r="BE376" s="150">
        <f>IF(U376="základní",N376,0)</f>
        <v>0</v>
      </c>
      <c r="BF376" s="150">
        <f>IF(U376="snížená",N376,0)</f>
        <v>0</v>
      </c>
      <c r="BG376" s="150">
        <f>IF(U376="zákl. přenesená",N376,0)</f>
        <v>0</v>
      </c>
      <c r="BH376" s="150">
        <f>IF(U376="sníž. přenesená",N376,0)</f>
        <v>0</v>
      </c>
      <c r="BI376" s="150">
        <f>IF(U376="nulová",N376,0)</f>
        <v>0</v>
      </c>
      <c r="BJ376" s="21" t="s">
        <v>21</v>
      </c>
      <c r="BK376" s="150">
        <f>ROUND(L376*K376,2)</f>
        <v>0</v>
      </c>
      <c r="BL376" s="21" t="s">
        <v>172</v>
      </c>
      <c r="BM376" s="21" t="s">
        <v>1476</v>
      </c>
    </row>
    <row r="377" spans="2:51" s="11" customFormat="1" ht="22.5" customHeight="1">
      <c r="B377" s="159"/>
      <c r="C377" s="210"/>
      <c r="D377" s="210"/>
      <c r="E377" s="211" t="s">
        <v>5</v>
      </c>
      <c r="F377" s="329" t="s">
        <v>2213</v>
      </c>
      <c r="G377" s="330"/>
      <c r="H377" s="330"/>
      <c r="I377" s="330"/>
      <c r="J377" s="210"/>
      <c r="K377" s="212">
        <f>3630.941*2</f>
        <v>7261.882</v>
      </c>
      <c r="L377" s="210"/>
      <c r="M377" s="210"/>
      <c r="N377" s="210"/>
      <c r="O377" s="210"/>
      <c r="P377" s="210"/>
      <c r="Q377" s="210"/>
      <c r="R377" s="213"/>
      <c r="T377" s="164"/>
      <c r="U377" s="160"/>
      <c r="V377" s="160"/>
      <c r="W377" s="160"/>
      <c r="X377" s="160"/>
      <c r="Y377" s="160"/>
      <c r="Z377" s="160"/>
      <c r="AA377" s="165"/>
      <c r="AT377" s="166" t="s">
        <v>179</v>
      </c>
      <c r="AU377" s="166" t="s">
        <v>135</v>
      </c>
      <c r="AV377" s="11" t="s">
        <v>135</v>
      </c>
      <c r="AW377" s="11" t="s">
        <v>35</v>
      </c>
      <c r="AX377" s="11" t="s">
        <v>21</v>
      </c>
      <c r="AY377" s="166" t="s">
        <v>167</v>
      </c>
    </row>
    <row r="378" spans="2:65" s="1" customFormat="1" ht="31.5" customHeight="1">
      <c r="B378" s="141"/>
      <c r="C378" s="201" t="s">
        <v>349</v>
      </c>
      <c r="D378" s="201" t="s">
        <v>168</v>
      </c>
      <c r="E378" s="202" t="s">
        <v>1477</v>
      </c>
      <c r="F378" s="317" t="s">
        <v>1478</v>
      </c>
      <c r="G378" s="317"/>
      <c r="H378" s="317"/>
      <c r="I378" s="317"/>
      <c r="J378" s="203" t="s">
        <v>176</v>
      </c>
      <c r="K378" s="204">
        <f>+K379</f>
        <v>3630.941</v>
      </c>
      <c r="L378" s="318"/>
      <c r="M378" s="318"/>
      <c r="N378" s="318">
        <f>ROUND(L378*K378,2)</f>
        <v>0</v>
      </c>
      <c r="O378" s="318"/>
      <c r="P378" s="318"/>
      <c r="Q378" s="318"/>
      <c r="R378" s="205"/>
      <c r="T378" s="147" t="s">
        <v>5</v>
      </c>
      <c r="U378" s="44" t="s">
        <v>43</v>
      </c>
      <c r="V378" s="148">
        <v>0.046</v>
      </c>
      <c r="W378" s="148">
        <f>V378*K378</f>
        <v>167.02328599999998</v>
      </c>
      <c r="X378" s="148">
        <v>0</v>
      </c>
      <c r="Y378" s="148">
        <f>X378*K378</f>
        <v>0</v>
      </c>
      <c r="Z378" s="148">
        <v>0</v>
      </c>
      <c r="AA378" s="149">
        <f>Z378*K378</f>
        <v>0</v>
      </c>
      <c r="AR378" s="21" t="s">
        <v>172</v>
      </c>
      <c r="AT378" s="21" t="s">
        <v>168</v>
      </c>
      <c r="AU378" s="21" t="s">
        <v>135</v>
      </c>
      <c r="AY378" s="21" t="s">
        <v>167</v>
      </c>
      <c r="BE378" s="150">
        <f>IF(U378="základní",N378,0)</f>
        <v>0</v>
      </c>
      <c r="BF378" s="150">
        <f>IF(U378="snížená",N378,0)</f>
        <v>0</v>
      </c>
      <c r="BG378" s="150">
        <f>IF(U378="zákl. přenesená",N378,0)</f>
        <v>0</v>
      </c>
      <c r="BH378" s="150">
        <f>IF(U378="sníž. přenesená",N378,0)</f>
        <v>0</v>
      </c>
      <c r="BI378" s="150">
        <f>IF(U378="nulová",N378,0)</f>
        <v>0</v>
      </c>
      <c r="BJ378" s="21" t="s">
        <v>21</v>
      </c>
      <c r="BK378" s="150">
        <f>ROUND(L378*K378,2)</f>
        <v>0</v>
      </c>
      <c r="BL378" s="21" t="s">
        <v>172</v>
      </c>
      <c r="BM378" s="21" t="s">
        <v>1479</v>
      </c>
    </row>
    <row r="379" spans="2:51" s="11" customFormat="1" ht="22.5" customHeight="1">
      <c r="B379" s="159"/>
      <c r="C379" s="210"/>
      <c r="D379" s="210"/>
      <c r="E379" s="211" t="s">
        <v>5</v>
      </c>
      <c r="F379" s="329"/>
      <c r="G379" s="330"/>
      <c r="H379" s="330"/>
      <c r="I379" s="330"/>
      <c r="J379" s="210"/>
      <c r="K379" s="212">
        <v>3630.941</v>
      </c>
      <c r="L379" s="210"/>
      <c r="M379" s="210"/>
      <c r="N379" s="210"/>
      <c r="O379" s="210"/>
      <c r="P379" s="210"/>
      <c r="Q379" s="210"/>
      <c r="R379" s="213"/>
      <c r="T379" s="164"/>
      <c r="U379" s="160"/>
      <c r="V379" s="160"/>
      <c r="W379" s="160"/>
      <c r="X379" s="160"/>
      <c r="Y379" s="160"/>
      <c r="Z379" s="160"/>
      <c r="AA379" s="165"/>
      <c r="AT379" s="166" t="s">
        <v>179</v>
      </c>
      <c r="AU379" s="166" t="s">
        <v>135</v>
      </c>
      <c r="AV379" s="11" t="s">
        <v>135</v>
      </c>
      <c r="AW379" s="11" t="s">
        <v>35</v>
      </c>
      <c r="AX379" s="11" t="s">
        <v>21</v>
      </c>
      <c r="AY379" s="166" t="s">
        <v>167</v>
      </c>
    </row>
    <row r="380" spans="2:65" s="1" customFormat="1" ht="22.5" customHeight="1">
      <c r="B380" s="141"/>
      <c r="C380" s="201" t="s">
        <v>472</v>
      </c>
      <c r="D380" s="201" t="s">
        <v>168</v>
      </c>
      <c r="E380" s="202" t="s">
        <v>1480</v>
      </c>
      <c r="F380" s="317" t="s">
        <v>1481</v>
      </c>
      <c r="G380" s="317"/>
      <c r="H380" s="317"/>
      <c r="I380" s="317"/>
      <c r="J380" s="203" t="s">
        <v>176</v>
      </c>
      <c r="K380" s="204">
        <f>+K382</f>
        <v>262.6767</v>
      </c>
      <c r="L380" s="318"/>
      <c r="M380" s="318"/>
      <c r="N380" s="318">
        <f>ROUND(L380*K380,2)</f>
        <v>0</v>
      </c>
      <c r="O380" s="318"/>
      <c r="P380" s="318"/>
      <c r="Q380" s="318"/>
      <c r="R380" s="205"/>
      <c r="T380" s="147" t="s">
        <v>5</v>
      </c>
      <c r="U380" s="44" t="s">
        <v>43</v>
      </c>
      <c r="V380" s="148">
        <v>1.695</v>
      </c>
      <c r="W380" s="148">
        <f>V380*K380</f>
        <v>445.2370065</v>
      </c>
      <c r="X380" s="148">
        <v>0</v>
      </c>
      <c r="Y380" s="148">
        <f>X380*K380</f>
        <v>0</v>
      </c>
      <c r="Z380" s="148">
        <v>0</v>
      </c>
      <c r="AA380" s="149">
        <f>Z380*K380</f>
        <v>0</v>
      </c>
      <c r="AR380" s="21" t="s">
        <v>172</v>
      </c>
      <c r="AT380" s="21" t="s">
        <v>168</v>
      </c>
      <c r="AU380" s="21" t="s">
        <v>135</v>
      </c>
      <c r="AY380" s="21" t="s">
        <v>167</v>
      </c>
      <c r="BE380" s="150">
        <f>IF(U380="základní",N380,0)</f>
        <v>0</v>
      </c>
      <c r="BF380" s="150">
        <f>IF(U380="snížená",N380,0)</f>
        <v>0</v>
      </c>
      <c r="BG380" s="150">
        <f>IF(U380="zákl. přenesená",N380,0)</f>
        <v>0</v>
      </c>
      <c r="BH380" s="150">
        <f>IF(U380="sníž. přenesená",N380,0)</f>
        <v>0</v>
      </c>
      <c r="BI380" s="150">
        <f>IF(U380="nulová",N380,0)</f>
        <v>0</v>
      </c>
      <c r="BJ380" s="21" t="s">
        <v>21</v>
      </c>
      <c r="BK380" s="150">
        <f>ROUND(L380*K380,2)</f>
        <v>0</v>
      </c>
      <c r="BL380" s="21" t="s">
        <v>172</v>
      </c>
      <c r="BM380" s="21" t="s">
        <v>1482</v>
      </c>
    </row>
    <row r="381" spans="2:51" s="10" customFormat="1" ht="22.5" customHeight="1">
      <c r="B381" s="151"/>
      <c r="C381" s="206"/>
      <c r="D381" s="206"/>
      <c r="E381" s="207" t="s">
        <v>5</v>
      </c>
      <c r="F381" s="319" t="s">
        <v>1483</v>
      </c>
      <c r="G381" s="320"/>
      <c r="H381" s="320"/>
      <c r="I381" s="320"/>
      <c r="J381" s="206"/>
      <c r="K381" s="208" t="s">
        <v>5</v>
      </c>
      <c r="L381" s="206"/>
      <c r="M381" s="206"/>
      <c r="N381" s="206"/>
      <c r="O381" s="206"/>
      <c r="P381" s="206"/>
      <c r="Q381" s="206"/>
      <c r="R381" s="209"/>
      <c r="T381" s="156"/>
      <c r="U381" s="152"/>
      <c r="V381" s="152"/>
      <c r="W381" s="152"/>
      <c r="X381" s="152"/>
      <c r="Y381" s="152"/>
      <c r="Z381" s="152"/>
      <c r="AA381" s="157"/>
      <c r="AT381" s="158" t="s">
        <v>179</v>
      </c>
      <c r="AU381" s="158" t="s">
        <v>135</v>
      </c>
      <c r="AV381" s="10" t="s">
        <v>21</v>
      </c>
      <c r="AW381" s="10" t="s">
        <v>35</v>
      </c>
      <c r="AX381" s="10" t="s">
        <v>78</v>
      </c>
      <c r="AY381" s="158" t="s">
        <v>167</v>
      </c>
    </row>
    <row r="382" spans="2:51" s="11" customFormat="1" ht="22.5" customHeight="1">
      <c r="B382" s="159"/>
      <c r="C382" s="210"/>
      <c r="D382" s="210"/>
      <c r="E382" s="211" t="s">
        <v>5</v>
      </c>
      <c r="F382" s="321" t="s">
        <v>2207</v>
      </c>
      <c r="G382" s="322"/>
      <c r="H382" s="322"/>
      <c r="I382" s="322"/>
      <c r="J382" s="210"/>
      <c r="K382" s="212">
        <f>2387.97*1.1*0.1</f>
        <v>262.6767</v>
      </c>
      <c r="L382" s="210"/>
      <c r="M382" s="210"/>
      <c r="N382" s="210"/>
      <c r="O382" s="210"/>
      <c r="P382" s="210"/>
      <c r="Q382" s="210"/>
      <c r="R382" s="213"/>
      <c r="T382" s="164"/>
      <c r="U382" s="160"/>
      <c r="V382" s="160"/>
      <c r="W382" s="160"/>
      <c r="X382" s="160"/>
      <c r="Y382" s="160"/>
      <c r="Z382" s="160"/>
      <c r="AA382" s="165"/>
      <c r="AT382" s="166" t="s">
        <v>179</v>
      </c>
      <c r="AU382" s="166" t="s">
        <v>135</v>
      </c>
      <c r="AV382" s="11" t="s">
        <v>135</v>
      </c>
      <c r="AW382" s="11" t="s">
        <v>35</v>
      </c>
      <c r="AX382" s="11" t="s">
        <v>21</v>
      </c>
      <c r="AY382" s="166" t="s">
        <v>167</v>
      </c>
    </row>
    <row r="383" spans="2:65" s="1" customFormat="1" ht="31.5" customHeight="1">
      <c r="B383" s="141"/>
      <c r="C383" s="201" t="s">
        <v>476</v>
      </c>
      <c r="D383" s="201" t="s">
        <v>168</v>
      </c>
      <c r="E383" s="202" t="s">
        <v>1202</v>
      </c>
      <c r="F383" s="317" t="s">
        <v>1203</v>
      </c>
      <c r="G383" s="317"/>
      <c r="H383" s="317"/>
      <c r="I383" s="317"/>
      <c r="J383" s="203" t="s">
        <v>176</v>
      </c>
      <c r="K383" s="204">
        <f>+K385</f>
        <v>1050.7068</v>
      </c>
      <c r="L383" s="318"/>
      <c r="M383" s="318"/>
      <c r="N383" s="318">
        <f>ROUND(L383*K383,2)</f>
        <v>0</v>
      </c>
      <c r="O383" s="318"/>
      <c r="P383" s="318"/>
      <c r="Q383" s="318"/>
      <c r="R383" s="205"/>
      <c r="T383" s="147" t="s">
        <v>5</v>
      </c>
      <c r="U383" s="44" t="s">
        <v>43</v>
      </c>
      <c r="V383" s="148">
        <v>1.5</v>
      </c>
      <c r="W383" s="148">
        <f>V383*K383</f>
        <v>1576.0602</v>
      </c>
      <c r="X383" s="148">
        <v>0</v>
      </c>
      <c r="Y383" s="148">
        <f>X383*K383</f>
        <v>0</v>
      </c>
      <c r="Z383" s="148">
        <v>0</v>
      </c>
      <c r="AA383" s="149">
        <f>Z383*K383</f>
        <v>0</v>
      </c>
      <c r="AR383" s="21" t="s">
        <v>172</v>
      </c>
      <c r="AT383" s="21" t="s">
        <v>168</v>
      </c>
      <c r="AU383" s="21" t="s">
        <v>135</v>
      </c>
      <c r="AY383" s="21" t="s">
        <v>167</v>
      </c>
      <c r="BE383" s="150">
        <f>IF(U383="základní",N383,0)</f>
        <v>0</v>
      </c>
      <c r="BF383" s="150">
        <f>IF(U383="snížená",N383,0)</f>
        <v>0</v>
      </c>
      <c r="BG383" s="150">
        <f>IF(U383="zákl. přenesená",N383,0)</f>
        <v>0</v>
      </c>
      <c r="BH383" s="150">
        <f>IF(U383="sníž. přenesená",N383,0)</f>
        <v>0</v>
      </c>
      <c r="BI383" s="150">
        <f>IF(U383="nulová",N383,0)</f>
        <v>0</v>
      </c>
      <c r="BJ383" s="21" t="s">
        <v>21</v>
      </c>
      <c r="BK383" s="150">
        <f>ROUND(L383*K383,2)</f>
        <v>0</v>
      </c>
      <c r="BL383" s="21" t="s">
        <v>172</v>
      </c>
      <c r="BM383" s="21" t="s">
        <v>1204</v>
      </c>
    </row>
    <row r="384" spans="2:51" s="10" customFormat="1" ht="22.5" customHeight="1">
      <c r="B384" s="151"/>
      <c r="C384" s="206"/>
      <c r="D384" s="206"/>
      <c r="E384" s="207" t="s">
        <v>5</v>
      </c>
      <c r="F384" s="319" t="s">
        <v>1483</v>
      </c>
      <c r="G384" s="320"/>
      <c r="H384" s="320"/>
      <c r="I384" s="320"/>
      <c r="J384" s="206"/>
      <c r="K384" s="208" t="s">
        <v>5</v>
      </c>
      <c r="L384" s="206"/>
      <c r="M384" s="206"/>
      <c r="N384" s="206"/>
      <c r="O384" s="206"/>
      <c r="P384" s="206"/>
      <c r="Q384" s="206"/>
      <c r="R384" s="209"/>
      <c r="T384" s="156"/>
      <c r="U384" s="152"/>
      <c r="V384" s="152"/>
      <c r="W384" s="152"/>
      <c r="X384" s="152"/>
      <c r="Y384" s="152"/>
      <c r="Z384" s="152"/>
      <c r="AA384" s="157"/>
      <c r="AT384" s="158" t="s">
        <v>179</v>
      </c>
      <c r="AU384" s="158" t="s">
        <v>135</v>
      </c>
      <c r="AV384" s="10" t="s">
        <v>21</v>
      </c>
      <c r="AW384" s="10" t="s">
        <v>35</v>
      </c>
      <c r="AX384" s="10" t="s">
        <v>78</v>
      </c>
      <c r="AY384" s="158" t="s">
        <v>167</v>
      </c>
    </row>
    <row r="385" spans="2:51" s="11" customFormat="1" ht="22.5" customHeight="1">
      <c r="B385" s="159"/>
      <c r="C385" s="210"/>
      <c r="D385" s="210"/>
      <c r="E385" s="211" t="s">
        <v>5</v>
      </c>
      <c r="F385" s="321" t="s">
        <v>2208</v>
      </c>
      <c r="G385" s="322"/>
      <c r="H385" s="322"/>
      <c r="I385" s="322"/>
      <c r="J385" s="210"/>
      <c r="K385" s="212">
        <f>2387.97*1.1*0.4</f>
        <v>1050.7068</v>
      </c>
      <c r="L385" s="210"/>
      <c r="M385" s="210"/>
      <c r="N385" s="210"/>
      <c r="O385" s="210"/>
      <c r="P385" s="210"/>
      <c r="Q385" s="210"/>
      <c r="R385" s="213"/>
      <c r="T385" s="164"/>
      <c r="U385" s="160"/>
      <c r="V385" s="160"/>
      <c r="W385" s="160"/>
      <c r="X385" s="160"/>
      <c r="Y385" s="160"/>
      <c r="Z385" s="160"/>
      <c r="AA385" s="165"/>
      <c r="AT385" s="166" t="s">
        <v>179</v>
      </c>
      <c r="AU385" s="166" t="s">
        <v>135</v>
      </c>
      <c r="AV385" s="11" t="s">
        <v>135</v>
      </c>
      <c r="AW385" s="11" t="s">
        <v>35</v>
      </c>
      <c r="AX385" s="11" t="s">
        <v>21</v>
      </c>
      <c r="AY385" s="166" t="s">
        <v>167</v>
      </c>
    </row>
    <row r="386" spans="2:65" s="1" customFormat="1" ht="22.5" customHeight="1">
      <c r="B386" s="141"/>
      <c r="C386" s="225" t="s">
        <v>477</v>
      </c>
      <c r="D386" s="225" t="s">
        <v>317</v>
      </c>
      <c r="E386" s="226" t="s">
        <v>1208</v>
      </c>
      <c r="F386" s="331" t="s">
        <v>1209</v>
      </c>
      <c r="G386" s="331"/>
      <c r="H386" s="331"/>
      <c r="I386" s="331"/>
      <c r="J386" s="227" t="s">
        <v>210</v>
      </c>
      <c r="K386" s="228">
        <f>+K387</f>
        <v>1597.0746400000003</v>
      </c>
      <c r="L386" s="332"/>
      <c r="M386" s="332"/>
      <c r="N386" s="332">
        <f>ROUND(L386*K386,2)</f>
        <v>0</v>
      </c>
      <c r="O386" s="318"/>
      <c r="P386" s="318"/>
      <c r="Q386" s="318"/>
      <c r="R386" s="205"/>
      <c r="T386" s="147" t="s">
        <v>5</v>
      </c>
      <c r="U386" s="44" t="s">
        <v>43</v>
      </c>
      <c r="V386" s="148">
        <v>0</v>
      </c>
      <c r="W386" s="148">
        <f>V386*K386</f>
        <v>0</v>
      </c>
      <c r="X386" s="148">
        <v>1</v>
      </c>
      <c r="Y386" s="148">
        <f>X386*K386</f>
        <v>1597.0746400000003</v>
      </c>
      <c r="Z386" s="148">
        <v>0</v>
      </c>
      <c r="AA386" s="149">
        <f>Z386*K386</f>
        <v>0</v>
      </c>
      <c r="AR386" s="21" t="s">
        <v>213</v>
      </c>
      <c r="AT386" s="21" t="s">
        <v>317</v>
      </c>
      <c r="AU386" s="21" t="s">
        <v>135</v>
      </c>
      <c r="AY386" s="21" t="s">
        <v>167</v>
      </c>
      <c r="BE386" s="150">
        <f>IF(U386="základní",N386,0)</f>
        <v>0</v>
      </c>
      <c r="BF386" s="150">
        <f>IF(U386="snížená",N386,0)</f>
        <v>0</v>
      </c>
      <c r="BG386" s="150">
        <f>IF(U386="zákl. přenesená",N386,0)</f>
        <v>0</v>
      </c>
      <c r="BH386" s="150">
        <f>IF(U386="sníž. přenesená",N386,0)</f>
        <v>0</v>
      </c>
      <c r="BI386" s="150">
        <f>IF(U386="nulová",N386,0)</f>
        <v>0</v>
      </c>
      <c r="BJ386" s="21" t="s">
        <v>21</v>
      </c>
      <c r="BK386" s="150">
        <f>ROUND(L386*K386,2)</f>
        <v>0</v>
      </c>
      <c r="BL386" s="21" t="s">
        <v>172</v>
      </c>
      <c r="BM386" s="21" t="s">
        <v>1210</v>
      </c>
    </row>
    <row r="387" spans="2:51" s="11" customFormat="1" ht="22.5" customHeight="1">
      <c r="B387" s="159"/>
      <c r="C387" s="210"/>
      <c r="D387" s="210"/>
      <c r="E387" s="211" t="s">
        <v>5</v>
      </c>
      <c r="F387" s="329" t="s">
        <v>2209</v>
      </c>
      <c r="G387" s="330"/>
      <c r="H387" s="330"/>
      <c r="I387" s="330"/>
      <c r="J387" s="210"/>
      <c r="K387" s="212">
        <f>1050.707*1.52</f>
        <v>1597.0746400000003</v>
      </c>
      <c r="L387" s="210"/>
      <c r="M387" s="210"/>
      <c r="N387" s="210"/>
      <c r="O387" s="210"/>
      <c r="P387" s="210"/>
      <c r="Q387" s="210"/>
      <c r="R387" s="213"/>
      <c r="T387" s="164"/>
      <c r="U387" s="160"/>
      <c r="V387" s="160"/>
      <c r="W387" s="160"/>
      <c r="X387" s="160"/>
      <c r="Y387" s="160"/>
      <c r="Z387" s="160"/>
      <c r="AA387" s="165"/>
      <c r="AT387" s="166" t="s">
        <v>179</v>
      </c>
      <c r="AU387" s="166" t="s">
        <v>135</v>
      </c>
      <c r="AV387" s="11" t="s">
        <v>135</v>
      </c>
      <c r="AW387" s="11" t="s">
        <v>35</v>
      </c>
      <c r="AX387" s="11" t="s">
        <v>21</v>
      </c>
      <c r="AY387" s="166" t="s">
        <v>167</v>
      </c>
    </row>
    <row r="388" spans="2:65" s="1" customFormat="1" ht="22.5" customHeight="1">
      <c r="B388" s="141"/>
      <c r="C388" s="201" t="s">
        <v>478</v>
      </c>
      <c r="D388" s="201" t="s">
        <v>168</v>
      </c>
      <c r="E388" s="202" t="s">
        <v>1484</v>
      </c>
      <c r="F388" s="317" t="s">
        <v>1485</v>
      </c>
      <c r="G388" s="317"/>
      <c r="H388" s="317"/>
      <c r="I388" s="317"/>
      <c r="J388" s="203" t="s">
        <v>176</v>
      </c>
      <c r="K388" s="204">
        <f>+K396</f>
        <v>3630.9405000000006</v>
      </c>
      <c r="L388" s="318"/>
      <c r="M388" s="318"/>
      <c r="N388" s="318">
        <f>ROUND(L388*K388,2)</f>
        <v>0</v>
      </c>
      <c r="O388" s="318"/>
      <c r="P388" s="318"/>
      <c r="Q388" s="318"/>
      <c r="R388" s="205"/>
      <c r="T388" s="147" t="s">
        <v>5</v>
      </c>
      <c r="U388" s="44" t="s">
        <v>43</v>
      </c>
      <c r="V388" s="148">
        <v>1.5</v>
      </c>
      <c r="W388" s="148">
        <f>V388*K388</f>
        <v>5446.410750000001</v>
      </c>
      <c r="X388" s="148">
        <v>0</v>
      </c>
      <c r="Y388" s="148">
        <f>X388*K388</f>
        <v>0</v>
      </c>
      <c r="Z388" s="148">
        <v>0</v>
      </c>
      <c r="AA388" s="149">
        <f>Z388*K388</f>
        <v>0</v>
      </c>
      <c r="AR388" s="21" t="s">
        <v>172</v>
      </c>
      <c r="AT388" s="21" t="s">
        <v>168</v>
      </c>
      <c r="AU388" s="21" t="s">
        <v>135</v>
      </c>
      <c r="AY388" s="21" t="s">
        <v>167</v>
      </c>
      <c r="BE388" s="150">
        <f>IF(U388="základní",N388,0)</f>
        <v>0</v>
      </c>
      <c r="BF388" s="150">
        <f>IF(U388="snížená",N388,0)</f>
        <v>0</v>
      </c>
      <c r="BG388" s="150">
        <f>IF(U388="zákl. přenesená",N388,0)</f>
        <v>0</v>
      </c>
      <c r="BH388" s="150">
        <f>IF(U388="sníž. přenesená",N388,0)</f>
        <v>0</v>
      </c>
      <c r="BI388" s="150">
        <f>IF(U388="nulová",N388,0)</f>
        <v>0</v>
      </c>
      <c r="BJ388" s="21" t="s">
        <v>21</v>
      </c>
      <c r="BK388" s="150">
        <f>ROUND(L388*K388,2)</f>
        <v>0</v>
      </c>
      <c r="BL388" s="21" t="s">
        <v>172</v>
      </c>
      <c r="BM388" s="21" t="s">
        <v>1486</v>
      </c>
    </row>
    <row r="389" spans="2:51" s="10" customFormat="1" ht="22.5" customHeight="1">
      <c r="B389" s="151"/>
      <c r="C389" s="206"/>
      <c r="D389" s="206"/>
      <c r="E389" s="207" t="s">
        <v>5</v>
      </c>
      <c r="F389" s="319" t="s">
        <v>1487</v>
      </c>
      <c r="G389" s="320"/>
      <c r="H389" s="320"/>
      <c r="I389" s="320"/>
      <c r="J389" s="206"/>
      <c r="K389" s="208" t="s">
        <v>5</v>
      </c>
      <c r="L389" s="206"/>
      <c r="M389" s="206"/>
      <c r="N389" s="206"/>
      <c r="O389" s="206"/>
      <c r="P389" s="206"/>
      <c r="Q389" s="206"/>
      <c r="R389" s="209"/>
      <c r="T389" s="156"/>
      <c r="U389" s="152"/>
      <c r="V389" s="152"/>
      <c r="W389" s="152"/>
      <c r="X389" s="152"/>
      <c r="Y389" s="152"/>
      <c r="Z389" s="152"/>
      <c r="AA389" s="157"/>
      <c r="AT389" s="158" t="s">
        <v>179</v>
      </c>
      <c r="AU389" s="158" t="s">
        <v>135</v>
      </c>
      <c r="AV389" s="10" t="s">
        <v>21</v>
      </c>
      <c r="AW389" s="10" t="s">
        <v>35</v>
      </c>
      <c r="AX389" s="10" t="s">
        <v>78</v>
      </c>
      <c r="AY389" s="158" t="s">
        <v>167</v>
      </c>
    </row>
    <row r="390" spans="2:51" s="11" customFormat="1" ht="22.5" customHeight="1">
      <c r="B390" s="159"/>
      <c r="C390" s="210"/>
      <c r="D390" s="210"/>
      <c r="E390" s="211" t="s">
        <v>5</v>
      </c>
      <c r="F390" s="321" t="s">
        <v>2210</v>
      </c>
      <c r="G390" s="322"/>
      <c r="H390" s="322"/>
      <c r="I390" s="322"/>
      <c r="J390" s="210"/>
      <c r="K390" s="212">
        <v>6229.108</v>
      </c>
      <c r="L390" s="210"/>
      <c r="M390" s="210"/>
      <c r="N390" s="210"/>
      <c r="O390" s="210"/>
      <c r="P390" s="210"/>
      <c r="Q390" s="210"/>
      <c r="R390" s="213"/>
      <c r="T390" s="164"/>
      <c r="U390" s="160"/>
      <c r="V390" s="160"/>
      <c r="W390" s="160"/>
      <c r="X390" s="160"/>
      <c r="Y390" s="160"/>
      <c r="Z390" s="160"/>
      <c r="AA390" s="165"/>
      <c r="AT390" s="166" t="s">
        <v>179</v>
      </c>
      <c r="AU390" s="166" t="s">
        <v>135</v>
      </c>
      <c r="AV390" s="11" t="s">
        <v>135</v>
      </c>
      <c r="AW390" s="11" t="s">
        <v>35</v>
      </c>
      <c r="AX390" s="11" t="s">
        <v>78</v>
      </c>
      <c r="AY390" s="166" t="s">
        <v>167</v>
      </c>
    </row>
    <row r="391" spans="2:51" s="11" customFormat="1" ht="22.5" customHeight="1">
      <c r="B391" s="159"/>
      <c r="C391" s="210"/>
      <c r="D391" s="210"/>
      <c r="E391" s="211" t="s">
        <v>5</v>
      </c>
      <c r="F391" s="321" t="s">
        <v>2211</v>
      </c>
      <c r="G391" s="322"/>
      <c r="H391" s="322"/>
      <c r="I391" s="322"/>
      <c r="J391" s="210"/>
      <c r="K391" s="212">
        <v>-1284.7835</v>
      </c>
      <c r="L391" s="210"/>
      <c r="M391" s="210"/>
      <c r="N391" s="210"/>
      <c r="O391" s="210"/>
      <c r="P391" s="210"/>
      <c r="Q391" s="210"/>
      <c r="R391" s="213"/>
      <c r="T391" s="164"/>
      <c r="U391" s="160"/>
      <c r="V391" s="160"/>
      <c r="W391" s="160"/>
      <c r="X391" s="160"/>
      <c r="Y391" s="160"/>
      <c r="Z391" s="160"/>
      <c r="AA391" s="165"/>
      <c r="AT391" s="166" t="s">
        <v>179</v>
      </c>
      <c r="AU391" s="166" t="s">
        <v>135</v>
      </c>
      <c r="AV391" s="11" t="s">
        <v>135</v>
      </c>
      <c r="AW391" s="11" t="s">
        <v>35</v>
      </c>
      <c r="AX391" s="11" t="s">
        <v>78</v>
      </c>
      <c r="AY391" s="166" t="s">
        <v>167</v>
      </c>
    </row>
    <row r="392" spans="2:51" s="13" customFormat="1" ht="22.5" customHeight="1">
      <c r="B392" s="186"/>
      <c r="C392" s="214"/>
      <c r="D392" s="214"/>
      <c r="E392" s="215" t="s">
        <v>5</v>
      </c>
      <c r="F392" s="323" t="s">
        <v>1278</v>
      </c>
      <c r="G392" s="324"/>
      <c r="H392" s="324"/>
      <c r="I392" s="324"/>
      <c r="J392" s="214"/>
      <c r="K392" s="216">
        <f>SUM(K390:K391)</f>
        <v>4944.324500000001</v>
      </c>
      <c r="L392" s="214"/>
      <c r="M392" s="214"/>
      <c r="N392" s="214"/>
      <c r="O392" s="214"/>
      <c r="P392" s="214"/>
      <c r="Q392" s="214"/>
      <c r="R392" s="217"/>
      <c r="T392" s="191"/>
      <c r="U392" s="187"/>
      <c r="V392" s="187"/>
      <c r="W392" s="187"/>
      <c r="X392" s="187"/>
      <c r="Y392" s="187"/>
      <c r="Z392" s="187"/>
      <c r="AA392" s="192"/>
      <c r="AT392" s="193" t="s">
        <v>179</v>
      </c>
      <c r="AU392" s="193" t="s">
        <v>135</v>
      </c>
      <c r="AV392" s="13" t="s">
        <v>184</v>
      </c>
      <c r="AW392" s="13" t="s">
        <v>35</v>
      </c>
      <c r="AX392" s="13" t="s">
        <v>78</v>
      </c>
      <c r="AY392" s="193" t="s">
        <v>167</v>
      </c>
    </row>
    <row r="393" spans="2:51" s="11" customFormat="1" ht="22.5" customHeight="1">
      <c r="B393" s="159"/>
      <c r="C393" s="210"/>
      <c r="D393" s="210"/>
      <c r="E393" s="211" t="s">
        <v>5</v>
      </c>
      <c r="F393" s="321" t="s">
        <v>2212</v>
      </c>
      <c r="G393" s="322"/>
      <c r="H393" s="322"/>
      <c r="I393" s="322"/>
      <c r="J393" s="210"/>
      <c r="K393" s="212">
        <v>-262.677</v>
      </c>
      <c r="L393" s="210"/>
      <c r="M393" s="210"/>
      <c r="N393" s="210"/>
      <c r="O393" s="210"/>
      <c r="P393" s="210"/>
      <c r="Q393" s="210"/>
      <c r="R393" s="213"/>
      <c r="T393" s="164"/>
      <c r="U393" s="160"/>
      <c r="V393" s="160"/>
      <c r="W393" s="160"/>
      <c r="X393" s="160"/>
      <c r="Y393" s="160"/>
      <c r="Z393" s="160"/>
      <c r="AA393" s="165"/>
      <c r="AT393" s="166" t="s">
        <v>179</v>
      </c>
      <c r="AU393" s="166" t="s">
        <v>135</v>
      </c>
      <c r="AV393" s="11" t="s">
        <v>135</v>
      </c>
      <c r="AW393" s="11" t="s">
        <v>35</v>
      </c>
      <c r="AX393" s="11" t="s">
        <v>78</v>
      </c>
      <c r="AY393" s="166" t="s">
        <v>167</v>
      </c>
    </row>
    <row r="394" spans="2:51" s="11" customFormat="1" ht="22.5" customHeight="1">
      <c r="B394" s="159"/>
      <c r="C394" s="210"/>
      <c r="D394" s="210"/>
      <c r="E394" s="211" t="s">
        <v>5</v>
      </c>
      <c r="F394" s="321" t="s">
        <v>2190</v>
      </c>
      <c r="G394" s="322"/>
      <c r="H394" s="322"/>
      <c r="I394" s="322"/>
      <c r="J394" s="210"/>
      <c r="K394" s="212">
        <v>-1050.707</v>
      </c>
      <c r="L394" s="210"/>
      <c r="M394" s="210"/>
      <c r="N394" s="210"/>
      <c r="O394" s="210"/>
      <c r="P394" s="210"/>
      <c r="Q394" s="210"/>
      <c r="R394" s="213"/>
      <c r="T394" s="164"/>
      <c r="U394" s="160"/>
      <c r="V394" s="160"/>
      <c r="W394" s="160"/>
      <c r="X394" s="160"/>
      <c r="Y394" s="160"/>
      <c r="Z394" s="160"/>
      <c r="AA394" s="165"/>
      <c r="AT394" s="166" t="s">
        <v>179</v>
      </c>
      <c r="AU394" s="166" t="s">
        <v>135</v>
      </c>
      <c r="AV394" s="11" t="s">
        <v>135</v>
      </c>
      <c r="AW394" s="11" t="s">
        <v>35</v>
      </c>
      <c r="AX394" s="11" t="s">
        <v>78</v>
      </c>
      <c r="AY394" s="166" t="s">
        <v>167</v>
      </c>
    </row>
    <row r="395" spans="2:51" s="13" customFormat="1" ht="22.5" customHeight="1">
      <c r="B395" s="186"/>
      <c r="C395" s="214"/>
      <c r="D395" s="214"/>
      <c r="E395" s="215" t="s">
        <v>5</v>
      </c>
      <c r="F395" s="323" t="s">
        <v>1278</v>
      </c>
      <c r="G395" s="324"/>
      <c r="H395" s="324"/>
      <c r="I395" s="324"/>
      <c r="J395" s="214"/>
      <c r="K395" s="216">
        <f>SUM(K393:K394)</f>
        <v>-1313.384</v>
      </c>
      <c r="L395" s="214"/>
      <c r="M395" s="214"/>
      <c r="N395" s="214"/>
      <c r="O395" s="214"/>
      <c r="P395" s="214"/>
      <c r="Q395" s="214"/>
      <c r="R395" s="217"/>
      <c r="T395" s="191"/>
      <c r="U395" s="187"/>
      <c r="V395" s="187"/>
      <c r="W395" s="187"/>
      <c r="X395" s="187"/>
      <c r="Y395" s="187"/>
      <c r="Z395" s="187"/>
      <c r="AA395" s="192"/>
      <c r="AT395" s="193" t="s">
        <v>179</v>
      </c>
      <c r="AU395" s="193" t="s">
        <v>135</v>
      </c>
      <c r="AV395" s="13" t="s">
        <v>184</v>
      </c>
      <c r="AW395" s="13" t="s">
        <v>35</v>
      </c>
      <c r="AX395" s="13" t="s">
        <v>78</v>
      </c>
      <c r="AY395" s="193" t="s">
        <v>167</v>
      </c>
    </row>
    <row r="396" spans="2:51" s="12" customFormat="1" ht="22.5" customHeight="1">
      <c r="B396" s="167"/>
      <c r="C396" s="218"/>
      <c r="D396" s="218"/>
      <c r="E396" s="219" t="s">
        <v>5</v>
      </c>
      <c r="F396" s="327" t="s">
        <v>183</v>
      </c>
      <c r="G396" s="328"/>
      <c r="H396" s="328"/>
      <c r="I396" s="328"/>
      <c r="J396" s="218"/>
      <c r="K396" s="220">
        <f>+K395+K392</f>
        <v>3630.9405000000006</v>
      </c>
      <c r="L396" s="218"/>
      <c r="M396" s="218"/>
      <c r="N396" s="218"/>
      <c r="O396" s="218"/>
      <c r="P396" s="218"/>
      <c r="Q396" s="218"/>
      <c r="R396" s="221"/>
      <c r="T396" s="172"/>
      <c r="U396" s="168"/>
      <c r="V396" s="168"/>
      <c r="W396" s="168"/>
      <c r="X396" s="168"/>
      <c r="Y396" s="168"/>
      <c r="Z396" s="168"/>
      <c r="AA396" s="173"/>
      <c r="AT396" s="174" t="s">
        <v>179</v>
      </c>
      <c r="AU396" s="174" t="s">
        <v>135</v>
      </c>
      <c r="AV396" s="12" t="s">
        <v>172</v>
      </c>
      <c r="AW396" s="12" t="s">
        <v>35</v>
      </c>
      <c r="AX396" s="12" t="s">
        <v>21</v>
      </c>
      <c r="AY396" s="174" t="s">
        <v>167</v>
      </c>
    </row>
    <row r="397" spans="2:65" s="1" customFormat="1" ht="31.5" customHeight="1">
      <c r="B397" s="141"/>
      <c r="C397" s="201" t="s">
        <v>619</v>
      </c>
      <c r="D397" s="201" t="s">
        <v>168</v>
      </c>
      <c r="E397" s="202" t="s">
        <v>1488</v>
      </c>
      <c r="F397" s="317" t="s">
        <v>1489</v>
      </c>
      <c r="G397" s="317"/>
      <c r="H397" s="317"/>
      <c r="I397" s="317"/>
      <c r="J397" s="203" t="s">
        <v>176</v>
      </c>
      <c r="K397" s="204">
        <v>99.651</v>
      </c>
      <c r="L397" s="318"/>
      <c r="M397" s="318"/>
      <c r="N397" s="318">
        <f>ROUND(L397*K397,2)</f>
        <v>0</v>
      </c>
      <c r="O397" s="318"/>
      <c r="P397" s="318"/>
      <c r="Q397" s="318"/>
      <c r="R397" s="205"/>
      <c r="T397" s="147" t="s">
        <v>5</v>
      </c>
      <c r="U397" s="44" t="s">
        <v>43</v>
      </c>
      <c r="V397" s="148">
        <v>1.239</v>
      </c>
      <c r="W397" s="148">
        <f>V397*K397</f>
        <v>123.467589</v>
      </c>
      <c r="X397" s="148">
        <v>0</v>
      </c>
      <c r="Y397" s="148">
        <f>X397*K397</f>
        <v>0</v>
      </c>
      <c r="Z397" s="148">
        <v>0</v>
      </c>
      <c r="AA397" s="149">
        <f>Z397*K397</f>
        <v>0</v>
      </c>
      <c r="AR397" s="21" t="s">
        <v>172</v>
      </c>
      <c r="AT397" s="21" t="s">
        <v>168</v>
      </c>
      <c r="AU397" s="21" t="s">
        <v>135</v>
      </c>
      <c r="AY397" s="21" t="s">
        <v>167</v>
      </c>
      <c r="BE397" s="150">
        <f>IF(U397="základní",N397,0)</f>
        <v>0</v>
      </c>
      <c r="BF397" s="150">
        <f>IF(U397="snížená",N397,0)</f>
        <v>0</v>
      </c>
      <c r="BG397" s="150">
        <f>IF(U397="zákl. přenesená",N397,0)</f>
        <v>0</v>
      </c>
      <c r="BH397" s="150">
        <f>IF(U397="sníž. přenesená",N397,0)</f>
        <v>0</v>
      </c>
      <c r="BI397" s="150">
        <f>IF(U397="nulová",N397,0)</f>
        <v>0</v>
      </c>
      <c r="BJ397" s="21" t="s">
        <v>21</v>
      </c>
      <c r="BK397" s="150">
        <f>ROUND(L397*K397,2)</f>
        <v>0</v>
      </c>
      <c r="BL397" s="21" t="s">
        <v>172</v>
      </c>
      <c r="BM397" s="21" t="s">
        <v>1490</v>
      </c>
    </row>
    <row r="398" spans="2:51" s="10" customFormat="1" ht="22.5" customHeight="1">
      <c r="B398" s="151"/>
      <c r="C398" s="206"/>
      <c r="D398" s="206"/>
      <c r="E398" s="207" t="s">
        <v>5</v>
      </c>
      <c r="F398" s="319" t="s">
        <v>1491</v>
      </c>
      <c r="G398" s="320"/>
      <c r="H398" s="320"/>
      <c r="I398" s="320"/>
      <c r="J398" s="206"/>
      <c r="K398" s="208" t="s">
        <v>5</v>
      </c>
      <c r="L398" s="206"/>
      <c r="M398" s="206"/>
      <c r="N398" s="206"/>
      <c r="O398" s="206"/>
      <c r="P398" s="206"/>
      <c r="Q398" s="206"/>
      <c r="R398" s="209"/>
      <c r="T398" s="156"/>
      <c r="U398" s="152"/>
      <c r="V398" s="152"/>
      <c r="W398" s="152"/>
      <c r="X398" s="152"/>
      <c r="Y398" s="152"/>
      <c r="Z398" s="152"/>
      <c r="AA398" s="157"/>
      <c r="AT398" s="158" t="s">
        <v>179</v>
      </c>
      <c r="AU398" s="158" t="s">
        <v>135</v>
      </c>
      <c r="AV398" s="10" t="s">
        <v>21</v>
      </c>
      <c r="AW398" s="10" t="s">
        <v>35</v>
      </c>
      <c r="AX398" s="10" t="s">
        <v>78</v>
      </c>
      <c r="AY398" s="158" t="s">
        <v>167</v>
      </c>
    </row>
    <row r="399" spans="2:51" s="11" customFormat="1" ht="22.5" customHeight="1">
      <c r="B399" s="159"/>
      <c r="C399" s="210"/>
      <c r="D399" s="210"/>
      <c r="E399" s="211" t="s">
        <v>5</v>
      </c>
      <c r="F399" s="321" t="s">
        <v>1492</v>
      </c>
      <c r="G399" s="322"/>
      <c r="H399" s="322"/>
      <c r="I399" s="322"/>
      <c r="J399" s="210"/>
      <c r="K399" s="212">
        <v>99.651</v>
      </c>
      <c r="L399" s="210"/>
      <c r="M399" s="210"/>
      <c r="N399" s="210"/>
      <c r="O399" s="210"/>
      <c r="P399" s="210"/>
      <c r="Q399" s="210"/>
      <c r="R399" s="213"/>
      <c r="T399" s="164"/>
      <c r="U399" s="160"/>
      <c r="V399" s="160"/>
      <c r="W399" s="160"/>
      <c r="X399" s="160"/>
      <c r="Y399" s="160"/>
      <c r="Z399" s="160"/>
      <c r="AA399" s="165"/>
      <c r="AT399" s="166" t="s">
        <v>179</v>
      </c>
      <c r="AU399" s="166" t="s">
        <v>135</v>
      </c>
      <c r="AV399" s="11" t="s">
        <v>135</v>
      </c>
      <c r="AW399" s="11" t="s">
        <v>35</v>
      </c>
      <c r="AX399" s="11" t="s">
        <v>21</v>
      </c>
      <c r="AY399" s="166" t="s">
        <v>167</v>
      </c>
    </row>
    <row r="400" spans="2:65" s="1" customFormat="1" ht="31.5" customHeight="1">
      <c r="B400" s="141"/>
      <c r="C400" s="201" t="s">
        <v>623</v>
      </c>
      <c r="D400" s="201" t="s">
        <v>168</v>
      </c>
      <c r="E400" s="202" t="s">
        <v>1148</v>
      </c>
      <c r="F400" s="317" t="s">
        <v>1149</v>
      </c>
      <c r="G400" s="317"/>
      <c r="H400" s="317"/>
      <c r="I400" s="317"/>
      <c r="J400" s="203" t="s">
        <v>199</v>
      </c>
      <c r="K400" s="204">
        <v>44</v>
      </c>
      <c r="L400" s="318"/>
      <c r="M400" s="318"/>
      <c r="N400" s="318">
        <f>ROUND(L400*K400,2)</f>
        <v>0</v>
      </c>
      <c r="O400" s="318"/>
      <c r="P400" s="318"/>
      <c r="Q400" s="318"/>
      <c r="R400" s="205"/>
      <c r="T400" s="147" t="s">
        <v>5</v>
      </c>
      <c r="U400" s="44" t="s">
        <v>43</v>
      </c>
      <c r="V400" s="148">
        <v>0.019</v>
      </c>
      <c r="W400" s="148">
        <f>V400*K400</f>
        <v>0.836</v>
      </c>
      <c r="X400" s="148">
        <v>0</v>
      </c>
      <c r="Y400" s="148">
        <f>X400*K400</f>
        <v>0</v>
      </c>
      <c r="Z400" s="148">
        <v>0</v>
      </c>
      <c r="AA400" s="149">
        <f>Z400*K400</f>
        <v>0</v>
      </c>
      <c r="AR400" s="21" t="s">
        <v>172</v>
      </c>
      <c r="AT400" s="21" t="s">
        <v>168</v>
      </c>
      <c r="AU400" s="21" t="s">
        <v>135</v>
      </c>
      <c r="AY400" s="21" t="s">
        <v>167</v>
      </c>
      <c r="BE400" s="150">
        <f>IF(U400="základní",N400,0)</f>
        <v>0</v>
      </c>
      <c r="BF400" s="150">
        <f>IF(U400="snížená",N400,0)</f>
        <v>0</v>
      </c>
      <c r="BG400" s="150">
        <f>IF(U400="zákl. přenesená",N400,0)</f>
        <v>0</v>
      </c>
      <c r="BH400" s="150">
        <f>IF(U400="sníž. přenesená",N400,0)</f>
        <v>0</v>
      </c>
      <c r="BI400" s="150">
        <f>IF(U400="nulová",N400,0)</f>
        <v>0</v>
      </c>
      <c r="BJ400" s="21" t="s">
        <v>21</v>
      </c>
      <c r="BK400" s="150">
        <f>ROUND(L400*K400,2)</f>
        <v>0</v>
      </c>
      <c r="BL400" s="21" t="s">
        <v>172</v>
      </c>
      <c r="BM400" s="21" t="s">
        <v>1493</v>
      </c>
    </row>
    <row r="401" spans="2:51" s="11" customFormat="1" ht="22.5" customHeight="1">
      <c r="B401" s="159"/>
      <c r="C401" s="210"/>
      <c r="D401" s="210"/>
      <c r="E401" s="211" t="s">
        <v>5</v>
      </c>
      <c r="F401" s="329" t="s">
        <v>1494</v>
      </c>
      <c r="G401" s="330"/>
      <c r="H401" s="330"/>
      <c r="I401" s="330"/>
      <c r="J401" s="210"/>
      <c r="K401" s="212">
        <v>44</v>
      </c>
      <c r="L401" s="210"/>
      <c r="M401" s="210"/>
      <c r="N401" s="210"/>
      <c r="O401" s="210"/>
      <c r="P401" s="210"/>
      <c r="Q401" s="210"/>
      <c r="R401" s="213"/>
      <c r="T401" s="164"/>
      <c r="U401" s="160"/>
      <c r="V401" s="160"/>
      <c r="W401" s="160"/>
      <c r="X401" s="160"/>
      <c r="Y401" s="160"/>
      <c r="Z401" s="160"/>
      <c r="AA401" s="165"/>
      <c r="AT401" s="166" t="s">
        <v>179</v>
      </c>
      <c r="AU401" s="166" t="s">
        <v>135</v>
      </c>
      <c r="AV401" s="11" t="s">
        <v>135</v>
      </c>
      <c r="AW401" s="11" t="s">
        <v>35</v>
      </c>
      <c r="AX401" s="11" t="s">
        <v>21</v>
      </c>
      <c r="AY401" s="166" t="s">
        <v>167</v>
      </c>
    </row>
    <row r="402" spans="2:65" s="1" customFormat="1" ht="31.5" customHeight="1">
      <c r="B402" s="141"/>
      <c r="C402" s="201" t="s">
        <v>628</v>
      </c>
      <c r="D402" s="201" t="s">
        <v>168</v>
      </c>
      <c r="E402" s="202" t="s">
        <v>1495</v>
      </c>
      <c r="F402" s="317" t="s">
        <v>1496</v>
      </c>
      <c r="G402" s="317"/>
      <c r="H402" s="317"/>
      <c r="I402" s="317"/>
      <c r="J402" s="203" t="s">
        <v>199</v>
      </c>
      <c r="K402" s="204">
        <v>44</v>
      </c>
      <c r="L402" s="318"/>
      <c r="M402" s="318"/>
      <c r="N402" s="318">
        <f>ROUND(L402*K402,2)</f>
        <v>0</v>
      </c>
      <c r="O402" s="318"/>
      <c r="P402" s="318"/>
      <c r="Q402" s="318"/>
      <c r="R402" s="205"/>
      <c r="T402" s="147" t="s">
        <v>5</v>
      </c>
      <c r="U402" s="44" t="s">
        <v>43</v>
      </c>
      <c r="V402" s="148">
        <v>0.007</v>
      </c>
      <c r="W402" s="148">
        <f>V402*K402</f>
        <v>0.308</v>
      </c>
      <c r="X402" s="148">
        <v>0</v>
      </c>
      <c r="Y402" s="148">
        <f>X402*K402</f>
        <v>0</v>
      </c>
      <c r="Z402" s="148">
        <v>0</v>
      </c>
      <c r="AA402" s="149">
        <f>Z402*K402</f>
        <v>0</v>
      </c>
      <c r="AR402" s="21" t="s">
        <v>172</v>
      </c>
      <c r="AT402" s="21" t="s">
        <v>168</v>
      </c>
      <c r="AU402" s="21" t="s">
        <v>135</v>
      </c>
      <c r="AY402" s="21" t="s">
        <v>167</v>
      </c>
      <c r="BE402" s="150">
        <f>IF(U402="základní",N402,0)</f>
        <v>0</v>
      </c>
      <c r="BF402" s="150">
        <f>IF(U402="snížená",N402,0)</f>
        <v>0</v>
      </c>
      <c r="BG402" s="150">
        <f>IF(U402="zákl. přenesená",N402,0)</f>
        <v>0</v>
      </c>
      <c r="BH402" s="150">
        <f>IF(U402="sníž. přenesená",N402,0)</f>
        <v>0</v>
      </c>
      <c r="BI402" s="150">
        <f>IF(U402="nulová",N402,0)</f>
        <v>0</v>
      </c>
      <c r="BJ402" s="21" t="s">
        <v>21</v>
      </c>
      <c r="BK402" s="150">
        <f>ROUND(L402*K402,2)</f>
        <v>0</v>
      </c>
      <c r="BL402" s="21" t="s">
        <v>172</v>
      </c>
      <c r="BM402" s="21" t="s">
        <v>1497</v>
      </c>
    </row>
    <row r="403" spans="2:65" s="1" customFormat="1" ht="22.5" customHeight="1">
      <c r="B403" s="141"/>
      <c r="C403" s="225" t="s">
        <v>633</v>
      </c>
      <c r="D403" s="225" t="s">
        <v>317</v>
      </c>
      <c r="E403" s="226" t="s">
        <v>1498</v>
      </c>
      <c r="F403" s="331" t="s">
        <v>1499</v>
      </c>
      <c r="G403" s="331"/>
      <c r="H403" s="331"/>
      <c r="I403" s="331"/>
      <c r="J403" s="227" t="s">
        <v>1160</v>
      </c>
      <c r="K403" s="228">
        <v>1</v>
      </c>
      <c r="L403" s="332"/>
      <c r="M403" s="332"/>
      <c r="N403" s="332">
        <f>ROUND(L403*K403,2)</f>
        <v>0</v>
      </c>
      <c r="O403" s="318"/>
      <c r="P403" s="318"/>
      <c r="Q403" s="318"/>
      <c r="R403" s="205"/>
      <c r="T403" s="147" t="s">
        <v>5</v>
      </c>
      <c r="U403" s="44" t="s">
        <v>43</v>
      </c>
      <c r="V403" s="148">
        <v>0</v>
      </c>
      <c r="W403" s="148">
        <f>V403*K403</f>
        <v>0</v>
      </c>
      <c r="X403" s="148">
        <v>0.001</v>
      </c>
      <c r="Y403" s="148">
        <f>X403*K403</f>
        <v>0.001</v>
      </c>
      <c r="Z403" s="148">
        <v>0</v>
      </c>
      <c r="AA403" s="149">
        <f>Z403*K403</f>
        <v>0</v>
      </c>
      <c r="AR403" s="21" t="s">
        <v>213</v>
      </c>
      <c r="AT403" s="21" t="s">
        <v>317</v>
      </c>
      <c r="AU403" s="21" t="s">
        <v>135</v>
      </c>
      <c r="AY403" s="21" t="s">
        <v>167</v>
      </c>
      <c r="BE403" s="150">
        <f>IF(U403="základní",N403,0)</f>
        <v>0</v>
      </c>
      <c r="BF403" s="150">
        <f>IF(U403="snížená",N403,0)</f>
        <v>0</v>
      </c>
      <c r="BG403" s="150">
        <f>IF(U403="zákl. přenesená",N403,0)</f>
        <v>0</v>
      </c>
      <c r="BH403" s="150">
        <f>IF(U403="sníž. přenesená",N403,0)</f>
        <v>0</v>
      </c>
      <c r="BI403" s="150">
        <f>IF(U403="nulová",N403,0)</f>
        <v>0</v>
      </c>
      <c r="BJ403" s="21" t="s">
        <v>21</v>
      </c>
      <c r="BK403" s="150">
        <f>ROUND(L403*K403,2)</f>
        <v>0</v>
      </c>
      <c r="BL403" s="21" t="s">
        <v>172</v>
      </c>
      <c r="BM403" s="21" t="s">
        <v>1500</v>
      </c>
    </row>
    <row r="404" spans="2:65" s="1" customFormat="1" ht="31.5" customHeight="1">
      <c r="B404" s="141"/>
      <c r="C404" s="201" t="s">
        <v>638</v>
      </c>
      <c r="D404" s="201" t="s">
        <v>168</v>
      </c>
      <c r="E404" s="202" t="s">
        <v>1501</v>
      </c>
      <c r="F404" s="317" t="s">
        <v>1502</v>
      </c>
      <c r="G404" s="317"/>
      <c r="H404" s="317"/>
      <c r="I404" s="317"/>
      <c r="J404" s="203" t="s">
        <v>171</v>
      </c>
      <c r="K404" s="204">
        <v>1</v>
      </c>
      <c r="L404" s="318"/>
      <c r="M404" s="318"/>
      <c r="N404" s="318">
        <f>ROUND(L404*K404,2)</f>
        <v>0</v>
      </c>
      <c r="O404" s="318"/>
      <c r="P404" s="318"/>
      <c r="Q404" s="318"/>
      <c r="R404" s="205"/>
      <c r="T404" s="147" t="s">
        <v>5</v>
      </c>
      <c r="U404" s="44" t="s">
        <v>43</v>
      </c>
      <c r="V404" s="148">
        <v>1.82</v>
      </c>
      <c r="W404" s="148">
        <f>V404*K404</f>
        <v>1.82</v>
      </c>
      <c r="X404" s="148">
        <v>0</v>
      </c>
      <c r="Y404" s="148">
        <f>X404*K404</f>
        <v>0</v>
      </c>
      <c r="Z404" s="148">
        <v>0</v>
      </c>
      <c r="AA404" s="149">
        <f>Z404*K404</f>
        <v>0</v>
      </c>
      <c r="AR404" s="21" t="s">
        <v>172</v>
      </c>
      <c r="AT404" s="21" t="s">
        <v>168</v>
      </c>
      <c r="AU404" s="21" t="s">
        <v>135</v>
      </c>
      <c r="AY404" s="21" t="s">
        <v>167</v>
      </c>
      <c r="BE404" s="150">
        <f>IF(U404="základní",N404,0)</f>
        <v>0</v>
      </c>
      <c r="BF404" s="150">
        <f>IF(U404="snížená",N404,0)</f>
        <v>0</v>
      </c>
      <c r="BG404" s="150">
        <f>IF(U404="zákl. přenesená",N404,0)</f>
        <v>0</v>
      </c>
      <c r="BH404" s="150">
        <f>IF(U404="sníž. přenesená",N404,0)</f>
        <v>0</v>
      </c>
      <c r="BI404" s="150">
        <f>IF(U404="nulová",N404,0)</f>
        <v>0</v>
      </c>
      <c r="BJ404" s="21" t="s">
        <v>21</v>
      </c>
      <c r="BK404" s="150">
        <f>ROUND(L404*K404,2)</f>
        <v>0</v>
      </c>
      <c r="BL404" s="21" t="s">
        <v>172</v>
      </c>
      <c r="BM404" s="21" t="s">
        <v>1503</v>
      </c>
    </row>
    <row r="405" spans="2:51" s="11" customFormat="1" ht="22.5" customHeight="1">
      <c r="B405" s="159"/>
      <c r="C405" s="210"/>
      <c r="D405" s="210"/>
      <c r="E405" s="211" t="s">
        <v>5</v>
      </c>
      <c r="F405" s="329" t="s">
        <v>21</v>
      </c>
      <c r="G405" s="330"/>
      <c r="H405" s="330"/>
      <c r="I405" s="330"/>
      <c r="J405" s="210"/>
      <c r="K405" s="212">
        <v>1</v>
      </c>
      <c r="L405" s="210"/>
      <c r="M405" s="210"/>
      <c r="N405" s="210"/>
      <c r="O405" s="210"/>
      <c r="P405" s="210"/>
      <c r="Q405" s="210"/>
      <c r="R405" s="213"/>
      <c r="T405" s="164"/>
      <c r="U405" s="160"/>
      <c r="V405" s="160"/>
      <c r="W405" s="160"/>
      <c r="X405" s="160"/>
      <c r="Y405" s="160"/>
      <c r="Z405" s="160"/>
      <c r="AA405" s="165"/>
      <c r="AT405" s="166" t="s">
        <v>179</v>
      </c>
      <c r="AU405" s="166" t="s">
        <v>135</v>
      </c>
      <c r="AV405" s="11" t="s">
        <v>135</v>
      </c>
      <c r="AW405" s="11" t="s">
        <v>35</v>
      </c>
      <c r="AX405" s="11" t="s">
        <v>21</v>
      </c>
      <c r="AY405" s="166" t="s">
        <v>167</v>
      </c>
    </row>
    <row r="406" spans="2:63" s="9" customFormat="1" ht="29.85" customHeight="1">
      <c r="B406" s="130"/>
      <c r="C406" s="222"/>
      <c r="D406" s="223" t="s">
        <v>149</v>
      </c>
      <c r="E406" s="223"/>
      <c r="F406" s="223"/>
      <c r="G406" s="223"/>
      <c r="H406" s="223"/>
      <c r="I406" s="223"/>
      <c r="J406" s="223"/>
      <c r="K406" s="223"/>
      <c r="L406" s="223"/>
      <c r="M406" s="223"/>
      <c r="N406" s="333">
        <f>BK406</f>
        <v>0</v>
      </c>
      <c r="O406" s="334"/>
      <c r="P406" s="334"/>
      <c r="Q406" s="334"/>
      <c r="R406" s="224"/>
      <c r="T406" s="134"/>
      <c r="U406" s="131"/>
      <c r="V406" s="131"/>
      <c r="W406" s="135">
        <f>SUM(W407:W414)</f>
        <v>341.47970999999995</v>
      </c>
      <c r="X406" s="131"/>
      <c r="Y406" s="135">
        <f>SUM(Y407:Y414)</f>
        <v>307.51392391999997</v>
      </c>
      <c r="Z406" s="131"/>
      <c r="AA406" s="136">
        <f>SUM(AA407:AA414)</f>
        <v>0</v>
      </c>
      <c r="AR406" s="137" t="s">
        <v>21</v>
      </c>
      <c r="AT406" s="138" t="s">
        <v>77</v>
      </c>
      <c r="AU406" s="138" t="s">
        <v>21</v>
      </c>
      <c r="AY406" s="137" t="s">
        <v>167</v>
      </c>
      <c r="BK406" s="139">
        <f>SUM(BK407:BK414)</f>
        <v>0</v>
      </c>
    </row>
    <row r="407" spans="2:65" s="1" customFormat="1" ht="31.5" customHeight="1">
      <c r="B407" s="141"/>
      <c r="C407" s="201" t="s">
        <v>775</v>
      </c>
      <c r="D407" s="201" t="s">
        <v>168</v>
      </c>
      <c r="E407" s="202" t="s">
        <v>1504</v>
      </c>
      <c r="F407" s="317" t="s">
        <v>1505</v>
      </c>
      <c r="G407" s="317"/>
      <c r="H407" s="317"/>
      <c r="I407" s="317"/>
      <c r="J407" s="203" t="s">
        <v>259</v>
      </c>
      <c r="K407" s="204">
        <f>+K409</f>
        <v>955.188</v>
      </c>
      <c r="L407" s="318"/>
      <c r="M407" s="318"/>
      <c r="N407" s="318">
        <f>ROUND(L407*K407,2)</f>
        <v>0</v>
      </c>
      <c r="O407" s="318"/>
      <c r="P407" s="318"/>
      <c r="Q407" s="318"/>
      <c r="R407" s="205"/>
      <c r="T407" s="147" t="s">
        <v>5</v>
      </c>
      <c r="U407" s="44" t="s">
        <v>43</v>
      </c>
      <c r="V407" s="148">
        <v>0.05</v>
      </c>
      <c r="W407" s="148">
        <f>V407*K407</f>
        <v>47.7594</v>
      </c>
      <c r="X407" s="148">
        <v>0.01034</v>
      </c>
      <c r="Y407" s="148">
        <f>X407*K407</f>
        <v>9.87664392</v>
      </c>
      <c r="Z407" s="148">
        <v>0</v>
      </c>
      <c r="AA407" s="149">
        <f>Z407*K407</f>
        <v>0</v>
      </c>
      <c r="AR407" s="21" t="s">
        <v>172</v>
      </c>
      <c r="AT407" s="21" t="s">
        <v>168</v>
      </c>
      <c r="AU407" s="21" t="s">
        <v>135</v>
      </c>
      <c r="AY407" s="21" t="s">
        <v>167</v>
      </c>
      <c r="BE407" s="150">
        <f>IF(U407="základní",N407,0)</f>
        <v>0</v>
      </c>
      <c r="BF407" s="150">
        <f>IF(U407="snížená",N407,0)</f>
        <v>0</v>
      </c>
      <c r="BG407" s="150">
        <f>IF(U407="zákl. přenesená",N407,0)</f>
        <v>0</v>
      </c>
      <c r="BH407" s="150">
        <f>IF(U407="sníž. přenesená",N407,0)</f>
        <v>0</v>
      </c>
      <c r="BI407" s="150">
        <f>IF(U407="nulová",N407,0)</f>
        <v>0</v>
      </c>
      <c r="BJ407" s="21" t="s">
        <v>21</v>
      </c>
      <c r="BK407" s="150">
        <f>ROUND(L407*K407,2)</f>
        <v>0</v>
      </c>
      <c r="BL407" s="21" t="s">
        <v>172</v>
      </c>
      <c r="BM407" s="21" t="s">
        <v>1506</v>
      </c>
    </row>
    <row r="408" spans="2:51" s="10" customFormat="1" ht="31.5" customHeight="1">
      <c r="B408" s="151"/>
      <c r="C408" s="206"/>
      <c r="D408" s="206"/>
      <c r="E408" s="207" t="s">
        <v>5</v>
      </c>
      <c r="F408" s="319" t="s">
        <v>1507</v>
      </c>
      <c r="G408" s="320"/>
      <c r="H408" s="320"/>
      <c r="I408" s="320"/>
      <c r="J408" s="206"/>
      <c r="K408" s="208" t="s">
        <v>5</v>
      </c>
      <c r="L408" s="206"/>
      <c r="M408" s="206"/>
      <c r="N408" s="206"/>
      <c r="O408" s="206"/>
      <c r="P408" s="206"/>
      <c r="Q408" s="206"/>
      <c r="R408" s="209"/>
      <c r="T408" s="156"/>
      <c r="U408" s="152"/>
      <c r="V408" s="152"/>
      <c r="W408" s="152"/>
      <c r="X408" s="152"/>
      <c r="Y408" s="152"/>
      <c r="Z408" s="152"/>
      <c r="AA408" s="157"/>
      <c r="AT408" s="158" t="s">
        <v>179</v>
      </c>
      <c r="AU408" s="158" t="s">
        <v>135</v>
      </c>
      <c r="AV408" s="10" t="s">
        <v>21</v>
      </c>
      <c r="AW408" s="10" t="s">
        <v>35</v>
      </c>
      <c r="AX408" s="10" t="s">
        <v>78</v>
      </c>
      <c r="AY408" s="158" t="s">
        <v>167</v>
      </c>
    </row>
    <row r="409" spans="2:51" s="11" customFormat="1" ht="22.5" customHeight="1">
      <c r="B409" s="159"/>
      <c r="C409" s="210"/>
      <c r="D409" s="210"/>
      <c r="E409" s="211" t="s">
        <v>5</v>
      </c>
      <c r="F409" s="321" t="s">
        <v>2214</v>
      </c>
      <c r="G409" s="322"/>
      <c r="H409" s="322"/>
      <c r="I409" s="322"/>
      <c r="J409" s="210"/>
      <c r="K409" s="212">
        <f>2387.97*0.4</f>
        <v>955.188</v>
      </c>
      <c r="L409" s="210"/>
      <c r="M409" s="210"/>
      <c r="N409" s="210"/>
      <c r="O409" s="210"/>
      <c r="P409" s="210"/>
      <c r="Q409" s="210"/>
      <c r="R409" s="213"/>
      <c r="T409" s="164"/>
      <c r="U409" s="160"/>
      <c r="V409" s="160"/>
      <c r="W409" s="160"/>
      <c r="X409" s="160"/>
      <c r="Y409" s="160"/>
      <c r="Z409" s="160"/>
      <c r="AA409" s="165"/>
      <c r="AT409" s="166" t="s">
        <v>179</v>
      </c>
      <c r="AU409" s="166" t="s">
        <v>135</v>
      </c>
      <c r="AV409" s="11" t="s">
        <v>135</v>
      </c>
      <c r="AW409" s="11" t="s">
        <v>35</v>
      </c>
      <c r="AX409" s="11" t="s">
        <v>21</v>
      </c>
      <c r="AY409" s="166" t="s">
        <v>167</v>
      </c>
    </row>
    <row r="410" spans="2:65" s="1" customFormat="1" ht="31.5" customHeight="1">
      <c r="B410" s="141"/>
      <c r="C410" s="201" t="s">
        <v>779</v>
      </c>
      <c r="D410" s="201" t="s">
        <v>168</v>
      </c>
      <c r="E410" s="202" t="s">
        <v>1202</v>
      </c>
      <c r="F410" s="317" t="s">
        <v>1203</v>
      </c>
      <c r="G410" s="317"/>
      <c r="H410" s="317"/>
      <c r="I410" s="317"/>
      <c r="J410" s="203" t="s">
        <v>176</v>
      </c>
      <c r="K410" s="204">
        <f>+K412</f>
        <v>195.81354</v>
      </c>
      <c r="L410" s="318"/>
      <c r="M410" s="318"/>
      <c r="N410" s="318">
        <f>ROUND(L410*K410,2)</f>
        <v>0</v>
      </c>
      <c r="O410" s="318"/>
      <c r="P410" s="318"/>
      <c r="Q410" s="318"/>
      <c r="R410" s="205"/>
      <c r="T410" s="147" t="s">
        <v>5</v>
      </c>
      <c r="U410" s="44" t="s">
        <v>43</v>
      </c>
      <c r="V410" s="148">
        <v>1.5</v>
      </c>
      <c r="W410" s="148">
        <f>V410*K410</f>
        <v>293.72031</v>
      </c>
      <c r="X410" s="148">
        <v>0</v>
      </c>
      <c r="Y410" s="148">
        <f>X410*K410</f>
        <v>0</v>
      </c>
      <c r="Z410" s="148">
        <v>0</v>
      </c>
      <c r="AA410" s="149">
        <f>Z410*K410</f>
        <v>0</v>
      </c>
      <c r="AR410" s="21" t="s">
        <v>172</v>
      </c>
      <c r="AT410" s="21" t="s">
        <v>168</v>
      </c>
      <c r="AU410" s="21" t="s">
        <v>135</v>
      </c>
      <c r="AY410" s="21" t="s">
        <v>167</v>
      </c>
      <c r="BE410" s="150">
        <f>IF(U410="základní",N410,0)</f>
        <v>0</v>
      </c>
      <c r="BF410" s="150">
        <f>IF(U410="snížená",N410,0)</f>
        <v>0</v>
      </c>
      <c r="BG410" s="150">
        <f>IF(U410="zákl. přenesená",N410,0)</f>
        <v>0</v>
      </c>
      <c r="BH410" s="150">
        <f>IF(U410="sníž. přenesená",N410,0)</f>
        <v>0</v>
      </c>
      <c r="BI410" s="150">
        <f>IF(U410="nulová",N410,0)</f>
        <v>0</v>
      </c>
      <c r="BJ410" s="21" t="s">
        <v>21</v>
      </c>
      <c r="BK410" s="150">
        <f>ROUND(L410*K410,2)</f>
        <v>0</v>
      </c>
      <c r="BL410" s="21" t="s">
        <v>172</v>
      </c>
      <c r="BM410" s="21" t="s">
        <v>1508</v>
      </c>
    </row>
    <row r="411" spans="2:51" s="10" customFormat="1" ht="31.5" customHeight="1">
      <c r="B411" s="151"/>
      <c r="C411" s="206"/>
      <c r="D411" s="206"/>
      <c r="E411" s="207" t="s">
        <v>5</v>
      </c>
      <c r="F411" s="319" t="s">
        <v>1509</v>
      </c>
      <c r="G411" s="320"/>
      <c r="H411" s="320"/>
      <c r="I411" s="320"/>
      <c r="J411" s="206"/>
      <c r="K411" s="208" t="s">
        <v>5</v>
      </c>
      <c r="L411" s="206"/>
      <c r="M411" s="206"/>
      <c r="N411" s="206"/>
      <c r="O411" s="206"/>
      <c r="P411" s="206"/>
      <c r="Q411" s="206"/>
      <c r="R411" s="209"/>
      <c r="T411" s="156"/>
      <c r="U411" s="152"/>
      <c r="V411" s="152"/>
      <c r="W411" s="152"/>
      <c r="X411" s="152"/>
      <c r="Y411" s="152"/>
      <c r="Z411" s="152"/>
      <c r="AA411" s="157"/>
      <c r="AT411" s="158" t="s">
        <v>179</v>
      </c>
      <c r="AU411" s="158" t="s">
        <v>135</v>
      </c>
      <c r="AV411" s="10" t="s">
        <v>21</v>
      </c>
      <c r="AW411" s="10" t="s">
        <v>35</v>
      </c>
      <c r="AX411" s="10" t="s">
        <v>78</v>
      </c>
      <c r="AY411" s="158" t="s">
        <v>167</v>
      </c>
    </row>
    <row r="412" spans="2:51" s="11" customFormat="1" ht="22.5" customHeight="1">
      <c r="B412" s="159"/>
      <c r="C412" s="210"/>
      <c r="D412" s="210"/>
      <c r="E412" s="211" t="s">
        <v>5</v>
      </c>
      <c r="F412" s="321" t="s">
        <v>2215</v>
      </c>
      <c r="G412" s="322"/>
      <c r="H412" s="322"/>
      <c r="I412" s="322"/>
      <c r="J412" s="210"/>
      <c r="K412" s="212">
        <f>2387.97*(1.1*0.15+0.2*0.2)*0.4</f>
        <v>195.81354</v>
      </c>
      <c r="L412" s="210"/>
      <c r="M412" s="210"/>
      <c r="N412" s="210"/>
      <c r="O412" s="210"/>
      <c r="P412" s="210"/>
      <c r="Q412" s="210"/>
      <c r="R412" s="213"/>
      <c r="T412" s="164"/>
      <c r="U412" s="198"/>
      <c r="V412" s="198"/>
      <c r="W412" s="198"/>
      <c r="X412" s="198"/>
      <c r="Y412" s="198"/>
      <c r="Z412" s="198"/>
      <c r="AA412" s="165"/>
      <c r="AT412" s="166" t="s">
        <v>179</v>
      </c>
      <c r="AU412" s="166" t="s">
        <v>135</v>
      </c>
      <c r="AV412" s="11" t="s">
        <v>135</v>
      </c>
      <c r="AW412" s="11" t="s">
        <v>35</v>
      </c>
      <c r="AX412" s="11" t="s">
        <v>21</v>
      </c>
      <c r="AY412" s="166" t="s">
        <v>167</v>
      </c>
    </row>
    <row r="413" spans="2:65" s="1" customFormat="1" ht="22.5" customHeight="1">
      <c r="B413" s="141"/>
      <c r="C413" s="225" t="s">
        <v>783</v>
      </c>
      <c r="D413" s="225" t="s">
        <v>317</v>
      </c>
      <c r="E413" s="226" t="s">
        <v>1208</v>
      </c>
      <c r="F413" s="331" t="s">
        <v>1209</v>
      </c>
      <c r="G413" s="331"/>
      <c r="H413" s="331"/>
      <c r="I413" s="331"/>
      <c r="J413" s="227" t="s">
        <v>210</v>
      </c>
      <c r="K413" s="228">
        <f>+K414</f>
        <v>297.63728</v>
      </c>
      <c r="L413" s="332"/>
      <c r="M413" s="332"/>
      <c r="N413" s="332">
        <f>ROUND(L413*K413,2)</f>
        <v>0</v>
      </c>
      <c r="O413" s="318"/>
      <c r="P413" s="318"/>
      <c r="Q413" s="318"/>
      <c r="R413" s="205"/>
      <c r="T413" s="147" t="s">
        <v>5</v>
      </c>
      <c r="U413" s="44" t="s">
        <v>43</v>
      </c>
      <c r="V413" s="148">
        <v>0</v>
      </c>
      <c r="W413" s="148">
        <f>V413*K413</f>
        <v>0</v>
      </c>
      <c r="X413" s="148">
        <v>1</v>
      </c>
      <c r="Y413" s="148">
        <f>X413*K413</f>
        <v>297.63728</v>
      </c>
      <c r="Z413" s="148">
        <v>0</v>
      </c>
      <c r="AA413" s="149">
        <f>Z413*K413</f>
        <v>0</v>
      </c>
      <c r="AR413" s="21" t="s">
        <v>213</v>
      </c>
      <c r="AT413" s="21" t="s">
        <v>317</v>
      </c>
      <c r="AU413" s="21" t="s">
        <v>135</v>
      </c>
      <c r="AY413" s="21" t="s">
        <v>167</v>
      </c>
      <c r="BE413" s="150">
        <f>IF(U413="základní",N413,0)</f>
        <v>0</v>
      </c>
      <c r="BF413" s="150">
        <f>IF(U413="snížená",N413,0)</f>
        <v>0</v>
      </c>
      <c r="BG413" s="150">
        <f>IF(U413="zákl. přenesená",N413,0)</f>
        <v>0</v>
      </c>
      <c r="BH413" s="150">
        <f>IF(U413="sníž. přenesená",N413,0)</f>
        <v>0</v>
      </c>
      <c r="BI413" s="150">
        <f>IF(U413="nulová",N413,0)</f>
        <v>0</v>
      </c>
      <c r="BJ413" s="21" t="s">
        <v>21</v>
      </c>
      <c r="BK413" s="150">
        <f>ROUND(L413*K413,2)</f>
        <v>0</v>
      </c>
      <c r="BL413" s="21" t="s">
        <v>172</v>
      </c>
      <c r="BM413" s="21" t="s">
        <v>1510</v>
      </c>
    </row>
    <row r="414" spans="2:51" s="11" customFormat="1" ht="22.5" customHeight="1">
      <c r="B414" s="159"/>
      <c r="C414" s="210"/>
      <c r="D414" s="210"/>
      <c r="E414" s="211" t="s">
        <v>5</v>
      </c>
      <c r="F414" s="329" t="s">
        <v>2216</v>
      </c>
      <c r="G414" s="330"/>
      <c r="H414" s="330"/>
      <c r="I414" s="330"/>
      <c r="J414" s="210"/>
      <c r="K414" s="212">
        <f>195.814*1.52</f>
        <v>297.63728</v>
      </c>
      <c r="L414" s="210"/>
      <c r="M414" s="210"/>
      <c r="N414" s="210"/>
      <c r="O414" s="210"/>
      <c r="P414" s="210"/>
      <c r="Q414" s="210"/>
      <c r="R414" s="213"/>
      <c r="T414" s="164"/>
      <c r="U414" s="160"/>
      <c r="V414" s="160"/>
      <c r="W414" s="160"/>
      <c r="X414" s="160"/>
      <c r="Y414" s="160"/>
      <c r="Z414" s="160"/>
      <c r="AA414" s="165"/>
      <c r="AT414" s="166" t="s">
        <v>179</v>
      </c>
      <c r="AU414" s="166" t="s">
        <v>135</v>
      </c>
      <c r="AV414" s="11" t="s">
        <v>135</v>
      </c>
      <c r="AW414" s="11" t="s">
        <v>35</v>
      </c>
      <c r="AX414" s="11" t="s">
        <v>21</v>
      </c>
      <c r="AY414" s="166" t="s">
        <v>167</v>
      </c>
    </row>
    <row r="415" spans="2:63" s="9" customFormat="1" ht="29.85" customHeight="1">
      <c r="B415" s="130"/>
      <c r="C415" s="222"/>
      <c r="D415" s="223" t="s">
        <v>227</v>
      </c>
      <c r="E415" s="223"/>
      <c r="F415" s="223"/>
      <c r="G415" s="223"/>
      <c r="H415" s="223"/>
      <c r="I415" s="223"/>
      <c r="J415" s="223"/>
      <c r="K415" s="223"/>
      <c r="L415" s="223"/>
      <c r="M415" s="223"/>
      <c r="N415" s="333">
        <f>BK415</f>
        <v>0</v>
      </c>
      <c r="O415" s="334"/>
      <c r="P415" s="334"/>
      <c r="Q415" s="334"/>
      <c r="R415" s="224"/>
      <c r="T415" s="134"/>
      <c r="U415" s="131"/>
      <c r="V415" s="131"/>
      <c r="W415" s="135">
        <f>SUM(W416:W422)</f>
        <v>37.8063</v>
      </c>
      <c r="X415" s="131"/>
      <c r="Y415" s="135">
        <f>SUM(Y416:Y422)</f>
        <v>55.64</v>
      </c>
      <c r="Z415" s="131"/>
      <c r="AA415" s="136">
        <f>SUM(AA416:AA422)</f>
        <v>0</v>
      </c>
      <c r="AR415" s="137" t="s">
        <v>21</v>
      </c>
      <c r="AT415" s="138" t="s">
        <v>77</v>
      </c>
      <c r="AU415" s="138" t="s">
        <v>21</v>
      </c>
      <c r="AY415" s="137" t="s">
        <v>167</v>
      </c>
      <c r="BK415" s="139">
        <f>SUM(BK416:BK422)</f>
        <v>0</v>
      </c>
    </row>
    <row r="416" spans="2:65" s="1" customFormat="1" ht="31.5" customHeight="1">
      <c r="B416" s="141"/>
      <c r="C416" s="201" t="s">
        <v>787</v>
      </c>
      <c r="D416" s="201" t="s">
        <v>168</v>
      </c>
      <c r="E416" s="202" t="s">
        <v>1511</v>
      </c>
      <c r="F416" s="317" t="s">
        <v>1512</v>
      </c>
      <c r="G416" s="317"/>
      <c r="H416" s="317"/>
      <c r="I416" s="317"/>
      <c r="J416" s="203" t="s">
        <v>199</v>
      </c>
      <c r="K416" s="204">
        <f>+K418</f>
        <v>137.25</v>
      </c>
      <c r="L416" s="318"/>
      <c r="M416" s="318"/>
      <c r="N416" s="318">
        <f>ROUND(L416*K416,2)</f>
        <v>0</v>
      </c>
      <c r="O416" s="318"/>
      <c r="P416" s="318"/>
      <c r="Q416" s="318"/>
      <c r="R416" s="205"/>
      <c r="T416" s="147" t="s">
        <v>5</v>
      </c>
      <c r="U416" s="44" t="s">
        <v>43</v>
      </c>
      <c r="V416" s="148">
        <v>0.166</v>
      </c>
      <c r="W416" s="148">
        <f>V416*K416</f>
        <v>22.7835</v>
      </c>
      <c r="X416" s="148">
        <v>0</v>
      </c>
      <c r="Y416" s="148">
        <f>X416*K416</f>
        <v>0</v>
      </c>
      <c r="Z416" s="148">
        <v>0</v>
      </c>
      <c r="AA416" s="149">
        <f>Z416*K416</f>
        <v>0</v>
      </c>
      <c r="AR416" s="21" t="s">
        <v>172</v>
      </c>
      <c r="AT416" s="21" t="s">
        <v>168</v>
      </c>
      <c r="AU416" s="21" t="s">
        <v>135</v>
      </c>
      <c r="AY416" s="21" t="s">
        <v>167</v>
      </c>
      <c r="BE416" s="150">
        <f>IF(U416="základní",N416,0)</f>
        <v>0</v>
      </c>
      <c r="BF416" s="150">
        <f>IF(U416="snížená",N416,0)</f>
        <v>0</v>
      </c>
      <c r="BG416" s="150">
        <f>IF(U416="zákl. přenesená",N416,0)</f>
        <v>0</v>
      </c>
      <c r="BH416" s="150">
        <f>IF(U416="sníž. přenesená",N416,0)</f>
        <v>0</v>
      </c>
      <c r="BI416" s="150">
        <f>IF(U416="nulová",N416,0)</f>
        <v>0</v>
      </c>
      <c r="BJ416" s="21" t="s">
        <v>21</v>
      </c>
      <c r="BK416" s="150">
        <f>ROUND(L416*K416,2)</f>
        <v>0</v>
      </c>
      <c r="BL416" s="21" t="s">
        <v>172</v>
      </c>
      <c r="BM416" s="21" t="s">
        <v>1513</v>
      </c>
    </row>
    <row r="417" spans="2:51" s="10" customFormat="1" ht="22.5" customHeight="1">
      <c r="B417" s="151"/>
      <c r="C417" s="206"/>
      <c r="D417" s="206"/>
      <c r="E417" s="207" t="s">
        <v>5</v>
      </c>
      <c r="F417" s="319" t="s">
        <v>1514</v>
      </c>
      <c r="G417" s="320"/>
      <c r="H417" s="320"/>
      <c r="I417" s="320"/>
      <c r="J417" s="206"/>
      <c r="K417" s="208" t="s">
        <v>5</v>
      </c>
      <c r="L417" s="206"/>
      <c r="M417" s="206"/>
      <c r="N417" s="206"/>
      <c r="O417" s="206"/>
      <c r="P417" s="206"/>
      <c r="Q417" s="206"/>
      <c r="R417" s="209"/>
      <c r="T417" s="156"/>
      <c r="U417" s="152"/>
      <c r="V417" s="152"/>
      <c r="W417" s="152"/>
      <c r="X417" s="152"/>
      <c r="Y417" s="152"/>
      <c r="Z417" s="152"/>
      <c r="AA417" s="157"/>
      <c r="AT417" s="158" t="s">
        <v>179</v>
      </c>
      <c r="AU417" s="158" t="s">
        <v>135</v>
      </c>
      <c r="AV417" s="10" t="s">
        <v>21</v>
      </c>
      <c r="AW417" s="10" t="s">
        <v>35</v>
      </c>
      <c r="AX417" s="10" t="s">
        <v>78</v>
      </c>
      <c r="AY417" s="158" t="s">
        <v>167</v>
      </c>
    </row>
    <row r="418" spans="2:51" s="11" customFormat="1" ht="22.5" customHeight="1">
      <c r="B418" s="159"/>
      <c r="C418" s="210"/>
      <c r="D418" s="210"/>
      <c r="E418" s="211" t="s">
        <v>5</v>
      </c>
      <c r="F418" s="321" t="s">
        <v>2217</v>
      </c>
      <c r="G418" s="322"/>
      <c r="H418" s="322"/>
      <c r="I418" s="322"/>
      <c r="J418" s="210"/>
      <c r="K418" s="212">
        <f>61*1.5*1.5</f>
        <v>137.25</v>
      </c>
      <c r="L418" s="210"/>
      <c r="M418" s="210"/>
      <c r="N418" s="210"/>
      <c r="O418" s="210"/>
      <c r="P418" s="210"/>
      <c r="Q418" s="210"/>
      <c r="R418" s="213"/>
      <c r="T418" s="164"/>
      <c r="U418" s="160"/>
      <c r="V418" s="160"/>
      <c r="W418" s="160"/>
      <c r="X418" s="160"/>
      <c r="Y418" s="160"/>
      <c r="Z418" s="160"/>
      <c r="AA418" s="165"/>
      <c r="AT418" s="166" t="s">
        <v>179</v>
      </c>
      <c r="AU418" s="166" t="s">
        <v>135</v>
      </c>
      <c r="AV418" s="11" t="s">
        <v>135</v>
      </c>
      <c r="AW418" s="11" t="s">
        <v>35</v>
      </c>
      <c r="AX418" s="11" t="s">
        <v>21</v>
      </c>
      <c r="AY418" s="166" t="s">
        <v>167</v>
      </c>
    </row>
    <row r="419" spans="2:65" s="1" customFormat="1" ht="31.5" customHeight="1">
      <c r="B419" s="141"/>
      <c r="C419" s="201" t="s">
        <v>791</v>
      </c>
      <c r="D419" s="201" t="s">
        <v>168</v>
      </c>
      <c r="E419" s="202" t="s">
        <v>1515</v>
      </c>
      <c r="F419" s="317" t="s">
        <v>1516</v>
      </c>
      <c r="G419" s="317"/>
      <c r="H419" s="317"/>
      <c r="I419" s="317"/>
      <c r="J419" s="203" t="s">
        <v>199</v>
      </c>
      <c r="K419" s="204">
        <f>+K420</f>
        <v>139.1</v>
      </c>
      <c r="L419" s="318"/>
      <c r="M419" s="318"/>
      <c r="N419" s="318">
        <f>ROUND(L419*K419,2)</f>
        <v>0</v>
      </c>
      <c r="O419" s="318"/>
      <c r="P419" s="318"/>
      <c r="Q419" s="318"/>
      <c r="R419" s="205"/>
      <c r="T419" s="147" t="s">
        <v>5</v>
      </c>
      <c r="U419" s="44" t="s">
        <v>43</v>
      </c>
      <c r="V419" s="148">
        <v>0.108</v>
      </c>
      <c r="W419" s="148">
        <f>V419*K419</f>
        <v>15.022799999999998</v>
      </c>
      <c r="X419" s="148">
        <v>0.4</v>
      </c>
      <c r="Y419" s="148">
        <f>X419*K419</f>
        <v>55.64</v>
      </c>
      <c r="Z419" s="148">
        <v>0</v>
      </c>
      <c r="AA419" s="149">
        <f>Z419*K419</f>
        <v>0</v>
      </c>
      <c r="AR419" s="21" t="s">
        <v>172</v>
      </c>
      <c r="AT419" s="21" t="s">
        <v>168</v>
      </c>
      <c r="AU419" s="21" t="s">
        <v>135</v>
      </c>
      <c r="AY419" s="21" t="s">
        <v>167</v>
      </c>
      <c r="BE419" s="150">
        <f>IF(U419="základní",N419,0)</f>
        <v>0</v>
      </c>
      <c r="BF419" s="150">
        <f>IF(U419="snížená",N419,0)</f>
        <v>0</v>
      </c>
      <c r="BG419" s="150">
        <f>IF(U419="zákl. přenesená",N419,0)</f>
        <v>0</v>
      </c>
      <c r="BH419" s="150">
        <f>IF(U419="sníž. přenesená",N419,0)</f>
        <v>0</v>
      </c>
      <c r="BI419" s="150">
        <f>IF(U419="nulová",N419,0)</f>
        <v>0</v>
      </c>
      <c r="BJ419" s="21" t="s">
        <v>21</v>
      </c>
      <c r="BK419" s="150">
        <f>ROUND(L419*K419,2)</f>
        <v>0</v>
      </c>
      <c r="BL419" s="21" t="s">
        <v>172</v>
      </c>
      <c r="BM419" s="21" t="s">
        <v>1517</v>
      </c>
    </row>
    <row r="420" spans="2:51" s="11" customFormat="1" ht="22.5" customHeight="1">
      <c r="B420" s="159"/>
      <c r="C420" s="210"/>
      <c r="D420" s="210"/>
      <c r="E420" s="211" t="s">
        <v>5</v>
      </c>
      <c r="F420" s="329" t="s">
        <v>2218</v>
      </c>
      <c r="G420" s="330"/>
      <c r="H420" s="330"/>
      <c r="I420" s="330"/>
      <c r="J420" s="210"/>
      <c r="K420" s="212">
        <v>139.1</v>
      </c>
      <c r="L420" s="210"/>
      <c r="M420" s="210"/>
      <c r="N420" s="210"/>
      <c r="O420" s="210"/>
      <c r="P420" s="210"/>
      <c r="Q420" s="210"/>
      <c r="R420" s="213"/>
      <c r="T420" s="164"/>
      <c r="U420" s="160"/>
      <c r="V420" s="160"/>
      <c r="W420" s="160"/>
      <c r="X420" s="160"/>
      <c r="Y420" s="160"/>
      <c r="Z420" s="160"/>
      <c r="AA420" s="165"/>
      <c r="AT420" s="166" t="s">
        <v>179</v>
      </c>
      <c r="AU420" s="166" t="s">
        <v>135</v>
      </c>
      <c r="AV420" s="11" t="s">
        <v>135</v>
      </c>
      <c r="AW420" s="11" t="s">
        <v>35</v>
      </c>
      <c r="AX420" s="11" t="s">
        <v>78</v>
      </c>
      <c r="AY420" s="166" t="s">
        <v>167</v>
      </c>
    </row>
    <row r="421" spans="2:51" s="11" customFormat="1" ht="22.5" customHeight="1">
      <c r="B421" s="159"/>
      <c r="C421" s="210"/>
      <c r="D421" s="210"/>
      <c r="E421" s="211" t="s">
        <v>5</v>
      </c>
      <c r="F421" s="321" t="s">
        <v>1518</v>
      </c>
      <c r="G421" s="322"/>
      <c r="H421" s="322"/>
      <c r="I421" s="322"/>
      <c r="J421" s="210"/>
      <c r="K421" s="212">
        <v>3.927</v>
      </c>
      <c r="L421" s="210"/>
      <c r="M421" s="210"/>
      <c r="N421" s="210"/>
      <c r="O421" s="210"/>
      <c r="P421" s="210"/>
      <c r="Q421" s="210"/>
      <c r="R421" s="213"/>
      <c r="T421" s="164"/>
      <c r="U421" s="160"/>
      <c r="V421" s="160"/>
      <c r="W421" s="160"/>
      <c r="X421" s="160"/>
      <c r="Y421" s="160"/>
      <c r="Z421" s="160"/>
      <c r="AA421" s="165"/>
      <c r="AT421" s="166" t="s">
        <v>179</v>
      </c>
      <c r="AU421" s="166" t="s">
        <v>135</v>
      </c>
      <c r="AV421" s="11" t="s">
        <v>135</v>
      </c>
      <c r="AW421" s="11" t="s">
        <v>35</v>
      </c>
      <c r="AX421" s="11" t="s">
        <v>78</v>
      </c>
      <c r="AY421" s="166" t="s">
        <v>167</v>
      </c>
    </row>
    <row r="422" spans="2:51" s="12" customFormat="1" ht="22.5" customHeight="1">
      <c r="B422" s="167"/>
      <c r="C422" s="218"/>
      <c r="D422" s="218"/>
      <c r="E422" s="219" t="s">
        <v>5</v>
      </c>
      <c r="F422" s="327" t="s">
        <v>183</v>
      </c>
      <c r="G422" s="328"/>
      <c r="H422" s="328"/>
      <c r="I422" s="328"/>
      <c r="J422" s="218"/>
      <c r="K422" s="220">
        <f>SUM(K420:K421)</f>
        <v>143.027</v>
      </c>
      <c r="L422" s="218"/>
      <c r="M422" s="218"/>
      <c r="N422" s="218"/>
      <c r="O422" s="218"/>
      <c r="P422" s="218"/>
      <c r="Q422" s="218"/>
      <c r="R422" s="221"/>
      <c r="T422" s="172"/>
      <c r="U422" s="168"/>
      <c r="V422" s="168"/>
      <c r="W422" s="168"/>
      <c r="X422" s="168"/>
      <c r="Y422" s="168"/>
      <c r="Z422" s="168"/>
      <c r="AA422" s="173"/>
      <c r="AT422" s="174" t="s">
        <v>179</v>
      </c>
      <c r="AU422" s="174" t="s">
        <v>135</v>
      </c>
      <c r="AV422" s="12" t="s">
        <v>172</v>
      </c>
      <c r="AW422" s="12" t="s">
        <v>35</v>
      </c>
      <c r="AX422" s="12" t="s">
        <v>21</v>
      </c>
      <c r="AY422" s="174" t="s">
        <v>167</v>
      </c>
    </row>
    <row r="423" spans="2:63" s="9" customFormat="1" ht="29.85" customHeight="1">
      <c r="B423" s="130"/>
      <c r="C423" s="222"/>
      <c r="D423" s="223" t="s">
        <v>1268</v>
      </c>
      <c r="E423" s="223"/>
      <c r="F423" s="223"/>
      <c r="G423" s="223"/>
      <c r="H423" s="223"/>
      <c r="I423" s="223"/>
      <c r="J423" s="223"/>
      <c r="K423" s="223"/>
      <c r="L423" s="223"/>
      <c r="M423" s="223"/>
      <c r="N423" s="333">
        <f>BK423</f>
        <v>0</v>
      </c>
      <c r="O423" s="334"/>
      <c r="P423" s="334"/>
      <c r="Q423" s="334"/>
      <c r="R423" s="224"/>
      <c r="T423" s="134"/>
      <c r="U423" s="131"/>
      <c r="V423" s="131"/>
      <c r="W423" s="135">
        <f>SUM(W424:W439)</f>
        <v>15.643400000000002</v>
      </c>
      <c r="X423" s="131"/>
      <c r="Y423" s="135">
        <f>SUM(Y424:Y439)</f>
        <v>0.8252399999999999</v>
      </c>
      <c r="Z423" s="131"/>
      <c r="AA423" s="136">
        <f>SUM(AA424:AA439)</f>
        <v>0</v>
      </c>
      <c r="AR423" s="137" t="s">
        <v>21</v>
      </c>
      <c r="AT423" s="138" t="s">
        <v>77</v>
      </c>
      <c r="AU423" s="138" t="s">
        <v>21</v>
      </c>
      <c r="AY423" s="137" t="s">
        <v>167</v>
      </c>
      <c r="BK423" s="139">
        <f>SUM(BK424:BK439)</f>
        <v>0</v>
      </c>
    </row>
    <row r="424" spans="2:65" s="1" customFormat="1" ht="22.5" customHeight="1">
      <c r="B424" s="141"/>
      <c r="C424" s="201" t="s">
        <v>795</v>
      </c>
      <c r="D424" s="201" t="s">
        <v>168</v>
      </c>
      <c r="E424" s="202" t="s">
        <v>1519</v>
      </c>
      <c r="F424" s="317" t="s">
        <v>1520</v>
      </c>
      <c r="G424" s="317"/>
      <c r="H424" s="317"/>
      <c r="I424" s="317"/>
      <c r="J424" s="203" t="s">
        <v>176</v>
      </c>
      <c r="K424" s="204">
        <v>12</v>
      </c>
      <c r="L424" s="318"/>
      <c r="M424" s="318"/>
      <c r="N424" s="318">
        <f>ROUND(L424*K424,2)</f>
        <v>0</v>
      </c>
      <c r="O424" s="318"/>
      <c r="P424" s="318"/>
      <c r="Q424" s="318"/>
      <c r="R424" s="205"/>
      <c r="T424" s="147" t="s">
        <v>5</v>
      </c>
      <c r="U424" s="44" t="s">
        <v>43</v>
      </c>
      <c r="V424" s="148">
        <v>0.031</v>
      </c>
      <c r="W424" s="148">
        <f>V424*K424</f>
        <v>0.372</v>
      </c>
      <c r="X424" s="148">
        <v>0</v>
      </c>
      <c r="Y424" s="148">
        <f>X424*K424</f>
        <v>0</v>
      </c>
      <c r="Z424" s="148">
        <v>0</v>
      </c>
      <c r="AA424" s="149">
        <f>Z424*K424</f>
        <v>0</v>
      </c>
      <c r="AR424" s="21" t="s">
        <v>172</v>
      </c>
      <c r="AT424" s="21" t="s">
        <v>168</v>
      </c>
      <c r="AU424" s="21" t="s">
        <v>135</v>
      </c>
      <c r="AY424" s="21" t="s">
        <v>167</v>
      </c>
      <c r="BE424" s="150">
        <f>IF(U424="základní",N424,0)</f>
        <v>0</v>
      </c>
      <c r="BF424" s="150">
        <f>IF(U424="snížená",N424,0)</f>
        <v>0</v>
      </c>
      <c r="BG424" s="150">
        <f>IF(U424="zákl. přenesená",N424,0)</f>
        <v>0</v>
      </c>
      <c r="BH424" s="150">
        <f>IF(U424="sníž. přenesená",N424,0)</f>
        <v>0</v>
      </c>
      <c r="BI424" s="150">
        <f>IF(U424="nulová",N424,0)</f>
        <v>0</v>
      </c>
      <c r="BJ424" s="21" t="s">
        <v>21</v>
      </c>
      <c r="BK424" s="150">
        <f>ROUND(L424*K424,2)</f>
        <v>0</v>
      </c>
      <c r="BL424" s="21" t="s">
        <v>172</v>
      </c>
      <c r="BM424" s="21" t="s">
        <v>1521</v>
      </c>
    </row>
    <row r="425" spans="2:51" s="11" customFormat="1" ht="22.5" customHeight="1">
      <c r="B425" s="159"/>
      <c r="C425" s="210"/>
      <c r="D425" s="210"/>
      <c r="E425" s="211" t="s">
        <v>5</v>
      </c>
      <c r="F425" s="329" t="s">
        <v>1522</v>
      </c>
      <c r="G425" s="330"/>
      <c r="H425" s="330"/>
      <c r="I425" s="330"/>
      <c r="J425" s="210"/>
      <c r="K425" s="212">
        <v>12</v>
      </c>
      <c r="L425" s="210"/>
      <c r="M425" s="210"/>
      <c r="N425" s="210"/>
      <c r="O425" s="210"/>
      <c r="P425" s="210"/>
      <c r="Q425" s="210"/>
      <c r="R425" s="213"/>
      <c r="T425" s="164"/>
      <c r="U425" s="160"/>
      <c r="V425" s="160"/>
      <c r="W425" s="160"/>
      <c r="X425" s="160"/>
      <c r="Y425" s="160"/>
      <c r="Z425" s="160"/>
      <c r="AA425" s="165"/>
      <c r="AT425" s="166" t="s">
        <v>179</v>
      </c>
      <c r="AU425" s="166" t="s">
        <v>135</v>
      </c>
      <c r="AV425" s="11" t="s">
        <v>135</v>
      </c>
      <c r="AW425" s="11" t="s">
        <v>35</v>
      </c>
      <c r="AX425" s="11" t="s">
        <v>21</v>
      </c>
      <c r="AY425" s="166" t="s">
        <v>167</v>
      </c>
    </row>
    <row r="426" spans="2:65" s="1" customFormat="1" ht="22.5" customHeight="1">
      <c r="B426" s="141"/>
      <c r="C426" s="225" t="s">
        <v>800</v>
      </c>
      <c r="D426" s="225" t="s">
        <v>317</v>
      </c>
      <c r="E426" s="226" t="s">
        <v>1523</v>
      </c>
      <c r="F426" s="331" t="s">
        <v>1524</v>
      </c>
      <c r="G426" s="331"/>
      <c r="H426" s="331"/>
      <c r="I426" s="331"/>
      <c r="J426" s="227" t="s">
        <v>210</v>
      </c>
      <c r="K426" s="228">
        <v>21.6</v>
      </c>
      <c r="L426" s="332"/>
      <c r="M426" s="332"/>
      <c r="N426" s="332">
        <f>ROUND(L426*K426,2)</f>
        <v>0</v>
      </c>
      <c r="O426" s="318"/>
      <c r="P426" s="318"/>
      <c r="Q426" s="318"/>
      <c r="R426" s="205"/>
      <c r="T426" s="147" t="s">
        <v>5</v>
      </c>
      <c r="U426" s="44" t="s">
        <v>43</v>
      </c>
      <c r="V426" s="148">
        <v>0</v>
      </c>
      <c r="W426" s="148">
        <f>V426*K426</f>
        <v>0</v>
      </c>
      <c r="X426" s="148">
        <v>0</v>
      </c>
      <c r="Y426" s="148">
        <f>X426*K426</f>
        <v>0</v>
      </c>
      <c r="Z426" s="148">
        <v>0</v>
      </c>
      <c r="AA426" s="149">
        <f>Z426*K426</f>
        <v>0</v>
      </c>
      <c r="AR426" s="21" t="s">
        <v>213</v>
      </c>
      <c r="AT426" s="21" t="s">
        <v>317</v>
      </c>
      <c r="AU426" s="21" t="s">
        <v>135</v>
      </c>
      <c r="AY426" s="21" t="s">
        <v>167</v>
      </c>
      <c r="BE426" s="150">
        <f>IF(U426="základní",N426,0)</f>
        <v>0</v>
      </c>
      <c r="BF426" s="150">
        <f>IF(U426="snížená",N426,0)</f>
        <v>0</v>
      </c>
      <c r="BG426" s="150">
        <f>IF(U426="zákl. přenesená",N426,0)</f>
        <v>0</v>
      </c>
      <c r="BH426" s="150">
        <f>IF(U426="sníž. přenesená",N426,0)</f>
        <v>0</v>
      </c>
      <c r="BI426" s="150">
        <f>IF(U426="nulová",N426,0)</f>
        <v>0</v>
      </c>
      <c r="BJ426" s="21" t="s">
        <v>21</v>
      </c>
      <c r="BK426" s="150">
        <f>ROUND(L426*K426,2)</f>
        <v>0</v>
      </c>
      <c r="BL426" s="21" t="s">
        <v>172</v>
      </c>
      <c r="BM426" s="21" t="s">
        <v>1525</v>
      </c>
    </row>
    <row r="427" spans="2:51" s="11" customFormat="1" ht="22.5" customHeight="1">
      <c r="B427" s="159"/>
      <c r="C427" s="210"/>
      <c r="D427" s="210"/>
      <c r="E427" s="211" t="s">
        <v>5</v>
      </c>
      <c r="F427" s="329" t="s">
        <v>1526</v>
      </c>
      <c r="G427" s="330"/>
      <c r="H427" s="330"/>
      <c r="I427" s="330"/>
      <c r="J427" s="210"/>
      <c r="K427" s="212">
        <v>21.6</v>
      </c>
      <c r="L427" s="210"/>
      <c r="M427" s="210"/>
      <c r="N427" s="210"/>
      <c r="O427" s="210"/>
      <c r="P427" s="210"/>
      <c r="Q427" s="210"/>
      <c r="R427" s="213"/>
      <c r="T427" s="164"/>
      <c r="U427" s="160"/>
      <c r="V427" s="160"/>
      <c r="W427" s="160"/>
      <c r="X427" s="160"/>
      <c r="Y427" s="160"/>
      <c r="Z427" s="160"/>
      <c r="AA427" s="165"/>
      <c r="AT427" s="166" t="s">
        <v>179</v>
      </c>
      <c r="AU427" s="166" t="s">
        <v>135</v>
      </c>
      <c r="AV427" s="11" t="s">
        <v>135</v>
      </c>
      <c r="AW427" s="11" t="s">
        <v>35</v>
      </c>
      <c r="AX427" s="11" t="s">
        <v>21</v>
      </c>
      <c r="AY427" s="166" t="s">
        <v>167</v>
      </c>
    </row>
    <row r="428" spans="2:65" s="1" customFormat="1" ht="31.5" customHeight="1">
      <c r="B428" s="141"/>
      <c r="C428" s="201" t="s">
        <v>804</v>
      </c>
      <c r="D428" s="201" t="s">
        <v>168</v>
      </c>
      <c r="E428" s="202" t="s">
        <v>248</v>
      </c>
      <c r="F428" s="317" t="s">
        <v>249</v>
      </c>
      <c r="G428" s="317"/>
      <c r="H428" s="317"/>
      <c r="I428" s="317"/>
      <c r="J428" s="203" t="s">
        <v>176</v>
      </c>
      <c r="K428" s="204">
        <v>12</v>
      </c>
      <c r="L428" s="318"/>
      <c r="M428" s="318"/>
      <c r="N428" s="318">
        <f aca="true" t="shared" si="0" ref="N428:N434">ROUND(L428*K428,2)</f>
        <v>0</v>
      </c>
      <c r="O428" s="318"/>
      <c r="P428" s="318"/>
      <c r="Q428" s="318"/>
      <c r="R428" s="205"/>
      <c r="T428" s="147" t="s">
        <v>5</v>
      </c>
      <c r="U428" s="44" t="s">
        <v>43</v>
      </c>
      <c r="V428" s="148">
        <v>0.097</v>
      </c>
      <c r="W428" s="148">
        <f aca="true" t="shared" si="1" ref="W428:W434">V428*K428</f>
        <v>1.1640000000000001</v>
      </c>
      <c r="X428" s="148">
        <v>0</v>
      </c>
      <c r="Y428" s="148">
        <f aca="true" t="shared" si="2" ref="Y428:Y434">X428*K428</f>
        <v>0</v>
      </c>
      <c r="Z428" s="148">
        <v>0</v>
      </c>
      <c r="AA428" s="149">
        <f aca="true" t="shared" si="3" ref="AA428:AA434">Z428*K428</f>
        <v>0</v>
      </c>
      <c r="AR428" s="21" t="s">
        <v>172</v>
      </c>
      <c r="AT428" s="21" t="s">
        <v>168</v>
      </c>
      <c r="AU428" s="21" t="s">
        <v>135</v>
      </c>
      <c r="AY428" s="21" t="s">
        <v>167</v>
      </c>
      <c r="BE428" s="150">
        <f aca="true" t="shared" si="4" ref="BE428:BE434">IF(U428="základní",N428,0)</f>
        <v>0</v>
      </c>
      <c r="BF428" s="150">
        <f aca="true" t="shared" si="5" ref="BF428:BF434">IF(U428="snížená",N428,0)</f>
        <v>0</v>
      </c>
      <c r="BG428" s="150">
        <f aca="true" t="shared" si="6" ref="BG428:BG434">IF(U428="zákl. přenesená",N428,0)</f>
        <v>0</v>
      </c>
      <c r="BH428" s="150">
        <f aca="true" t="shared" si="7" ref="BH428:BH434">IF(U428="sníž. přenesená",N428,0)</f>
        <v>0</v>
      </c>
      <c r="BI428" s="150">
        <f aca="true" t="shared" si="8" ref="BI428:BI434">IF(U428="nulová",N428,0)</f>
        <v>0</v>
      </c>
      <c r="BJ428" s="21" t="s">
        <v>21</v>
      </c>
      <c r="BK428" s="150">
        <f aca="true" t="shared" si="9" ref="BK428:BK434">ROUND(L428*K428,2)</f>
        <v>0</v>
      </c>
      <c r="BL428" s="21" t="s">
        <v>172</v>
      </c>
      <c r="BM428" s="21" t="s">
        <v>1198</v>
      </c>
    </row>
    <row r="429" spans="2:65" s="1" customFormat="1" ht="31.5" customHeight="1">
      <c r="B429" s="141"/>
      <c r="C429" s="201" t="s">
        <v>809</v>
      </c>
      <c r="D429" s="201" t="s">
        <v>168</v>
      </c>
      <c r="E429" s="202" t="s">
        <v>1432</v>
      </c>
      <c r="F429" s="317" t="s">
        <v>1433</v>
      </c>
      <c r="G429" s="317"/>
      <c r="H429" s="317"/>
      <c r="I429" s="317"/>
      <c r="J429" s="203" t="s">
        <v>176</v>
      </c>
      <c r="K429" s="204">
        <v>12</v>
      </c>
      <c r="L429" s="318"/>
      <c r="M429" s="318"/>
      <c r="N429" s="318">
        <f t="shared" si="0"/>
        <v>0</v>
      </c>
      <c r="O429" s="318"/>
      <c r="P429" s="318"/>
      <c r="Q429" s="318"/>
      <c r="R429" s="205"/>
      <c r="T429" s="147" t="s">
        <v>5</v>
      </c>
      <c r="U429" s="44" t="s">
        <v>43</v>
      </c>
      <c r="V429" s="148">
        <v>0.011</v>
      </c>
      <c r="W429" s="148">
        <f t="shared" si="1"/>
        <v>0.132</v>
      </c>
      <c r="X429" s="148">
        <v>0</v>
      </c>
      <c r="Y429" s="148">
        <f t="shared" si="2"/>
        <v>0</v>
      </c>
      <c r="Z429" s="148">
        <v>0</v>
      </c>
      <c r="AA429" s="149">
        <f t="shared" si="3"/>
        <v>0</v>
      </c>
      <c r="AR429" s="21" t="s">
        <v>172</v>
      </c>
      <c r="AT429" s="21" t="s">
        <v>168</v>
      </c>
      <c r="AU429" s="21" t="s">
        <v>135</v>
      </c>
      <c r="AY429" s="21" t="s">
        <v>167</v>
      </c>
      <c r="BE429" s="150">
        <f t="shared" si="4"/>
        <v>0</v>
      </c>
      <c r="BF429" s="150">
        <f t="shared" si="5"/>
        <v>0</v>
      </c>
      <c r="BG429" s="150">
        <f t="shared" si="6"/>
        <v>0</v>
      </c>
      <c r="BH429" s="150">
        <f t="shared" si="7"/>
        <v>0</v>
      </c>
      <c r="BI429" s="150">
        <f t="shared" si="8"/>
        <v>0</v>
      </c>
      <c r="BJ429" s="21" t="s">
        <v>21</v>
      </c>
      <c r="BK429" s="150">
        <f t="shared" si="9"/>
        <v>0</v>
      </c>
      <c r="BL429" s="21" t="s">
        <v>172</v>
      </c>
      <c r="BM429" s="21" t="s">
        <v>1527</v>
      </c>
    </row>
    <row r="430" spans="2:65" s="1" customFormat="1" ht="22.5" customHeight="1">
      <c r="B430" s="141"/>
      <c r="C430" s="201" t="s">
        <v>813</v>
      </c>
      <c r="D430" s="201" t="s">
        <v>168</v>
      </c>
      <c r="E430" s="202" t="s">
        <v>1435</v>
      </c>
      <c r="F430" s="317" t="s">
        <v>1436</v>
      </c>
      <c r="G430" s="317"/>
      <c r="H430" s="317"/>
      <c r="I430" s="317"/>
      <c r="J430" s="203" t="s">
        <v>176</v>
      </c>
      <c r="K430" s="204">
        <v>12</v>
      </c>
      <c r="L430" s="318"/>
      <c r="M430" s="318"/>
      <c r="N430" s="318">
        <f t="shared" si="0"/>
        <v>0</v>
      </c>
      <c r="O430" s="318"/>
      <c r="P430" s="318"/>
      <c r="Q430" s="318"/>
      <c r="R430" s="205"/>
      <c r="T430" s="147" t="s">
        <v>5</v>
      </c>
      <c r="U430" s="44" t="s">
        <v>43</v>
      </c>
      <c r="V430" s="148">
        <v>0.097</v>
      </c>
      <c r="W430" s="148">
        <f t="shared" si="1"/>
        <v>1.1640000000000001</v>
      </c>
      <c r="X430" s="148">
        <v>0</v>
      </c>
      <c r="Y430" s="148">
        <f t="shared" si="2"/>
        <v>0</v>
      </c>
      <c r="Z430" s="148">
        <v>0</v>
      </c>
      <c r="AA430" s="149">
        <f t="shared" si="3"/>
        <v>0</v>
      </c>
      <c r="AR430" s="21" t="s">
        <v>172</v>
      </c>
      <c r="AT430" s="21" t="s">
        <v>168</v>
      </c>
      <c r="AU430" s="21" t="s">
        <v>135</v>
      </c>
      <c r="AY430" s="21" t="s">
        <v>167</v>
      </c>
      <c r="BE430" s="150">
        <f t="shared" si="4"/>
        <v>0</v>
      </c>
      <c r="BF430" s="150">
        <f t="shared" si="5"/>
        <v>0</v>
      </c>
      <c r="BG430" s="150">
        <f t="shared" si="6"/>
        <v>0</v>
      </c>
      <c r="BH430" s="150">
        <f t="shared" si="7"/>
        <v>0</v>
      </c>
      <c r="BI430" s="150">
        <f t="shared" si="8"/>
        <v>0</v>
      </c>
      <c r="BJ430" s="21" t="s">
        <v>21</v>
      </c>
      <c r="BK430" s="150">
        <f t="shared" si="9"/>
        <v>0</v>
      </c>
      <c r="BL430" s="21" t="s">
        <v>172</v>
      </c>
      <c r="BM430" s="21" t="s">
        <v>1528</v>
      </c>
    </row>
    <row r="431" spans="2:65" s="1" customFormat="1" ht="31.5" customHeight="1">
      <c r="B431" s="141"/>
      <c r="C431" s="201" t="s">
        <v>817</v>
      </c>
      <c r="D431" s="201" t="s">
        <v>168</v>
      </c>
      <c r="E431" s="202" t="s">
        <v>1529</v>
      </c>
      <c r="F431" s="317" t="s">
        <v>1530</v>
      </c>
      <c r="G431" s="317"/>
      <c r="H431" s="317"/>
      <c r="I431" s="317"/>
      <c r="J431" s="203" t="s">
        <v>259</v>
      </c>
      <c r="K431" s="204">
        <v>11</v>
      </c>
      <c r="L431" s="318"/>
      <c r="M431" s="318"/>
      <c r="N431" s="318">
        <f t="shared" si="0"/>
        <v>0</v>
      </c>
      <c r="O431" s="318"/>
      <c r="P431" s="318"/>
      <c r="Q431" s="318"/>
      <c r="R431" s="205"/>
      <c r="T431" s="147" t="s">
        <v>5</v>
      </c>
      <c r="U431" s="44" t="s">
        <v>43</v>
      </c>
      <c r="V431" s="148">
        <v>0.441</v>
      </c>
      <c r="W431" s="148">
        <f t="shared" si="1"/>
        <v>4.851</v>
      </c>
      <c r="X431" s="148">
        <v>0.03174</v>
      </c>
      <c r="Y431" s="148">
        <f t="shared" si="2"/>
        <v>0.34913999999999995</v>
      </c>
      <c r="Z431" s="148">
        <v>0</v>
      </c>
      <c r="AA431" s="149">
        <f t="shared" si="3"/>
        <v>0</v>
      </c>
      <c r="AR431" s="21" t="s">
        <v>172</v>
      </c>
      <c r="AT431" s="21" t="s">
        <v>168</v>
      </c>
      <c r="AU431" s="21" t="s">
        <v>135</v>
      </c>
      <c r="AY431" s="21" t="s">
        <v>167</v>
      </c>
      <c r="BE431" s="150">
        <f t="shared" si="4"/>
        <v>0</v>
      </c>
      <c r="BF431" s="150">
        <f t="shared" si="5"/>
        <v>0</v>
      </c>
      <c r="BG431" s="150">
        <f t="shared" si="6"/>
        <v>0</v>
      </c>
      <c r="BH431" s="150">
        <f t="shared" si="7"/>
        <v>0</v>
      </c>
      <c r="BI431" s="150">
        <f t="shared" si="8"/>
        <v>0</v>
      </c>
      <c r="BJ431" s="21" t="s">
        <v>21</v>
      </c>
      <c r="BK431" s="150">
        <f t="shared" si="9"/>
        <v>0</v>
      </c>
      <c r="BL431" s="21" t="s">
        <v>172</v>
      </c>
      <c r="BM431" s="21" t="s">
        <v>1531</v>
      </c>
    </row>
    <row r="432" spans="2:65" s="1" customFormat="1" ht="31.5" customHeight="1">
      <c r="B432" s="141"/>
      <c r="C432" s="201" t="s">
        <v>821</v>
      </c>
      <c r="D432" s="201" t="s">
        <v>168</v>
      </c>
      <c r="E432" s="202" t="s">
        <v>1532</v>
      </c>
      <c r="F432" s="317" t="s">
        <v>1533</v>
      </c>
      <c r="G432" s="317"/>
      <c r="H432" s="317"/>
      <c r="I432" s="317"/>
      <c r="J432" s="203" t="s">
        <v>259</v>
      </c>
      <c r="K432" s="204">
        <v>10</v>
      </c>
      <c r="L432" s="318"/>
      <c r="M432" s="318"/>
      <c r="N432" s="318">
        <f t="shared" si="0"/>
        <v>0</v>
      </c>
      <c r="O432" s="318"/>
      <c r="P432" s="318"/>
      <c r="Q432" s="318"/>
      <c r="R432" s="205"/>
      <c r="T432" s="147" t="s">
        <v>5</v>
      </c>
      <c r="U432" s="44" t="s">
        <v>43</v>
      </c>
      <c r="V432" s="148">
        <v>0.441</v>
      </c>
      <c r="W432" s="148">
        <f t="shared" si="1"/>
        <v>4.41</v>
      </c>
      <c r="X432" s="148">
        <v>0.03174</v>
      </c>
      <c r="Y432" s="148">
        <f t="shared" si="2"/>
        <v>0.31739999999999996</v>
      </c>
      <c r="Z432" s="148">
        <v>0</v>
      </c>
      <c r="AA432" s="149">
        <f t="shared" si="3"/>
        <v>0</v>
      </c>
      <c r="AR432" s="21" t="s">
        <v>172</v>
      </c>
      <c r="AT432" s="21" t="s">
        <v>168</v>
      </c>
      <c r="AU432" s="21" t="s">
        <v>135</v>
      </c>
      <c r="AY432" s="21" t="s">
        <v>167</v>
      </c>
      <c r="BE432" s="150">
        <f t="shared" si="4"/>
        <v>0</v>
      </c>
      <c r="BF432" s="150">
        <f t="shared" si="5"/>
        <v>0</v>
      </c>
      <c r="BG432" s="150">
        <f t="shared" si="6"/>
        <v>0</v>
      </c>
      <c r="BH432" s="150">
        <f t="shared" si="7"/>
        <v>0</v>
      </c>
      <c r="BI432" s="150">
        <f t="shared" si="8"/>
        <v>0</v>
      </c>
      <c r="BJ432" s="21" t="s">
        <v>21</v>
      </c>
      <c r="BK432" s="150">
        <f t="shared" si="9"/>
        <v>0</v>
      </c>
      <c r="BL432" s="21" t="s">
        <v>172</v>
      </c>
      <c r="BM432" s="21" t="s">
        <v>1534</v>
      </c>
    </row>
    <row r="433" spans="2:65" s="1" customFormat="1" ht="22.5" customHeight="1">
      <c r="B433" s="141"/>
      <c r="C433" s="201" t="s">
        <v>825</v>
      </c>
      <c r="D433" s="201" t="s">
        <v>168</v>
      </c>
      <c r="E433" s="202" t="s">
        <v>1535</v>
      </c>
      <c r="F433" s="317" t="s">
        <v>1536</v>
      </c>
      <c r="G433" s="317"/>
      <c r="H433" s="317"/>
      <c r="I433" s="317"/>
      <c r="J433" s="203" t="s">
        <v>171</v>
      </c>
      <c r="K433" s="204">
        <v>1</v>
      </c>
      <c r="L433" s="318"/>
      <c r="M433" s="318"/>
      <c r="N433" s="318">
        <f t="shared" si="0"/>
        <v>0</v>
      </c>
      <c r="O433" s="318"/>
      <c r="P433" s="318"/>
      <c r="Q433" s="318"/>
      <c r="R433" s="205"/>
      <c r="T433" s="147" t="s">
        <v>5</v>
      </c>
      <c r="U433" s="44" t="s">
        <v>43</v>
      </c>
      <c r="V433" s="148">
        <v>0.441</v>
      </c>
      <c r="W433" s="148">
        <f t="shared" si="1"/>
        <v>0.441</v>
      </c>
      <c r="X433" s="148">
        <v>0.03174</v>
      </c>
      <c r="Y433" s="148">
        <f t="shared" si="2"/>
        <v>0.03174</v>
      </c>
      <c r="Z433" s="148">
        <v>0</v>
      </c>
      <c r="AA433" s="149">
        <f t="shared" si="3"/>
        <v>0</v>
      </c>
      <c r="AR433" s="21" t="s">
        <v>172</v>
      </c>
      <c r="AT433" s="21" t="s">
        <v>168</v>
      </c>
      <c r="AU433" s="21" t="s">
        <v>135</v>
      </c>
      <c r="AY433" s="21" t="s">
        <v>167</v>
      </c>
      <c r="BE433" s="150">
        <f t="shared" si="4"/>
        <v>0</v>
      </c>
      <c r="BF433" s="150">
        <f t="shared" si="5"/>
        <v>0</v>
      </c>
      <c r="BG433" s="150">
        <f t="shared" si="6"/>
        <v>0</v>
      </c>
      <c r="BH433" s="150">
        <f t="shared" si="7"/>
        <v>0</v>
      </c>
      <c r="BI433" s="150">
        <f t="shared" si="8"/>
        <v>0</v>
      </c>
      <c r="BJ433" s="21" t="s">
        <v>21</v>
      </c>
      <c r="BK433" s="150">
        <f t="shared" si="9"/>
        <v>0</v>
      </c>
      <c r="BL433" s="21" t="s">
        <v>172</v>
      </c>
      <c r="BM433" s="21" t="s">
        <v>1537</v>
      </c>
    </row>
    <row r="434" spans="2:65" s="1" customFormat="1" ht="22.5" customHeight="1">
      <c r="B434" s="141"/>
      <c r="C434" s="201" t="s">
        <v>829</v>
      </c>
      <c r="D434" s="201" t="s">
        <v>168</v>
      </c>
      <c r="E434" s="202" t="s">
        <v>1538</v>
      </c>
      <c r="F434" s="317" t="s">
        <v>1539</v>
      </c>
      <c r="G434" s="317"/>
      <c r="H434" s="317"/>
      <c r="I434" s="317"/>
      <c r="J434" s="203" t="s">
        <v>199</v>
      </c>
      <c r="K434" s="204">
        <v>21.7</v>
      </c>
      <c r="L434" s="318"/>
      <c r="M434" s="318"/>
      <c r="N434" s="318">
        <f t="shared" si="0"/>
        <v>0</v>
      </c>
      <c r="O434" s="318"/>
      <c r="P434" s="318"/>
      <c r="Q434" s="318"/>
      <c r="R434" s="205"/>
      <c r="T434" s="147" t="s">
        <v>5</v>
      </c>
      <c r="U434" s="44" t="s">
        <v>43</v>
      </c>
      <c r="V434" s="148">
        <v>0.031</v>
      </c>
      <c r="W434" s="148">
        <f t="shared" si="1"/>
        <v>0.6727</v>
      </c>
      <c r="X434" s="148">
        <v>0</v>
      </c>
      <c r="Y434" s="148">
        <f t="shared" si="2"/>
        <v>0</v>
      </c>
      <c r="Z434" s="148">
        <v>0</v>
      </c>
      <c r="AA434" s="149">
        <f t="shared" si="3"/>
        <v>0</v>
      </c>
      <c r="AR434" s="21" t="s">
        <v>172</v>
      </c>
      <c r="AT434" s="21" t="s">
        <v>168</v>
      </c>
      <c r="AU434" s="21" t="s">
        <v>135</v>
      </c>
      <c r="AY434" s="21" t="s">
        <v>167</v>
      </c>
      <c r="BE434" s="150">
        <f t="shared" si="4"/>
        <v>0</v>
      </c>
      <c r="BF434" s="150">
        <f t="shared" si="5"/>
        <v>0</v>
      </c>
      <c r="BG434" s="150">
        <f t="shared" si="6"/>
        <v>0</v>
      </c>
      <c r="BH434" s="150">
        <f t="shared" si="7"/>
        <v>0</v>
      </c>
      <c r="BI434" s="150">
        <f t="shared" si="8"/>
        <v>0</v>
      </c>
      <c r="BJ434" s="21" t="s">
        <v>21</v>
      </c>
      <c r="BK434" s="150">
        <f t="shared" si="9"/>
        <v>0</v>
      </c>
      <c r="BL434" s="21" t="s">
        <v>172</v>
      </c>
      <c r="BM434" s="21" t="s">
        <v>1540</v>
      </c>
    </row>
    <row r="435" spans="2:51" s="11" customFormat="1" ht="22.5" customHeight="1">
      <c r="B435" s="159"/>
      <c r="C435" s="210"/>
      <c r="D435" s="210"/>
      <c r="E435" s="211" t="s">
        <v>5</v>
      </c>
      <c r="F435" s="329" t="s">
        <v>1541</v>
      </c>
      <c r="G435" s="330"/>
      <c r="H435" s="330"/>
      <c r="I435" s="330"/>
      <c r="J435" s="210"/>
      <c r="K435" s="212">
        <v>21.7</v>
      </c>
      <c r="L435" s="210"/>
      <c r="M435" s="210"/>
      <c r="N435" s="210"/>
      <c r="O435" s="210"/>
      <c r="P435" s="210"/>
      <c r="Q435" s="210"/>
      <c r="R435" s="213"/>
      <c r="T435" s="164"/>
      <c r="U435" s="160"/>
      <c r="V435" s="160"/>
      <c r="W435" s="160"/>
      <c r="X435" s="160"/>
      <c r="Y435" s="160"/>
      <c r="Z435" s="160"/>
      <c r="AA435" s="165"/>
      <c r="AT435" s="166" t="s">
        <v>179</v>
      </c>
      <c r="AU435" s="166" t="s">
        <v>135</v>
      </c>
      <c r="AV435" s="11" t="s">
        <v>135</v>
      </c>
      <c r="AW435" s="11" t="s">
        <v>35</v>
      </c>
      <c r="AX435" s="11" t="s">
        <v>21</v>
      </c>
      <c r="AY435" s="166" t="s">
        <v>167</v>
      </c>
    </row>
    <row r="436" spans="2:65" s="1" customFormat="1" ht="31.5" customHeight="1">
      <c r="B436" s="141"/>
      <c r="C436" s="201" t="s">
        <v>833</v>
      </c>
      <c r="D436" s="201" t="s">
        <v>168</v>
      </c>
      <c r="E436" s="202" t="s">
        <v>1542</v>
      </c>
      <c r="F436" s="317" t="s">
        <v>1543</v>
      </c>
      <c r="G436" s="317"/>
      <c r="H436" s="317"/>
      <c r="I436" s="317"/>
      <c r="J436" s="203" t="s">
        <v>199</v>
      </c>
      <c r="K436" s="204">
        <v>21.7</v>
      </c>
      <c r="L436" s="318"/>
      <c r="M436" s="318"/>
      <c r="N436" s="318">
        <f>ROUND(L436*K436,2)</f>
        <v>0</v>
      </c>
      <c r="O436" s="318"/>
      <c r="P436" s="318"/>
      <c r="Q436" s="318"/>
      <c r="R436" s="205"/>
      <c r="T436" s="147" t="s">
        <v>5</v>
      </c>
      <c r="U436" s="44" t="s">
        <v>43</v>
      </c>
      <c r="V436" s="148">
        <v>0.031</v>
      </c>
      <c r="W436" s="148">
        <f>V436*K436</f>
        <v>0.6727</v>
      </c>
      <c r="X436" s="148">
        <v>0</v>
      </c>
      <c r="Y436" s="148">
        <f>X436*K436</f>
        <v>0</v>
      </c>
      <c r="Z436" s="148">
        <v>0</v>
      </c>
      <c r="AA436" s="149">
        <f>Z436*K436</f>
        <v>0</v>
      </c>
      <c r="AR436" s="21" t="s">
        <v>172</v>
      </c>
      <c r="AT436" s="21" t="s">
        <v>168</v>
      </c>
      <c r="AU436" s="21" t="s">
        <v>135</v>
      </c>
      <c r="AY436" s="21" t="s">
        <v>167</v>
      </c>
      <c r="BE436" s="150">
        <f>IF(U436="základní",N436,0)</f>
        <v>0</v>
      </c>
      <c r="BF436" s="150">
        <f>IF(U436="snížená",N436,0)</f>
        <v>0</v>
      </c>
      <c r="BG436" s="150">
        <f>IF(U436="zákl. přenesená",N436,0)</f>
        <v>0</v>
      </c>
      <c r="BH436" s="150">
        <f>IF(U436="sníž. přenesená",N436,0)</f>
        <v>0</v>
      </c>
      <c r="BI436" s="150">
        <f>IF(U436="nulová",N436,0)</f>
        <v>0</v>
      </c>
      <c r="BJ436" s="21" t="s">
        <v>21</v>
      </c>
      <c r="BK436" s="150">
        <f>ROUND(L436*K436,2)</f>
        <v>0</v>
      </c>
      <c r="BL436" s="21" t="s">
        <v>172</v>
      </c>
      <c r="BM436" s="21" t="s">
        <v>1544</v>
      </c>
    </row>
    <row r="437" spans="2:51" s="11" customFormat="1" ht="22.5" customHeight="1">
      <c r="B437" s="159"/>
      <c r="C437" s="210"/>
      <c r="D437" s="210"/>
      <c r="E437" s="211" t="s">
        <v>5</v>
      </c>
      <c r="F437" s="329" t="s">
        <v>1541</v>
      </c>
      <c r="G437" s="330"/>
      <c r="H437" s="330"/>
      <c r="I437" s="330"/>
      <c r="J437" s="210"/>
      <c r="K437" s="212">
        <v>21.7</v>
      </c>
      <c r="L437" s="210"/>
      <c r="M437" s="210"/>
      <c r="N437" s="210"/>
      <c r="O437" s="210"/>
      <c r="P437" s="210"/>
      <c r="Q437" s="210"/>
      <c r="R437" s="213"/>
      <c r="T437" s="164"/>
      <c r="U437" s="160"/>
      <c r="V437" s="160"/>
      <c r="W437" s="160"/>
      <c r="X437" s="160"/>
      <c r="Y437" s="160"/>
      <c r="Z437" s="160"/>
      <c r="AA437" s="165"/>
      <c r="AT437" s="166" t="s">
        <v>179</v>
      </c>
      <c r="AU437" s="166" t="s">
        <v>135</v>
      </c>
      <c r="AV437" s="11" t="s">
        <v>135</v>
      </c>
      <c r="AW437" s="11" t="s">
        <v>35</v>
      </c>
      <c r="AX437" s="11" t="s">
        <v>21</v>
      </c>
      <c r="AY437" s="166" t="s">
        <v>167</v>
      </c>
    </row>
    <row r="438" spans="2:65" s="1" customFormat="1" ht="22.5" customHeight="1">
      <c r="B438" s="141"/>
      <c r="C438" s="201" t="s">
        <v>837</v>
      </c>
      <c r="D438" s="201" t="s">
        <v>168</v>
      </c>
      <c r="E438" s="202" t="s">
        <v>1545</v>
      </c>
      <c r="F438" s="317" t="s">
        <v>1546</v>
      </c>
      <c r="G438" s="317"/>
      <c r="H438" s="317"/>
      <c r="I438" s="317"/>
      <c r="J438" s="203" t="s">
        <v>595</v>
      </c>
      <c r="K438" s="204">
        <v>2</v>
      </c>
      <c r="L438" s="318"/>
      <c r="M438" s="318"/>
      <c r="N438" s="318">
        <f>ROUND(L438*K438,2)</f>
        <v>0</v>
      </c>
      <c r="O438" s="318"/>
      <c r="P438" s="318"/>
      <c r="Q438" s="318"/>
      <c r="R438" s="205"/>
      <c r="T438" s="147" t="s">
        <v>5</v>
      </c>
      <c r="U438" s="44" t="s">
        <v>43</v>
      </c>
      <c r="V438" s="148">
        <v>0.441</v>
      </c>
      <c r="W438" s="148">
        <f>V438*K438</f>
        <v>0.882</v>
      </c>
      <c r="X438" s="148">
        <v>0.03174</v>
      </c>
      <c r="Y438" s="148">
        <f>X438*K438</f>
        <v>0.06348</v>
      </c>
      <c r="Z438" s="148">
        <v>0</v>
      </c>
      <c r="AA438" s="149">
        <f>Z438*K438</f>
        <v>0</v>
      </c>
      <c r="AR438" s="21" t="s">
        <v>172</v>
      </c>
      <c r="AT438" s="21" t="s">
        <v>168</v>
      </c>
      <c r="AU438" s="21" t="s">
        <v>135</v>
      </c>
      <c r="AY438" s="21" t="s">
        <v>167</v>
      </c>
      <c r="BE438" s="150">
        <f>IF(U438="základní",N438,0)</f>
        <v>0</v>
      </c>
      <c r="BF438" s="150">
        <f>IF(U438="snížená",N438,0)</f>
        <v>0</v>
      </c>
      <c r="BG438" s="150">
        <f>IF(U438="zákl. přenesená",N438,0)</f>
        <v>0</v>
      </c>
      <c r="BH438" s="150">
        <f>IF(U438="sníž. přenesená",N438,0)</f>
        <v>0</v>
      </c>
      <c r="BI438" s="150">
        <f>IF(U438="nulová",N438,0)</f>
        <v>0</v>
      </c>
      <c r="BJ438" s="21" t="s">
        <v>21</v>
      </c>
      <c r="BK438" s="150">
        <f>ROUND(L438*K438,2)</f>
        <v>0</v>
      </c>
      <c r="BL438" s="21" t="s">
        <v>172</v>
      </c>
      <c r="BM438" s="21" t="s">
        <v>1547</v>
      </c>
    </row>
    <row r="439" spans="2:65" s="1" customFormat="1" ht="22.5" customHeight="1">
      <c r="B439" s="141"/>
      <c r="C439" s="201" t="s">
        <v>841</v>
      </c>
      <c r="D439" s="201" t="s">
        <v>168</v>
      </c>
      <c r="E439" s="202" t="s">
        <v>1548</v>
      </c>
      <c r="F439" s="317" t="s">
        <v>1549</v>
      </c>
      <c r="G439" s="317"/>
      <c r="H439" s="317"/>
      <c r="I439" s="317"/>
      <c r="J439" s="203" t="s">
        <v>595</v>
      </c>
      <c r="K439" s="204">
        <v>2</v>
      </c>
      <c r="L439" s="318"/>
      <c r="M439" s="318"/>
      <c r="N439" s="318">
        <f>ROUND(L439*K439,2)</f>
        <v>0</v>
      </c>
      <c r="O439" s="318"/>
      <c r="P439" s="318"/>
      <c r="Q439" s="318"/>
      <c r="R439" s="205"/>
      <c r="T439" s="147" t="s">
        <v>5</v>
      </c>
      <c r="U439" s="44" t="s">
        <v>43</v>
      </c>
      <c r="V439" s="148">
        <v>0.441</v>
      </c>
      <c r="W439" s="148">
        <f>V439*K439</f>
        <v>0.882</v>
      </c>
      <c r="X439" s="148">
        <v>0.03174</v>
      </c>
      <c r="Y439" s="148">
        <f>X439*K439</f>
        <v>0.06348</v>
      </c>
      <c r="Z439" s="148">
        <v>0</v>
      </c>
      <c r="AA439" s="149">
        <f>Z439*K439</f>
        <v>0</v>
      </c>
      <c r="AR439" s="21" t="s">
        <v>172</v>
      </c>
      <c r="AT439" s="21" t="s">
        <v>168</v>
      </c>
      <c r="AU439" s="21" t="s">
        <v>135</v>
      </c>
      <c r="AY439" s="21" t="s">
        <v>167</v>
      </c>
      <c r="BE439" s="150">
        <f>IF(U439="základní",N439,0)</f>
        <v>0</v>
      </c>
      <c r="BF439" s="150">
        <f>IF(U439="snížená",N439,0)</f>
        <v>0</v>
      </c>
      <c r="BG439" s="150">
        <f>IF(U439="zákl. přenesená",N439,0)</f>
        <v>0</v>
      </c>
      <c r="BH439" s="150">
        <f>IF(U439="sníž. přenesená",N439,0)</f>
        <v>0</v>
      </c>
      <c r="BI439" s="150">
        <f>IF(U439="nulová",N439,0)</f>
        <v>0</v>
      </c>
      <c r="BJ439" s="21" t="s">
        <v>21</v>
      </c>
      <c r="BK439" s="150">
        <f>ROUND(L439*K439,2)</f>
        <v>0</v>
      </c>
      <c r="BL439" s="21" t="s">
        <v>172</v>
      </c>
      <c r="BM439" s="21" t="s">
        <v>1550</v>
      </c>
    </row>
    <row r="440" spans="2:63" s="9" customFormat="1" ht="29.85" customHeight="1">
      <c r="B440" s="130"/>
      <c r="C440" s="222"/>
      <c r="D440" s="223" t="s">
        <v>1094</v>
      </c>
      <c r="E440" s="223"/>
      <c r="F440" s="223"/>
      <c r="G440" s="223"/>
      <c r="H440" s="223"/>
      <c r="I440" s="223"/>
      <c r="J440" s="223"/>
      <c r="K440" s="223"/>
      <c r="L440" s="223"/>
      <c r="M440" s="223"/>
      <c r="N440" s="335">
        <f>BK440</f>
        <v>0</v>
      </c>
      <c r="O440" s="336"/>
      <c r="P440" s="336"/>
      <c r="Q440" s="336"/>
      <c r="R440" s="224"/>
      <c r="T440" s="134"/>
      <c r="U440" s="131"/>
      <c r="V440" s="131"/>
      <c r="W440" s="135">
        <f>SUM(W441:W447)</f>
        <v>924.576926</v>
      </c>
      <c r="X440" s="131"/>
      <c r="Y440" s="135">
        <f>SUM(Y441:Y447)</f>
        <v>3.4829312699999995</v>
      </c>
      <c r="Z440" s="131"/>
      <c r="AA440" s="136">
        <f>SUM(AA441:AA447)</f>
        <v>0</v>
      </c>
      <c r="AR440" s="137" t="s">
        <v>21</v>
      </c>
      <c r="AT440" s="138" t="s">
        <v>77</v>
      </c>
      <c r="AU440" s="138" t="s">
        <v>21</v>
      </c>
      <c r="AY440" s="137" t="s">
        <v>167</v>
      </c>
      <c r="BK440" s="139">
        <f>SUM(BK441:BK447)</f>
        <v>0</v>
      </c>
    </row>
    <row r="441" spans="2:65" s="1" customFormat="1" ht="22.5" customHeight="1">
      <c r="B441" s="141"/>
      <c r="C441" s="201" t="s">
        <v>845</v>
      </c>
      <c r="D441" s="201" t="s">
        <v>168</v>
      </c>
      <c r="E441" s="202" t="s">
        <v>1551</v>
      </c>
      <c r="F441" s="317" t="s">
        <v>1552</v>
      </c>
      <c r="G441" s="317"/>
      <c r="H441" s="317"/>
      <c r="I441" s="317"/>
      <c r="J441" s="203" t="s">
        <v>199</v>
      </c>
      <c r="K441" s="204">
        <f>+K442</f>
        <v>2569.567</v>
      </c>
      <c r="L441" s="318"/>
      <c r="M441" s="318"/>
      <c r="N441" s="318">
        <f>ROUND(L441*K441,2)</f>
        <v>0</v>
      </c>
      <c r="O441" s="318"/>
      <c r="P441" s="318"/>
      <c r="Q441" s="318"/>
      <c r="R441" s="205"/>
      <c r="T441" s="147" t="s">
        <v>5</v>
      </c>
      <c r="U441" s="44" t="s">
        <v>43</v>
      </c>
      <c r="V441" s="148">
        <v>0.041</v>
      </c>
      <c r="W441" s="148">
        <f>V441*K441</f>
        <v>105.352247</v>
      </c>
      <c r="X441" s="148">
        <v>0</v>
      </c>
      <c r="Y441" s="148">
        <f>X441*K441</f>
        <v>0</v>
      </c>
      <c r="Z441" s="148">
        <v>0</v>
      </c>
      <c r="AA441" s="149">
        <f>Z441*K441</f>
        <v>0</v>
      </c>
      <c r="AR441" s="21" t="s">
        <v>172</v>
      </c>
      <c r="AT441" s="21" t="s">
        <v>168</v>
      </c>
      <c r="AU441" s="21" t="s">
        <v>135</v>
      </c>
      <c r="AY441" s="21" t="s">
        <v>167</v>
      </c>
      <c r="BE441" s="150">
        <f>IF(U441="základní",N441,0)</f>
        <v>0</v>
      </c>
      <c r="BF441" s="150">
        <f>IF(U441="snížená",N441,0)</f>
        <v>0</v>
      </c>
      <c r="BG441" s="150">
        <f>IF(U441="zákl. přenesená",N441,0)</f>
        <v>0</v>
      </c>
      <c r="BH441" s="150">
        <f>IF(U441="sníž. přenesená",N441,0)</f>
        <v>0</v>
      </c>
      <c r="BI441" s="150">
        <f>IF(U441="nulová",N441,0)</f>
        <v>0</v>
      </c>
      <c r="BJ441" s="21" t="s">
        <v>21</v>
      </c>
      <c r="BK441" s="150">
        <f>ROUND(L441*K441,2)</f>
        <v>0</v>
      </c>
      <c r="BL441" s="21" t="s">
        <v>172</v>
      </c>
      <c r="BM441" s="21" t="s">
        <v>1553</v>
      </c>
    </row>
    <row r="442" spans="2:51" s="11" customFormat="1" ht="22.5" customHeight="1">
      <c r="B442" s="159"/>
      <c r="C442" s="210"/>
      <c r="D442" s="210"/>
      <c r="E442" s="211" t="s">
        <v>5</v>
      </c>
      <c r="F442" s="329" t="s">
        <v>1554</v>
      </c>
      <c r="G442" s="330"/>
      <c r="H442" s="330"/>
      <c r="I442" s="330"/>
      <c r="J442" s="210"/>
      <c r="K442" s="212">
        <f>2335.97*1.1</f>
        <v>2569.567</v>
      </c>
      <c r="L442" s="210"/>
      <c r="M442" s="210"/>
      <c r="N442" s="210"/>
      <c r="O442" s="210"/>
      <c r="P442" s="210"/>
      <c r="Q442" s="210"/>
      <c r="R442" s="213"/>
      <c r="T442" s="164"/>
      <c r="U442" s="160"/>
      <c r="V442" s="160"/>
      <c r="W442" s="160"/>
      <c r="X442" s="160"/>
      <c r="Y442" s="160"/>
      <c r="Z442" s="160"/>
      <c r="AA442" s="165"/>
      <c r="AT442" s="166" t="s">
        <v>179</v>
      </c>
      <c r="AU442" s="166" t="s">
        <v>135</v>
      </c>
      <c r="AV442" s="11" t="s">
        <v>135</v>
      </c>
      <c r="AW442" s="11" t="s">
        <v>35</v>
      </c>
      <c r="AX442" s="11" t="s">
        <v>21</v>
      </c>
      <c r="AY442" s="166" t="s">
        <v>167</v>
      </c>
    </row>
    <row r="443" spans="2:65" s="1" customFormat="1" ht="31.5" customHeight="1">
      <c r="B443" s="141"/>
      <c r="C443" s="201" t="s">
        <v>849</v>
      </c>
      <c r="D443" s="201" t="s">
        <v>168</v>
      </c>
      <c r="E443" s="202" t="s">
        <v>1555</v>
      </c>
      <c r="F443" s="317" t="s">
        <v>1556</v>
      </c>
      <c r="G443" s="317"/>
      <c r="H443" s="317"/>
      <c r="I443" s="317"/>
      <c r="J443" s="203" t="s">
        <v>199</v>
      </c>
      <c r="K443" s="204">
        <f>+K441</f>
        <v>2569.567</v>
      </c>
      <c r="L443" s="318"/>
      <c r="M443" s="318"/>
      <c r="N443" s="318">
        <f>ROUND(L443*K443,2)</f>
        <v>0</v>
      </c>
      <c r="O443" s="318"/>
      <c r="P443" s="318"/>
      <c r="Q443" s="318"/>
      <c r="R443" s="205"/>
      <c r="T443" s="147" t="s">
        <v>5</v>
      </c>
      <c r="U443" s="44" t="s">
        <v>43</v>
      </c>
      <c r="V443" s="148">
        <v>0.099</v>
      </c>
      <c r="W443" s="148">
        <f>V443*K443</f>
        <v>254.387133</v>
      </c>
      <c r="X443" s="148">
        <v>0</v>
      </c>
      <c r="Y443" s="148">
        <f>X443*K443</f>
        <v>0</v>
      </c>
      <c r="Z443" s="148">
        <v>0</v>
      </c>
      <c r="AA443" s="149">
        <f>Z443*K443</f>
        <v>0</v>
      </c>
      <c r="AR443" s="21" t="s">
        <v>172</v>
      </c>
      <c r="AT443" s="21" t="s">
        <v>168</v>
      </c>
      <c r="AU443" s="21" t="s">
        <v>135</v>
      </c>
      <c r="AY443" s="21" t="s">
        <v>167</v>
      </c>
      <c r="BE443" s="150">
        <f>IF(U443="základní",N443,0)</f>
        <v>0</v>
      </c>
      <c r="BF443" s="150">
        <f>IF(U443="snížená",N443,0)</f>
        <v>0</v>
      </c>
      <c r="BG443" s="150">
        <f>IF(U443="zákl. přenesená",N443,0)</f>
        <v>0</v>
      </c>
      <c r="BH443" s="150">
        <f>IF(U443="sníž. přenesená",N443,0)</f>
        <v>0</v>
      </c>
      <c r="BI443" s="150">
        <f>IF(U443="nulová",N443,0)</f>
        <v>0</v>
      </c>
      <c r="BJ443" s="21" t="s">
        <v>21</v>
      </c>
      <c r="BK443" s="150">
        <f>ROUND(L443*K443,2)</f>
        <v>0</v>
      </c>
      <c r="BL443" s="21" t="s">
        <v>172</v>
      </c>
      <c r="BM443" s="21" t="s">
        <v>1557</v>
      </c>
    </row>
    <row r="444" spans="2:65" s="1" customFormat="1" ht="31.5" customHeight="1">
      <c r="B444" s="141"/>
      <c r="C444" s="201" t="s">
        <v>854</v>
      </c>
      <c r="D444" s="201" t="s">
        <v>168</v>
      </c>
      <c r="E444" s="202" t="s">
        <v>1558</v>
      </c>
      <c r="F444" s="317" t="s">
        <v>1559</v>
      </c>
      <c r="G444" s="317"/>
      <c r="H444" s="317"/>
      <c r="I444" s="317"/>
      <c r="J444" s="203" t="s">
        <v>199</v>
      </c>
      <c r="K444" s="204">
        <f>+K443</f>
        <v>2569.567</v>
      </c>
      <c r="L444" s="318"/>
      <c r="M444" s="318"/>
      <c r="N444" s="318">
        <f>ROUND(L444*K444,2)</f>
        <v>0</v>
      </c>
      <c r="O444" s="318"/>
      <c r="P444" s="318"/>
      <c r="Q444" s="318"/>
      <c r="R444" s="205"/>
      <c r="T444" s="147" t="s">
        <v>5</v>
      </c>
      <c r="U444" s="44" t="s">
        <v>43</v>
      </c>
      <c r="V444" s="148">
        <v>0.09</v>
      </c>
      <c r="W444" s="148">
        <f>V444*K444</f>
        <v>231.26103</v>
      </c>
      <c r="X444" s="148">
        <v>0</v>
      </c>
      <c r="Y444" s="148">
        <f>X444*K444</f>
        <v>0</v>
      </c>
      <c r="Z444" s="148">
        <v>0</v>
      </c>
      <c r="AA444" s="149">
        <f>Z444*K444</f>
        <v>0</v>
      </c>
      <c r="AR444" s="21" t="s">
        <v>172</v>
      </c>
      <c r="AT444" s="21" t="s">
        <v>168</v>
      </c>
      <c r="AU444" s="21" t="s">
        <v>135</v>
      </c>
      <c r="AY444" s="21" t="s">
        <v>167</v>
      </c>
      <c r="BE444" s="150">
        <f>IF(U444="základní",N444,0)</f>
        <v>0</v>
      </c>
      <c r="BF444" s="150">
        <f>IF(U444="snížená",N444,0)</f>
        <v>0</v>
      </c>
      <c r="BG444" s="150">
        <f>IF(U444="zákl. přenesená",N444,0)</f>
        <v>0</v>
      </c>
      <c r="BH444" s="150">
        <f>IF(U444="sníž. přenesená",N444,0)</f>
        <v>0</v>
      </c>
      <c r="BI444" s="150">
        <f>IF(U444="nulová",N444,0)</f>
        <v>0</v>
      </c>
      <c r="BJ444" s="21" t="s">
        <v>21</v>
      </c>
      <c r="BK444" s="150">
        <f>ROUND(L444*K444,2)</f>
        <v>0</v>
      </c>
      <c r="BL444" s="21" t="s">
        <v>172</v>
      </c>
      <c r="BM444" s="21" t="s">
        <v>1560</v>
      </c>
    </row>
    <row r="445" spans="2:65" s="1" customFormat="1" ht="31.5" customHeight="1">
      <c r="B445" s="141"/>
      <c r="C445" s="201" t="s">
        <v>859</v>
      </c>
      <c r="D445" s="201" t="s">
        <v>168</v>
      </c>
      <c r="E445" s="202" t="s">
        <v>1561</v>
      </c>
      <c r="F445" s="317" t="s">
        <v>1562</v>
      </c>
      <c r="G445" s="317"/>
      <c r="H445" s="317"/>
      <c r="I445" s="317"/>
      <c r="J445" s="203" t="s">
        <v>199</v>
      </c>
      <c r="K445" s="204">
        <f>+K446</f>
        <v>4905.536999999999</v>
      </c>
      <c r="L445" s="318"/>
      <c r="M445" s="318"/>
      <c r="N445" s="318">
        <f>ROUND(L445*K445,2)</f>
        <v>0</v>
      </c>
      <c r="O445" s="318"/>
      <c r="P445" s="318"/>
      <c r="Q445" s="318"/>
      <c r="R445" s="205"/>
      <c r="T445" s="147" t="s">
        <v>5</v>
      </c>
      <c r="U445" s="44" t="s">
        <v>43</v>
      </c>
      <c r="V445" s="148">
        <v>0.066</v>
      </c>
      <c r="W445" s="148">
        <f>V445*K445</f>
        <v>323.76544199999995</v>
      </c>
      <c r="X445" s="148">
        <v>0</v>
      </c>
      <c r="Y445" s="148">
        <f>X445*K445</f>
        <v>0</v>
      </c>
      <c r="Z445" s="148">
        <v>0</v>
      </c>
      <c r="AA445" s="149">
        <f>Z445*K445</f>
        <v>0</v>
      </c>
      <c r="AR445" s="21" t="s">
        <v>172</v>
      </c>
      <c r="AT445" s="21" t="s">
        <v>168</v>
      </c>
      <c r="AU445" s="21" t="s">
        <v>135</v>
      </c>
      <c r="AY445" s="21" t="s">
        <v>167</v>
      </c>
      <c r="BE445" s="150">
        <f>IF(U445="základní",N445,0)</f>
        <v>0</v>
      </c>
      <c r="BF445" s="150">
        <f>IF(U445="snížená",N445,0)</f>
        <v>0</v>
      </c>
      <c r="BG445" s="150">
        <f>IF(U445="zákl. přenesená",N445,0)</f>
        <v>0</v>
      </c>
      <c r="BH445" s="150">
        <f>IF(U445="sníž. přenesená",N445,0)</f>
        <v>0</v>
      </c>
      <c r="BI445" s="150">
        <f>IF(U445="nulová",N445,0)</f>
        <v>0</v>
      </c>
      <c r="BJ445" s="21" t="s">
        <v>21</v>
      </c>
      <c r="BK445" s="150">
        <f>ROUND(L445*K445,2)</f>
        <v>0</v>
      </c>
      <c r="BL445" s="21" t="s">
        <v>172</v>
      </c>
      <c r="BM445" s="21" t="s">
        <v>1563</v>
      </c>
    </row>
    <row r="446" spans="2:51" s="11" customFormat="1" ht="22.5" customHeight="1">
      <c r="B446" s="159"/>
      <c r="C446" s="210"/>
      <c r="D446" s="210"/>
      <c r="E446" s="211" t="s">
        <v>5</v>
      </c>
      <c r="F446" s="329" t="s">
        <v>1564</v>
      </c>
      <c r="G446" s="330"/>
      <c r="H446" s="330"/>
      <c r="I446" s="330"/>
      <c r="J446" s="210"/>
      <c r="K446" s="212">
        <f>2335.97*2.1</f>
        <v>4905.536999999999</v>
      </c>
      <c r="L446" s="210"/>
      <c r="M446" s="210"/>
      <c r="N446" s="210"/>
      <c r="O446" s="210"/>
      <c r="P446" s="210"/>
      <c r="Q446" s="210"/>
      <c r="R446" s="213"/>
      <c r="T446" s="164"/>
      <c r="U446" s="160"/>
      <c r="V446" s="160"/>
      <c r="W446" s="160"/>
      <c r="X446" s="160"/>
      <c r="Y446" s="160"/>
      <c r="Z446" s="160"/>
      <c r="AA446" s="165"/>
      <c r="AT446" s="166" t="s">
        <v>179</v>
      </c>
      <c r="AU446" s="166" t="s">
        <v>135</v>
      </c>
      <c r="AV446" s="11" t="s">
        <v>135</v>
      </c>
      <c r="AW446" s="11" t="s">
        <v>35</v>
      </c>
      <c r="AX446" s="11" t="s">
        <v>21</v>
      </c>
      <c r="AY446" s="166" t="s">
        <v>167</v>
      </c>
    </row>
    <row r="447" spans="2:65" s="1" customFormat="1" ht="31.5" customHeight="1">
      <c r="B447" s="141"/>
      <c r="C447" s="201" t="s">
        <v>864</v>
      </c>
      <c r="D447" s="201" t="s">
        <v>168</v>
      </c>
      <c r="E447" s="202" t="s">
        <v>1565</v>
      </c>
      <c r="F447" s="317" t="s">
        <v>1566</v>
      </c>
      <c r="G447" s="317"/>
      <c r="H447" s="317"/>
      <c r="I447" s="317"/>
      <c r="J447" s="203" t="s">
        <v>199</v>
      </c>
      <c r="K447" s="204">
        <f>+K446</f>
        <v>4905.536999999999</v>
      </c>
      <c r="L447" s="318"/>
      <c r="M447" s="318"/>
      <c r="N447" s="318">
        <f>ROUND(L447*K447,2)</f>
        <v>0</v>
      </c>
      <c r="O447" s="318"/>
      <c r="P447" s="318"/>
      <c r="Q447" s="318"/>
      <c r="R447" s="205"/>
      <c r="T447" s="147" t="s">
        <v>5</v>
      </c>
      <c r="U447" s="44" t="s">
        <v>43</v>
      </c>
      <c r="V447" s="148">
        <v>0.002</v>
      </c>
      <c r="W447" s="148">
        <f>V447*K447</f>
        <v>9.811074</v>
      </c>
      <c r="X447" s="148">
        <v>0.00071</v>
      </c>
      <c r="Y447" s="148">
        <f>X447*K447</f>
        <v>3.4829312699999995</v>
      </c>
      <c r="Z447" s="148">
        <v>0</v>
      </c>
      <c r="AA447" s="149">
        <f>Z447*K447</f>
        <v>0</v>
      </c>
      <c r="AR447" s="21" t="s">
        <v>172</v>
      </c>
      <c r="AT447" s="21" t="s">
        <v>168</v>
      </c>
      <c r="AU447" s="21" t="s">
        <v>135</v>
      </c>
      <c r="AY447" s="21" t="s">
        <v>167</v>
      </c>
      <c r="BE447" s="150">
        <f>IF(U447="základní",N447,0)</f>
        <v>0</v>
      </c>
      <c r="BF447" s="150">
        <f>IF(U447="snížená",N447,0)</f>
        <v>0</v>
      </c>
      <c r="BG447" s="150">
        <f>IF(U447="zákl. přenesená",N447,0)</f>
        <v>0</v>
      </c>
      <c r="BH447" s="150">
        <f>IF(U447="sníž. přenesená",N447,0)</f>
        <v>0</v>
      </c>
      <c r="BI447" s="150">
        <f>IF(U447="nulová",N447,0)</f>
        <v>0</v>
      </c>
      <c r="BJ447" s="21" t="s">
        <v>21</v>
      </c>
      <c r="BK447" s="150">
        <f>ROUND(L447*K447,2)</f>
        <v>0</v>
      </c>
      <c r="BL447" s="21" t="s">
        <v>172</v>
      </c>
      <c r="BM447" s="21" t="s">
        <v>1567</v>
      </c>
    </row>
    <row r="448" spans="2:63" s="9" customFormat="1" ht="29.85" customHeight="1">
      <c r="B448" s="130"/>
      <c r="C448" s="222"/>
      <c r="D448" s="223" t="s">
        <v>150</v>
      </c>
      <c r="E448" s="223"/>
      <c r="F448" s="223"/>
      <c r="G448" s="223"/>
      <c r="H448" s="223"/>
      <c r="I448" s="223"/>
      <c r="J448" s="223"/>
      <c r="K448" s="223"/>
      <c r="L448" s="223"/>
      <c r="M448" s="223"/>
      <c r="N448" s="335">
        <f>BK448</f>
        <v>0</v>
      </c>
      <c r="O448" s="336"/>
      <c r="P448" s="336"/>
      <c r="Q448" s="336"/>
      <c r="R448" s="224"/>
      <c r="T448" s="134"/>
      <c r="U448" s="131"/>
      <c r="V448" s="131"/>
      <c r="W448" s="135">
        <f>SUM(W449:W485)</f>
        <v>8608.6431</v>
      </c>
      <c r="X448" s="131"/>
      <c r="Y448" s="135">
        <f>SUM(Y449:Y485)</f>
        <v>665.0589</v>
      </c>
      <c r="Z448" s="131"/>
      <c r="AA448" s="136">
        <f>SUM(AA449:AA485)</f>
        <v>0</v>
      </c>
      <c r="AR448" s="137" t="s">
        <v>21</v>
      </c>
      <c r="AT448" s="138" t="s">
        <v>77</v>
      </c>
      <c r="AU448" s="138" t="s">
        <v>21</v>
      </c>
      <c r="AY448" s="137" t="s">
        <v>167</v>
      </c>
      <c r="BK448" s="139">
        <f>SUM(BK449:BK485)</f>
        <v>0</v>
      </c>
    </row>
    <row r="449" spans="2:65" s="1" customFormat="1" ht="44.25" customHeight="1">
      <c r="B449" s="141"/>
      <c r="C449" s="201" t="s">
        <v>868</v>
      </c>
      <c r="D449" s="201" t="s">
        <v>168</v>
      </c>
      <c r="E449" s="202" t="s">
        <v>1568</v>
      </c>
      <c r="F449" s="317" t="s">
        <v>1569</v>
      </c>
      <c r="G449" s="317"/>
      <c r="H449" s="317"/>
      <c r="I449" s="317"/>
      <c r="J449" s="203" t="s">
        <v>259</v>
      </c>
      <c r="K449" s="204">
        <v>130.35</v>
      </c>
      <c r="L449" s="318"/>
      <c r="M449" s="318"/>
      <c r="N449" s="318">
        <f>ROUND(L449*K449,2)</f>
        <v>0</v>
      </c>
      <c r="O449" s="318"/>
      <c r="P449" s="318"/>
      <c r="Q449" s="318"/>
      <c r="R449" s="205"/>
      <c r="T449" s="147" t="s">
        <v>5</v>
      </c>
      <c r="U449" s="44" t="s">
        <v>43</v>
      </c>
      <c r="V449" s="148">
        <v>0.31</v>
      </c>
      <c r="W449" s="148">
        <f>V449*K449</f>
        <v>40.4085</v>
      </c>
      <c r="X449" s="148">
        <v>0</v>
      </c>
      <c r="Y449" s="148">
        <f>X449*K449</f>
        <v>0</v>
      </c>
      <c r="Z449" s="148">
        <v>0</v>
      </c>
      <c r="AA449" s="149">
        <f>Z449*K449</f>
        <v>0</v>
      </c>
      <c r="AR449" s="21" t="s">
        <v>172</v>
      </c>
      <c r="AT449" s="21" t="s">
        <v>168</v>
      </c>
      <c r="AU449" s="21" t="s">
        <v>135</v>
      </c>
      <c r="AY449" s="21" t="s">
        <v>167</v>
      </c>
      <c r="BE449" s="150">
        <f>IF(U449="základní",N449,0)</f>
        <v>0</v>
      </c>
      <c r="BF449" s="150">
        <f>IF(U449="snížená",N449,0)</f>
        <v>0</v>
      </c>
      <c r="BG449" s="150">
        <f>IF(U449="zákl. přenesená",N449,0)</f>
        <v>0</v>
      </c>
      <c r="BH449" s="150">
        <f>IF(U449="sníž. přenesená",N449,0)</f>
        <v>0</v>
      </c>
      <c r="BI449" s="150">
        <f>IF(U449="nulová",N449,0)</f>
        <v>0</v>
      </c>
      <c r="BJ449" s="21" t="s">
        <v>21</v>
      </c>
      <c r="BK449" s="150">
        <f>ROUND(L449*K449,2)</f>
        <v>0</v>
      </c>
      <c r="BL449" s="21" t="s">
        <v>172</v>
      </c>
      <c r="BM449" s="21" t="s">
        <v>1570</v>
      </c>
    </row>
    <row r="450" spans="2:51" s="10" customFormat="1" ht="22.5" customHeight="1">
      <c r="B450" s="151"/>
      <c r="C450" s="206"/>
      <c r="D450" s="206"/>
      <c r="E450" s="207" t="s">
        <v>5</v>
      </c>
      <c r="F450" s="319" t="s">
        <v>1365</v>
      </c>
      <c r="G450" s="320"/>
      <c r="H450" s="320"/>
      <c r="I450" s="320"/>
      <c r="J450" s="206"/>
      <c r="K450" s="208" t="s">
        <v>5</v>
      </c>
      <c r="L450" s="206"/>
      <c r="M450" s="206"/>
      <c r="N450" s="206"/>
      <c r="O450" s="206"/>
      <c r="P450" s="206"/>
      <c r="Q450" s="206"/>
      <c r="R450" s="209"/>
      <c r="T450" s="156"/>
      <c r="U450" s="152"/>
      <c r="V450" s="152"/>
      <c r="W450" s="152"/>
      <c r="X450" s="152"/>
      <c r="Y450" s="152"/>
      <c r="Z450" s="152"/>
      <c r="AA450" s="157"/>
      <c r="AT450" s="158" t="s">
        <v>179</v>
      </c>
      <c r="AU450" s="158" t="s">
        <v>135</v>
      </c>
      <c r="AV450" s="10" t="s">
        <v>21</v>
      </c>
      <c r="AW450" s="10" t="s">
        <v>35</v>
      </c>
      <c r="AX450" s="10" t="s">
        <v>78</v>
      </c>
      <c r="AY450" s="158" t="s">
        <v>167</v>
      </c>
    </row>
    <row r="451" spans="2:51" s="11" customFormat="1" ht="22.5" customHeight="1">
      <c r="B451" s="159"/>
      <c r="C451" s="210"/>
      <c r="D451" s="210"/>
      <c r="E451" s="211" t="s">
        <v>5</v>
      </c>
      <c r="F451" s="321" t="s">
        <v>1366</v>
      </c>
      <c r="G451" s="322"/>
      <c r="H451" s="322"/>
      <c r="I451" s="322"/>
      <c r="J451" s="210"/>
      <c r="K451" s="212">
        <v>130.35</v>
      </c>
      <c r="L451" s="210"/>
      <c r="M451" s="210"/>
      <c r="N451" s="210"/>
      <c r="O451" s="210"/>
      <c r="P451" s="210"/>
      <c r="Q451" s="210"/>
      <c r="R451" s="213"/>
      <c r="T451" s="164"/>
      <c r="U451" s="160"/>
      <c r="V451" s="160"/>
      <c r="W451" s="160"/>
      <c r="X451" s="160"/>
      <c r="Y451" s="160"/>
      <c r="Z451" s="160"/>
      <c r="AA451" s="165"/>
      <c r="AT451" s="166" t="s">
        <v>179</v>
      </c>
      <c r="AU451" s="166" t="s">
        <v>135</v>
      </c>
      <c r="AV451" s="11" t="s">
        <v>135</v>
      </c>
      <c r="AW451" s="11" t="s">
        <v>35</v>
      </c>
      <c r="AX451" s="11" t="s">
        <v>21</v>
      </c>
      <c r="AY451" s="166" t="s">
        <v>167</v>
      </c>
    </row>
    <row r="452" spans="2:65" s="1" customFormat="1" ht="31.5" customHeight="1">
      <c r="B452" s="141"/>
      <c r="C452" s="225" t="s">
        <v>873</v>
      </c>
      <c r="D452" s="225" t="s">
        <v>317</v>
      </c>
      <c r="E452" s="226" t="s">
        <v>1571</v>
      </c>
      <c r="F452" s="331" t="s">
        <v>1572</v>
      </c>
      <c r="G452" s="331"/>
      <c r="H452" s="331"/>
      <c r="I452" s="331"/>
      <c r="J452" s="227" t="s">
        <v>259</v>
      </c>
      <c r="K452" s="228">
        <v>135</v>
      </c>
      <c r="L452" s="332"/>
      <c r="M452" s="332"/>
      <c r="N452" s="332">
        <f>ROUND(L452*K452,2)</f>
        <v>0</v>
      </c>
      <c r="O452" s="318"/>
      <c r="P452" s="318"/>
      <c r="Q452" s="318"/>
      <c r="R452" s="205"/>
      <c r="T452" s="147" t="s">
        <v>5</v>
      </c>
      <c r="U452" s="44" t="s">
        <v>43</v>
      </c>
      <c r="V452" s="148">
        <v>0</v>
      </c>
      <c r="W452" s="148">
        <f>V452*K452</f>
        <v>0</v>
      </c>
      <c r="X452" s="148">
        <v>0.00212</v>
      </c>
      <c r="Y452" s="148">
        <f>X452*K452</f>
        <v>0.2862</v>
      </c>
      <c r="Z452" s="148">
        <v>0</v>
      </c>
      <c r="AA452" s="149">
        <f>Z452*K452</f>
        <v>0</v>
      </c>
      <c r="AR452" s="21" t="s">
        <v>213</v>
      </c>
      <c r="AT452" s="21" t="s">
        <v>317</v>
      </c>
      <c r="AU452" s="21" t="s">
        <v>135</v>
      </c>
      <c r="AY452" s="21" t="s">
        <v>167</v>
      </c>
      <c r="BE452" s="150">
        <f>IF(U452="základní",N452,0)</f>
        <v>0</v>
      </c>
      <c r="BF452" s="150">
        <f>IF(U452="snížená",N452,0)</f>
        <v>0</v>
      </c>
      <c r="BG452" s="150">
        <f>IF(U452="zákl. přenesená",N452,0)</f>
        <v>0</v>
      </c>
      <c r="BH452" s="150">
        <f>IF(U452="sníž. přenesená",N452,0)</f>
        <v>0</v>
      </c>
      <c r="BI452" s="150">
        <f>IF(U452="nulová",N452,0)</f>
        <v>0</v>
      </c>
      <c r="BJ452" s="21" t="s">
        <v>21</v>
      </c>
      <c r="BK452" s="150">
        <f>ROUND(L452*K452,2)</f>
        <v>0</v>
      </c>
      <c r="BL452" s="21" t="s">
        <v>172</v>
      </c>
      <c r="BM452" s="21" t="s">
        <v>1573</v>
      </c>
    </row>
    <row r="453" spans="2:65" s="1" customFormat="1" ht="31.5" customHeight="1">
      <c r="B453" s="141"/>
      <c r="C453" s="201" t="s">
        <v>877</v>
      </c>
      <c r="D453" s="201" t="s">
        <v>168</v>
      </c>
      <c r="E453" s="202" t="s">
        <v>2223</v>
      </c>
      <c r="F453" s="317" t="s">
        <v>2224</v>
      </c>
      <c r="G453" s="317"/>
      <c r="H453" s="317"/>
      <c r="I453" s="317"/>
      <c r="J453" s="203" t="s">
        <v>259</v>
      </c>
      <c r="K453" s="204">
        <f>+K463</f>
        <v>2256.62</v>
      </c>
      <c r="L453" s="318"/>
      <c r="M453" s="318"/>
      <c r="N453" s="318">
        <f>ROUND(L453*K453,2)</f>
        <v>0</v>
      </c>
      <c r="O453" s="318"/>
      <c r="P453" s="318"/>
      <c r="Q453" s="318"/>
      <c r="R453" s="205"/>
      <c r="T453" s="147" t="s">
        <v>5</v>
      </c>
      <c r="U453" s="44" t="s">
        <v>43</v>
      </c>
      <c r="V453" s="148">
        <v>0.412</v>
      </c>
      <c r="W453" s="148">
        <f>V453*K453</f>
        <v>929.7274399999999</v>
      </c>
      <c r="X453" s="148">
        <v>0</v>
      </c>
      <c r="Y453" s="148">
        <f>X453*K453</f>
        <v>0</v>
      </c>
      <c r="Z453" s="148">
        <v>0</v>
      </c>
      <c r="AA453" s="149">
        <f>Z453*K453</f>
        <v>0</v>
      </c>
      <c r="AR453" s="21" t="s">
        <v>172</v>
      </c>
      <c r="AT453" s="21" t="s">
        <v>168</v>
      </c>
      <c r="AU453" s="21" t="s">
        <v>135</v>
      </c>
      <c r="AY453" s="21" t="s">
        <v>167</v>
      </c>
      <c r="BE453" s="150">
        <f>IF(U453="základní",N453,0)</f>
        <v>0</v>
      </c>
      <c r="BF453" s="150">
        <f>IF(U453="snížená",N453,0)</f>
        <v>0</v>
      </c>
      <c r="BG453" s="150">
        <f>IF(U453="zákl. přenesená",N453,0)</f>
        <v>0</v>
      </c>
      <c r="BH453" s="150">
        <f>IF(U453="sníž. přenesená",N453,0)</f>
        <v>0</v>
      </c>
      <c r="BI453" s="150">
        <f>IF(U453="nulová",N453,0)</f>
        <v>0</v>
      </c>
      <c r="BJ453" s="21" t="s">
        <v>21</v>
      </c>
      <c r="BK453" s="150">
        <f>ROUND(L453*K453,2)</f>
        <v>0</v>
      </c>
      <c r="BL453" s="21" t="s">
        <v>172</v>
      </c>
      <c r="BM453" s="21" t="s">
        <v>1574</v>
      </c>
    </row>
    <row r="454" spans="2:51" s="10" customFormat="1" ht="22.5" customHeight="1">
      <c r="B454" s="151"/>
      <c r="C454" s="206"/>
      <c r="D454" s="206"/>
      <c r="E454" s="207" t="s">
        <v>5</v>
      </c>
      <c r="F454" s="319" t="s">
        <v>1357</v>
      </c>
      <c r="G454" s="320"/>
      <c r="H454" s="320"/>
      <c r="I454" s="320"/>
      <c r="J454" s="206"/>
      <c r="K454" s="208" t="s">
        <v>5</v>
      </c>
      <c r="L454" s="206"/>
      <c r="M454" s="206"/>
      <c r="N454" s="206"/>
      <c r="O454" s="206"/>
      <c r="P454" s="206"/>
      <c r="Q454" s="206"/>
      <c r="R454" s="209"/>
      <c r="T454" s="156"/>
      <c r="U454" s="152"/>
      <c r="V454" s="152"/>
      <c r="W454" s="152"/>
      <c r="X454" s="152"/>
      <c r="Y454" s="152"/>
      <c r="Z454" s="152"/>
      <c r="AA454" s="157"/>
      <c r="AT454" s="158" t="s">
        <v>179</v>
      </c>
      <c r="AU454" s="158" t="s">
        <v>135</v>
      </c>
      <c r="AV454" s="10" t="s">
        <v>21</v>
      </c>
      <c r="AW454" s="10" t="s">
        <v>35</v>
      </c>
      <c r="AX454" s="10" t="s">
        <v>78</v>
      </c>
      <c r="AY454" s="158" t="s">
        <v>167</v>
      </c>
    </row>
    <row r="455" spans="2:51" s="11" customFormat="1" ht="22.5" customHeight="1">
      <c r="B455" s="159"/>
      <c r="C455" s="210"/>
      <c r="D455" s="210"/>
      <c r="E455" s="211" t="s">
        <v>5</v>
      </c>
      <c r="F455" s="321" t="s">
        <v>1358</v>
      </c>
      <c r="G455" s="322"/>
      <c r="H455" s="322"/>
      <c r="I455" s="322"/>
      <c r="J455" s="210"/>
      <c r="K455" s="212">
        <v>124</v>
      </c>
      <c r="L455" s="210"/>
      <c r="M455" s="210"/>
      <c r="N455" s="210"/>
      <c r="O455" s="210"/>
      <c r="P455" s="210"/>
      <c r="Q455" s="210"/>
      <c r="R455" s="213"/>
      <c r="T455" s="164"/>
      <c r="U455" s="160"/>
      <c r="V455" s="160"/>
      <c r="W455" s="160"/>
      <c r="X455" s="160"/>
      <c r="Y455" s="160"/>
      <c r="Z455" s="160"/>
      <c r="AA455" s="165"/>
      <c r="AT455" s="166" t="s">
        <v>179</v>
      </c>
      <c r="AU455" s="166" t="s">
        <v>135</v>
      </c>
      <c r="AV455" s="11" t="s">
        <v>135</v>
      </c>
      <c r="AW455" s="11" t="s">
        <v>35</v>
      </c>
      <c r="AX455" s="11" t="s">
        <v>78</v>
      </c>
      <c r="AY455" s="166" t="s">
        <v>167</v>
      </c>
    </row>
    <row r="456" spans="2:51" s="11" customFormat="1" ht="22.5" customHeight="1">
      <c r="B456" s="159"/>
      <c r="C456" s="210"/>
      <c r="D456" s="210"/>
      <c r="E456" s="211" t="s">
        <v>5</v>
      </c>
      <c r="F456" s="321" t="s">
        <v>1359</v>
      </c>
      <c r="G456" s="322"/>
      <c r="H456" s="322"/>
      <c r="I456" s="322"/>
      <c r="J456" s="210"/>
      <c r="K456" s="212">
        <v>561.82</v>
      </c>
      <c r="L456" s="210"/>
      <c r="M456" s="210"/>
      <c r="N456" s="210"/>
      <c r="O456" s="210"/>
      <c r="P456" s="210"/>
      <c r="Q456" s="210"/>
      <c r="R456" s="213"/>
      <c r="T456" s="164"/>
      <c r="U456" s="160"/>
      <c r="V456" s="160"/>
      <c r="W456" s="160"/>
      <c r="X456" s="160"/>
      <c r="Y456" s="160"/>
      <c r="Z456" s="160"/>
      <c r="AA456" s="165"/>
      <c r="AT456" s="166" t="s">
        <v>179</v>
      </c>
      <c r="AU456" s="166" t="s">
        <v>135</v>
      </c>
      <c r="AV456" s="11" t="s">
        <v>135</v>
      </c>
      <c r="AW456" s="11" t="s">
        <v>35</v>
      </c>
      <c r="AX456" s="11" t="s">
        <v>78</v>
      </c>
      <c r="AY456" s="166" t="s">
        <v>167</v>
      </c>
    </row>
    <row r="457" spans="2:51" s="11" customFormat="1" ht="22.5" customHeight="1">
      <c r="B457" s="159"/>
      <c r="C457" s="210"/>
      <c r="D457" s="210"/>
      <c r="E457" s="211" t="s">
        <v>5</v>
      </c>
      <c r="F457" s="321" t="s">
        <v>2200</v>
      </c>
      <c r="G457" s="322"/>
      <c r="H457" s="322"/>
      <c r="I457" s="322"/>
      <c r="J457" s="210"/>
      <c r="K457" s="212">
        <f>603-242</f>
        <v>361</v>
      </c>
      <c r="L457" s="210"/>
      <c r="M457" s="210"/>
      <c r="N457" s="210"/>
      <c r="O457" s="210"/>
      <c r="P457" s="210"/>
      <c r="Q457" s="210"/>
      <c r="R457" s="213"/>
      <c r="T457" s="164"/>
      <c r="U457" s="160"/>
      <c r="V457" s="160"/>
      <c r="W457" s="160"/>
      <c r="X457" s="160"/>
      <c r="Y457" s="160"/>
      <c r="Z457" s="160"/>
      <c r="AA457" s="165"/>
      <c r="AT457" s="166" t="s">
        <v>179</v>
      </c>
      <c r="AU457" s="166" t="s">
        <v>135</v>
      </c>
      <c r="AV457" s="11" t="s">
        <v>135</v>
      </c>
      <c r="AW457" s="11" t="s">
        <v>35</v>
      </c>
      <c r="AX457" s="11" t="s">
        <v>78</v>
      </c>
      <c r="AY457" s="166" t="s">
        <v>167</v>
      </c>
    </row>
    <row r="458" spans="2:51" s="11" customFormat="1" ht="22.5" customHeight="1">
      <c r="B458" s="159"/>
      <c r="C458" s="210"/>
      <c r="D458" s="210"/>
      <c r="E458" s="211" t="s">
        <v>5</v>
      </c>
      <c r="F458" s="321" t="s">
        <v>1360</v>
      </c>
      <c r="G458" s="322"/>
      <c r="H458" s="322"/>
      <c r="I458" s="322"/>
      <c r="J458" s="210"/>
      <c r="K458" s="212">
        <v>267.8</v>
      </c>
      <c r="L458" s="210"/>
      <c r="M458" s="210"/>
      <c r="N458" s="210"/>
      <c r="O458" s="210"/>
      <c r="P458" s="210"/>
      <c r="Q458" s="210"/>
      <c r="R458" s="213"/>
      <c r="T458" s="164"/>
      <c r="U458" s="160"/>
      <c r="V458" s="160"/>
      <c r="W458" s="160"/>
      <c r="X458" s="160"/>
      <c r="Y458" s="160"/>
      <c r="Z458" s="160"/>
      <c r="AA458" s="165"/>
      <c r="AT458" s="166" t="s">
        <v>179</v>
      </c>
      <c r="AU458" s="166" t="s">
        <v>135</v>
      </c>
      <c r="AV458" s="11" t="s">
        <v>135</v>
      </c>
      <c r="AW458" s="11" t="s">
        <v>35</v>
      </c>
      <c r="AX458" s="11" t="s">
        <v>78</v>
      </c>
      <c r="AY458" s="166" t="s">
        <v>167</v>
      </c>
    </row>
    <row r="459" spans="2:51" s="11" customFormat="1" ht="22.5" customHeight="1">
      <c r="B459" s="159"/>
      <c r="C459" s="210"/>
      <c r="D459" s="210"/>
      <c r="E459" s="211" t="s">
        <v>5</v>
      </c>
      <c r="F459" s="321" t="s">
        <v>1361</v>
      </c>
      <c r="G459" s="322"/>
      <c r="H459" s="322"/>
      <c r="I459" s="322"/>
      <c r="J459" s="210"/>
      <c r="K459" s="212">
        <v>495</v>
      </c>
      <c r="L459" s="210"/>
      <c r="M459" s="210"/>
      <c r="N459" s="210"/>
      <c r="O459" s="210"/>
      <c r="P459" s="210"/>
      <c r="Q459" s="210"/>
      <c r="R459" s="213"/>
      <c r="T459" s="164"/>
      <c r="U459" s="160"/>
      <c r="V459" s="160"/>
      <c r="W459" s="160"/>
      <c r="X459" s="160"/>
      <c r="Y459" s="160"/>
      <c r="Z459" s="160"/>
      <c r="AA459" s="165"/>
      <c r="AT459" s="166" t="s">
        <v>179</v>
      </c>
      <c r="AU459" s="166" t="s">
        <v>135</v>
      </c>
      <c r="AV459" s="11" t="s">
        <v>135</v>
      </c>
      <c r="AW459" s="11" t="s">
        <v>35</v>
      </c>
      <c r="AX459" s="11" t="s">
        <v>78</v>
      </c>
      <c r="AY459" s="166" t="s">
        <v>167</v>
      </c>
    </row>
    <row r="460" spans="2:51" s="11" customFormat="1" ht="22.5" customHeight="1">
      <c r="B460" s="159"/>
      <c r="C460" s="210"/>
      <c r="D460" s="210"/>
      <c r="E460" s="211" t="s">
        <v>5</v>
      </c>
      <c r="F460" s="321" t="s">
        <v>1362</v>
      </c>
      <c r="G460" s="322"/>
      <c r="H460" s="322"/>
      <c r="I460" s="322"/>
      <c r="J460" s="210"/>
      <c r="K460" s="212">
        <v>96</v>
      </c>
      <c r="L460" s="210"/>
      <c r="M460" s="210"/>
      <c r="N460" s="210"/>
      <c r="O460" s="210"/>
      <c r="P460" s="210"/>
      <c r="Q460" s="210"/>
      <c r="R460" s="213"/>
      <c r="T460" s="164"/>
      <c r="U460" s="160"/>
      <c r="V460" s="160"/>
      <c r="W460" s="160"/>
      <c r="X460" s="160"/>
      <c r="Y460" s="160"/>
      <c r="Z460" s="160"/>
      <c r="AA460" s="165"/>
      <c r="AT460" s="166" t="s">
        <v>179</v>
      </c>
      <c r="AU460" s="166" t="s">
        <v>135</v>
      </c>
      <c r="AV460" s="11" t="s">
        <v>135</v>
      </c>
      <c r="AW460" s="11" t="s">
        <v>35</v>
      </c>
      <c r="AX460" s="11" t="s">
        <v>78</v>
      </c>
      <c r="AY460" s="166" t="s">
        <v>167</v>
      </c>
    </row>
    <row r="461" spans="2:51" s="11" customFormat="1" ht="22.5" customHeight="1">
      <c r="B461" s="159"/>
      <c r="C461" s="210"/>
      <c r="D461" s="210"/>
      <c r="E461" s="211" t="s">
        <v>5</v>
      </c>
      <c r="F461" s="321" t="s">
        <v>1363</v>
      </c>
      <c r="G461" s="322"/>
      <c r="H461" s="322"/>
      <c r="I461" s="322"/>
      <c r="J461" s="210"/>
      <c r="K461" s="212">
        <v>167</v>
      </c>
      <c r="L461" s="210"/>
      <c r="M461" s="210"/>
      <c r="N461" s="210"/>
      <c r="O461" s="210"/>
      <c r="P461" s="210"/>
      <c r="Q461" s="210"/>
      <c r="R461" s="213"/>
      <c r="T461" s="164"/>
      <c r="U461" s="160"/>
      <c r="V461" s="160"/>
      <c r="W461" s="160"/>
      <c r="X461" s="160"/>
      <c r="Y461" s="160"/>
      <c r="Z461" s="160"/>
      <c r="AA461" s="165"/>
      <c r="AT461" s="166" t="s">
        <v>179</v>
      </c>
      <c r="AU461" s="166" t="s">
        <v>135</v>
      </c>
      <c r="AV461" s="11" t="s">
        <v>135</v>
      </c>
      <c r="AW461" s="11" t="s">
        <v>35</v>
      </c>
      <c r="AX461" s="11" t="s">
        <v>78</v>
      </c>
      <c r="AY461" s="166" t="s">
        <v>167</v>
      </c>
    </row>
    <row r="462" spans="2:51" s="11" customFormat="1" ht="22.5" customHeight="1">
      <c r="B462" s="159"/>
      <c r="C462" s="210"/>
      <c r="D462" s="210"/>
      <c r="E462" s="211" t="s">
        <v>5</v>
      </c>
      <c r="F462" s="321" t="s">
        <v>1364</v>
      </c>
      <c r="G462" s="322"/>
      <c r="H462" s="322"/>
      <c r="I462" s="322"/>
      <c r="J462" s="210"/>
      <c r="K462" s="212">
        <v>184</v>
      </c>
      <c r="L462" s="210"/>
      <c r="M462" s="210"/>
      <c r="N462" s="210"/>
      <c r="O462" s="210"/>
      <c r="P462" s="210"/>
      <c r="Q462" s="210"/>
      <c r="R462" s="213"/>
      <c r="T462" s="164"/>
      <c r="U462" s="160"/>
      <c r="V462" s="160"/>
      <c r="W462" s="160"/>
      <c r="X462" s="160"/>
      <c r="Y462" s="160"/>
      <c r="Z462" s="160"/>
      <c r="AA462" s="165"/>
      <c r="AT462" s="166" t="s">
        <v>179</v>
      </c>
      <c r="AU462" s="166" t="s">
        <v>135</v>
      </c>
      <c r="AV462" s="11" t="s">
        <v>135</v>
      </c>
      <c r="AW462" s="11" t="s">
        <v>35</v>
      </c>
      <c r="AX462" s="11" t="s">
        <v>78</v>
      </c>
      <c r="AY462" s="166" t="s">
        <v>167</v>
      </c>
    </row>
    <row r="463" spans="2:51" s="12" customFormat="1" ht="22.5" customHeight="1">
      <c r="B463" s="167"/>
      <c r="C463" s="218"/>
      <c r="D463" s="218"/>
      <c r="E463" s="219" t="s">
        <v>5</v>
      </c>
      <c r="F463" s="327" t="s">
        <v>183</v>
      </c>
      <c r="G463" s="328"/>
      <c r="H463" s="328"/>
      <c r="I463" s="328"/>
      <c r="J463" s="218"/>
      <c r="K463" s="220">
        <f>SUM(K455:K462)</f>
        <v>2256.62</v>
      </c>
      <c r="L463" s="218"/>
      <c r="M463" s="218"/>
      <c r="N463" s="218"/>
      <c r="O463" s="218"/>
      <c r="P463" s="218"/>
      <c r="Q463" s="218"/>
      <c r="R463" s="221"/>
      <c r="T463" s="172"/>
      <c r="U463" s="168"/>
      <c r="V463" s="168"/>
      <c r="W463" s="168"/>
      <c r="X463" s="168"/>
      <c r="Y463" s="168"/>
      <c r="Z463" s="168"/>
      <c r="AA463" s="173"/>
      <c r="AT463" s="174" t="s">
        <v>179</v>
      </c>
      <c r="AU463" s="174" t="s">
        <v>135</v>
      </c>
      <c r="AV463" s="12" t="s">
        <v>172</v>
      </c>
      <c r="AW463" s="12" t="s">
        <v>35</v>
      </c>
      <c r="AX463" s="12" t="s">
        <v>21</v>
      </c>
      <c r="AY463" s="174" t="s">
        <v>167</v>
      </c>
    </row>
    <row r="464" spans="2:65" s="1" customFormat="1" ht="22.5" customHeight="1">
      <c r="B464" s="141"/>
      <c r="C464" s="225" t="s">
        <v>585</v>
      </c>
      <c r="D464" s="225" t="s">
        <v>317</v>
      </c>
      <c r="E464" s="226" t="s">
        <v>1575</v>
      </c>
      <c r="F464" s="331" t="s">
        <v>2225</v>
      </c>
      <c r="G464" s="331"/>
      <c r="H464" s="331"/>
      <c r="I464" s="331"/>
      <c r="J464" s="227" t="s">
        <v>578</v>
      </c>
      <c r="K464" s="228">
        <v>385</v>
      </c>
      <c r="L464" s="332"/>
      <c r="M464" s="332"/>
      <c r="N464" s="332">
        <f>ROUND(L464*K464,2)</f>
        <v>0</v>
      </c>
      <c r="O464" s="318"/>
      <c r="P464" s="318"/>
      <c r="Q464" s="318"/>
      <c r="R464" s="205"/>
      <c r="T464" s="147" t="s">
        <v>5</v>
      </c>
      <c r="U464" s="44" t="s">
        <v>43</v>
      </c>
      <c r="V464" s="148">
        <v>0</v>
      </c>
      <c r="W464" s="148">
        <f>V464*K464</f>
        <v>0</v>
      </c>
      <c r="X464" s="148">
        <v>0.0219</v>
      </c>
      <c r="Y464" s="148">
        <f>X464*K464</f>
        <v>8.4315</v>
      </c>
      <c r="Z464" s="148">
        <v>0</v>
      </c>
      <c r="AA464" s="149">
        <f>Z464*K464</f>
        <v>0</v>
      </c>
      <c r="AR464" s="21" t="s">
        <v>213</v>
      </c>
      <c r="AT464" s="21" t="s">
        <v>317</v>
      </c>
      <c r="AU464" s="21" t="s">
        <v>135</v>
      </c>
      <c r="AY464" s="21" t="s">
        <v>167</v>
      </c>
      <c r="BE464" s="150">
        <f>IF(U464="základní",N464,0)</f>
        <v>0</v>
      </c>
      <c r="BF464" s="150">
        <f>IF(U464="snížená",N464,0)</f>
        <v>0</v>
      </c>
      <c r="BG464" s="150">
        <f>IF(U464="zákl. přenesená",N464,0)</f>
        <v>0</v>
      </c>
      <c r="BH464" s="150">
        <f>IF(U464="sníž. přenesená",N464,0)</f>
        <v>0</v>
      </c>
      <c r="BI464" s="150">
        <f>IF(U464="nulová",N464,0)</f>
        <v>0</v>
      </c>
      <c r="BJ464" s="21" t="s">
        <v>21</v>
      </c>
      <c r="BK464" s="150">
        <f>ROUND(L464*K464,2)</f>
        <v>0</v>
      </c>
      <c r="BL464" s="21" t="s">
        <v>172</v>
      </c>
      <c r="BM464" s="21" t="s">
        <v>1576</v>
      </c>
    </row>
    <row r="465" spans="2:65" s="1" customFormat="1" ht="31.5" customHeight="1">
      <c r="B465" s="141"/>
      <c r="C465" s="201" t="s">
        <v>884</v>
      </c>
      <c r="D465" s="201" t="s">
        <v>168</v>
      </c>
      <c r="E465" s="202" t="s">
        <v>1246</v>
      </c>
      <c r="F465" s="317" t="s">
        <v>1247</v>
      </c>
      <c r="G465" s="317"/>
      <c r="H465" s="317"/>
      <c r="I465" s="317"/>
      <c r="J465" s="203" t="s">
        <v>259</v>
      </c>
      <c r="K465" s="204">
        <f>+K466</f>
        <v>2386.97</v>
      </c>
      <c r="L465" s="318"/>
      <c r="M465" s="318"/>
      <c r="N465" s="318">
        <f>ROUND(L465*K465,2)</f>
        <v>0</v>
      </c>
      <c r="O465" s="318"/>
      <c r="P465" s="318"/>
      <c r="Q465" s="318"/>
      <c r="R465" s="205"/>
      <c r="T465" s="147" t="s">
        <v>5</v>
      </c>
      <c r="U465" s="44" t="s">
        <v>43</v>
      </c>
      <c r="V465" s="148">
        <v>0.572</v>
      </c>
      <c r="W465" s="148">
        <f>V465*K465</f>
        <v>1365.3468399999997</v>
      </c>
      <c r="X465" s="148">
        <v>0</v>
      </c>
      <c r="Y465" s="148">
        <f>X465*K465</f>
        <v>0</v>
      </c>
      <c r="Z465" s="148">
        <v>0</v>
      </c>
      <c r="AA465" s="149">
        <f>Z465*K465</f>
        <v>0</v>
      </c>
      <c r="AR465" s="21" t="s">
        <v>172</v>
      </c>
      <c r="AT465" s="21" t="s">
        <v>168</v>
      </c>
      <c r="AU465" s="21" t="s">
        <v>135</v>
      </c>
      <c r="AY465" s="21" t="s">
        <v>167</v>
      </c>
      <c r="BE465" s="150">
        <f>IF(U465="základní",N465,0)</f>
        <v>0</v>
      </c>
      <c r="BF465" s="150">
        <f>IF(U465="snížená",N465,0)</f>
        <v>0</v>
      </c>
      <c r="BG465" s="150">
        <f>IF(U465="zákl. přenesená",N465,0)</f>
        <v>0</v>
      </c>
      <c r="BH465" s="150">
        <f>IF(U465="sníž. přenesená",N465,0)</f>
        <v>0</v>
      </c>
      <c r="BI465" s="150">
        <f>IF(U465="nulová",N465,0)</f>
        <v>0</v>
      </c>
      <c r="BJ465" s="21" t="s">
        <v>21</v>
      </c>
      <c r="BK465" s="150">
        <f>ROUND(L465*K465,2)</f>
        <v>0</v>
      </c>
      <c r="BL465" s="21" t="s">
        <v>172</v>
      </c>
      <c r="BM465" s="21" t="s">
        <v>1248</v>
      </c>
    </row>
    <row r="466" spans="2:51" s="11" customFormat="1" ht="22.5" customHeight="1">
      <c r="B466" s="159"/>
      <c r="C466" s="210"/>
      <c r="D466" s="210"/>
      <c r="E466" s="211" t="s">
        <v>5</v>
      </c>
      <c r="F466" s="329"/>
      <c r="G466" s="330"/>
      <c r="H466" s="330"/>
      <c r="I466" s="330"/>
      <c r="J466" s="210"/>
      <c r="K466" s="212">
        <f>2256.62+130.35</f>
        <v>2386.97</v>
      </c>
      <c r="L466" s="210"/>
      <c r="M466" s="210"/>
      <c r="N466" s="210"/>
      <c r="O466" s="210"/>
      <c r="P466" s="210"/>
      <c r="Q466" s="210"/>
      <c r="R466" s="213"/>
      <c r="T466" s="164"/>
      <c r="U466" s="160"/>
      <c r="V466" s="160"/>
      <c r="W466" s="160"/>
      <c r="X466" s="160"/>
      <c r="Y466" s="160"/>
      <c r="Z466" s="160"/>
      <c r="AA466" s="165"/>
      <c r="AT466" s="166" t="s">
        <v>179</v>
      </c>
      <c r="AU466" s="166" t="s">
        <v>135</v>
      </c>
      <c r="AV466" s="11" t="s">
        <v>135</v>
      </c>
      <c r="AW466" s="11" t="s">
        <v>35</v>
      </c>
      <c r="AX466" s="11" t="s">
        <v>21</v>
      </c>
      <c r="AY466" s="166" t="s">
        <v>167</v>
      </c>
    </row>
    <row r="467" spans="2:65" s="1" customFormat="1" ht="22.5" customHeight="1">
      <c r="B467" s="141"/>
      <c r="C467" s="201" t="s">
        <v>888</v>
      </c>
      <c r="D467" s="201" t="s">
        <v>168</v>
      </c>
      <c r="E467" s="202" t="s">
        <v>1250</v>
      </c>
      <c r="F467" s="317" t="s">
        <v>1251</v>
      </c>
      <c r="G467" s="317"/>
      <c r="H467" s="317"/>
      <c r="I467" s="317"/>
      <c r="J467" s="203" t="s">
        <v>259</v>
      </c>
      <c r="K467" s="204">
        <v>130.35</v>
      </c>
      <c r="L467" s="318"/>
      <c r="M467" s="318"/>
      <c r="N467" s="318">
        <f>ROUND(L467*K467,2)</f>
        <v>0</v>
      </c>
      <c r="O467" s="318"/>
      <c r="P467" s="318"/>
      <c r="Q467" s="318"/>
      <c r="R467" s="205"/>
      <c r="T467" s="147" t="s">
        <v>5</v>
      </c>
      <c r="U467" s="44" t="s">
        <v>43</v>
      </c>
      <c r="V467" s="148">
        <v>0.044</v>
      </c>
      <c r="W467" s="148">
        <f>V467*K467</f>
        <v>5.735399999999999</v>
      </c>
      <c r="X467" s="148">
        <v>0</v>
      </c>
      <c r="Y467" s="148">
        <f>X467*K467</f>
        <v>0</v>
      </c>
      <c r="Z467" s="148">
        <v>0</v>
      </c>
      <c r="AA467" s="149">
        <f>Z467*K467</f>
        <v>0</v>
      </c>
      <c r="AR467" s="21" t="s">
        <v>172</v>
      </c>
      <c r="AT467" s="21" t="s">
        <v>168</v>
      </c>
      <c r="AU467" s="21" t="s">
        <v>135</v>
      </c>
      <c r="AY467" s="21" t="s">
        <v>167</v>
      </c>
      <c r="BE467" s="150">
        <f>IF(U467="základní",N467,0)</f>
        <v>0</v>
      </c>
      <c r="BF467" s="150">
        <f>IF(U467="snížená",N467,0)</f>
        <v>0</v>
      </c>
      <c r="BG467" s="150">
        <f>IF(U467="zákl. přenesená",N467,0)</f>
        <v>0</v>
      </c>
      <c r="BH467" s="150">
        <f>IF(U467="sníž. přenesená",N467,0)</f>
        <v>0</v>
      </c>
      <c r="BI467" s="150">
        <f>IF(U467="nulová",N467,0)</f>
        <v>0</v>
      </c>
      <c r="BJ467" s="21" t="s">
        <v>21</v>
      </c>
      <c r="BK467" s="150">
        <f>ROUND(L467*K467,2)</f>
        <v>0</v>
      </c>
      <c r="BL467" s="21" t="s">
        <v>172</v>
      </c>
      <c r="BM467" s="21" t="s">
        <v>1252</v>
      </c>
    </row>
    <row r="468" spans="2:65" s="1" customFormat="1" ht="31.5" customHeight="1">
      <c r="B468" s="141"/>
      <c r="C468" s="201" t="s">
        <v>892</v>
      </c>
      <c r="D468" s="201" t="s">
        <v>168</v>
      </c>
      <c r="E468" s="202" t="s">
        <v>1577</v>
      </c>
      <c r="F468" s="317" t="s">
        <v>1578</v>
      </c>
      <c r="G468" s="317"/>
      <c r="H468" s="317"/>
      <c r="I468" s="317"/>
      <c r="J468" s="203" t="s">
        <v>259</v>
      </c>
      <c r="K468" s="204">
        <f>+K453</f>
        <v>2256.62</v>
      </c>
      <c r="L468" s="318"/>
      <c r="M468" s="318"/>
      <c r="N468" s="318">
        <f>ROUND(L468*K468,2)</f>
        <v>0</v>
      </c>
      <c r="O468" s="318"/>
      <c r="P468" s="318"/>
      <c r="Q468" s="318"/>
      <c r="R468" s="205"/>
      <c r="T468" s="147" t="s">
        <v>5</v>
      </c>
      <c r="U468" s="44" t="s">
        <v>43</v>
      </c>
      <c r="V468" s="148">
        <v>0.066</v>
      </c>
      <c r="W468" s="148">
        <f>V468*K468</f>
        <v>148.93692</v>
      </c>
      <c r="X468" s="148">
        <v>0</v>
      </c>
      <c r="Y468" s="148">
        <f>X468*K468</f>
        <v>0</v>
      </c>
      <c r="Z468" s="148">
        <v>0</v>
      </c>
      <c r="AA468" s="149">
        <f>Z468*K468</f>
        <v>0</v>
      </c>
      <c r="AR468" s="21" t="s">
        <v>172</v>
      </c>
      <c r="AT468" s="21" t="s">
        <v>168</v>
      </c>
      <c r="AU468" s="21" t="s">
        <v>135</v>
      </c>
      <c r="AY468" s="21" t="s">
        <v>167</v>
      </c>
      <c r="BE468" s="150">
        <f>IF(U468="základní",N468,0)</f>
        <v>0</v>
      </c>
      <c r="BF468" s="150">
        <f>IF(U468="snížená",N468,0)</f>
        <v>0</v>
      </c>
      <c r="BG468" s="150">
        <f>IF(U468="zákl. přenesená",N468,0)</f>
        <v>0</v>
      </c>
      <c r="BH468" s="150">
        <f>IF(U468="sníž. přenesená",N468,0)</f>
        <v>0</v>
      </c>
      <c r="BI468" s="150">
        <f>IF(U468="nulová",N468,0)</f>
        <v>0</v>
      </c>
      <c r="BJ468" s="21" t="s">
        <v>21</v>
      </c>
      <c r="BK468" s="150">
        <f>ROUND(L468*K468,2)</f>
        <v>0</v>
      </c>
      <c r="BL468" s="21" t="s">
        <v>172</v>
      </c>
      <c r="BM468" s="21" t="s">
        <v>1579</v>
      </c>
    </row>
    <row r="469" spans="2:65" s="1" customFormat="1" ht="22.5" customHeight="1">
      <c r="B469" s="141"/>
      <c r="C469" s="201" t="s">
        <v>898</v>
      </c>
      <c r="D469" s="201" t="s">
        <v>168</v>
      </c>
      <c r="E469" s="202" t="s">
        <v>1580</v>
      </c>
      <c r="F469" s="317" t="s">
        <v>1581</v>
      </c>
      <c r="G469" s="317"/>
      <c r="H469" s="317"/>
      <c r="I469" s="317"/>
      <c r="J469" s="203" t="s">
        <v>259</v>
      </c>
      <c r="K469" s="204">
        <v>130</v>
      </c>
      <c r="L469" s="318"/>
      <c r="M469" s="318"/>
      <c r="N469" s="318">
        <f>ROUND(L469*K469,2)</f>
        <v>0</v>
      </c>
      <c r="O469" s="318"/>
      <c r="P469" s="318"/>
      <c r="Q469" s="318"/>
      <c r="R469" s="205"/>
      <c r="T469" s="147" t="s">
        <v>5</v>
      </c>
      <c r="U469" s="44" t="s">
        <v>43</v>
      </c>
      <c r="V469" s="148">
        <v>0.223</v>
      </c>
      <c r="W469" s="148">
        <f>V469*K469</f>
        <v>28.990000000000002</v>
      </c>
      <c r="X469" s="148">
        <v>0.00169</v>
      </c>
      <c r="Y469" s="148">
        <f>X469*K469</f>
        <v>0.2197</v>
      </c>
      <c r="Z469" s="148">
        <v>0</v>
      </c>
      <c r="AA469" s="149">
        <f>Z469*K469</f>
        <v>0</v>
      </c>
      <c r="AR469" s="21" t="s">
        <v>281</v>
      </c>
      <c r="AT469" s="21" t="s">
        <v>168</v>
      </c>
      <c r="AU469" s="21" t="s">
        <v>135</v>
      </c>
      <c r="AY469" s="21" t="s">
        <v>167</v>
      </c>
      <c r="BE469" s="150">
        <f>IF(U469="základní",N469,0)</f>
        <v>0</v>
      </c>
      <c r="BF469" s="150">
        <f>IF(U469="snížená",N469,0)</f>
        <v>0</v>
      </c>
      <c r="BG469" s="150">
        <f>IF(U469="zákl. přenesená",N469,0)</f>
        <v>0</v>
      </c>
      <c r="BH469" s="150">
        <f>IF(U469="sníž. přenesená",N469,0)</f>
        <v>0</v>
      </c>
      <c r="BI469" s="150">
        <f>IF(U469="nulová",N469,0)</f>
        <v>0</v>
      </c>
      <c r="BJ469" s="21" t="s">
        <v>21</v>
      </c>
      <c r="BK469" s="150">
        <f>ROUND(L469*K469,2)</f>
        <v>0</v>
      </c>
      <c r="BL469" s="21" t="s">
        <v>281</v>
      </c>
      <c r="BM469" s="21" t="s">
        <v>1582</v>
      </c>
    </row>
    <row r="470" spans="2:65" s="1" customFormat="1" ht="22.5" customHeight="1">
      <c r="B470" s="141"/>
      <c r="C470" s="201" t="s">
        <v>902</v>
      </c>
      <c r="D470" s="201" t="s">
        <v>168</v>
      </c>
      <c r="E470" s="202" t="s">
        <v>1583</v>
      </c>
      <c r="F470" s="317" t="s">
        <v>1584</v>
      </c>
      <c r="G470" s="317"/>
      <c r="H470" s="317"/>
      <c r="I470" s="317"/>
      <c r="J470" s="203" t="s">
        <v>259</v>
      </c>
      <c r="K470" s="204">
        <v>130</v>
      </c>
      <c r="L470" s="318"/>
      <c r="M470" s="318"/>
      <c r="N470" s="318">
        <f>ROUND(L470*K470,2)</f>
        <v>0</v>
      </c>
      <c r="O470" s="318"/>
      <c r="P470" s="318"/>
      <c r="Q470" s="318"/>
      <c r="R470" s="205"/>
      <c r="T470" s="147" t="s">
        <v>5</v>
      </c>
      <c r="U470" s="44" t="s">
        <v>43</v>
      </c>
      <c r="V470" s="148">
        <v>0.223</v>
      </c>
      <c r="W470" s="148">
        <f>V470*K470</f>
        <v>28.990000000000002</v>
      </c>
      <c r="X470" s="148">
        <v>0.00169</v>
      </c>
      <c r="Y470" s="148">
        <f>X470*K470</f>
        <v>0.2197</v>
      </c>
      <c r="Z470" s="148">
        <v>0</v>
      </c>
      <c r="AA470" s="149">
        <f>Z470*K470</f>
        <v>0</v>
      </c>
      <c r="AR470" s="21" t="s">
        <v>281</v>
      </c>
      <c r="AT470" s="21" t="s">
        <v>168</v>
      </c>
      <c r="AU470" s="21" t="s">
        <v>135</v>
      </c>
      <c r="AY470" s="21" t="s">
        <v>167</v>
      </c>
      <c r="BE470" s="150">
        <f>IF(U470="základní",N470,0)</f>
        <v>0</v>
      </c>
      <c r="BF470" s="150">
        <f>IF(U470="snížená",N470,0)</f>
        <v>0</v>
      </c>
      <c r="BG470" s="150">
        <f>IF(U470="zákl. přenesená",N470,0)</f>
        <v>0</v>
      </c>
      <c r="BH470" s="150">
        <f>IF(U470="sníž. přenesená",N470,0)</f>
        <v>0</v>
      </c>
      <c r="BI470" s="150">
        <f>IF(U470="nulová",N470,0)</f>
        <v>0</v>
      </c>
      <c r="BJ470" s="21" t="s">
        <v>21</v>
      </c>
      <c r="BK470" s="150">
        <f>ROUND(L470*K470,2)</f>
        <v>0</v>
      </c>
      <c r="BL470" s="21" t="s">
        <v>281</v>
      </c>
      <c r="BM470" s="21" t="s">
        <v>1585</v>
      </c>
    </row>
    <row r="471" spans="2:65" s="1" customFormat="1" ht="22.5" customHeight="1">
      <c r="B471" s="141"/>
      <c r="C471" s="201" t="s">
        <v>907</v>
      </c>
      <c r="D471" s="201" t="s">
        <v>168</v>
      </c>
      <c r="E471" s="202" t="s">
        <v>1586</v>
      </c>
      <c r="F471" s="317" t="s">
        <v>1587</v>
      </c>
      <c r="G471" s="317"/>
      <c r="H471" s="317"/>
      <c r="I471" s="317"/>
      <c r="J471" s="203" t="s">
        <v>578</v>
      </c>
      <c r="K471" s="204">
        <v>60</v>
      </c>
      <c r="L471" s="318"/>
      <c r="M471" s="318"/>
      <c r="N471" s="318">
        <f>ROUND(L471*K471,2)</f>
        <v>0</v>
      </c>
      <c r="O471" s="318"/>
      <c r="P471" s="318"/>
      <c r="Q471" s="318"/>
      <c r="R471" s="205"/>
      <c r="T471" s="147" t="s">
        <v>5</v>
      </c>
      <c r="U471" s="44" t="s">
        <v>43</v>
      </c>
      <c r="V471" s="148">
        <v>1.562</v>
      </c>
      <c r="W471" s="148">
        <f>V471*K471</f>
        <v>93.72</v>
      </c>
      <c r="X471" s="148">
        <v>0.00918</v>
      </c>
      <c r="Y471" s="148">
        <f>X471*K471</f>
        <v>0.5508000000000001</v>
      </c>
      <c r="Z471" s="148">
        <v>0</v>
      </c>
      <c r="AA471" s="149">
        <f>Z471*K471</f>
        <v>0</v>
      </c>
      <c r="AR471" s="21" t="s">
        <v>172</v>
      </c>
      <c r="AT471" s="21" t="s">
        <v>168</v>
      </c>
      <c r="AU471" s="21" t="s">
        <v>135</v>
      </c>
      <c r="AY471" s="21" t="s">
        <v>167</v>
      </c>
      <c r="BE471" s="150">
        <f>IF(U471="základní",N471,0)</f>
        <v>0</v>
      </c>
      <c r="BF471" s="150">
        <f>IF(U471="snížená",N471,0)</f>
        <v>0</v>
      </c>
      <c r="BG471" s="150">
        <f>IF(U471="zákl. přenesená",N471,0)</f>
        <v>0</v>
      </c>
      <c r="BH471" s="150">
        <f>IF(U471="sníž. přenesená",N471,0)</f>
        <v>0</v>
      </c>
      <c r="BI471" s="150">
        <f>IF(U471="nulová",N471,0)</f>
        <v>0</v>
      </c>
      <c r="BJ471" s="21" t="s">
        <v>21</v>
      </c>
      <c r="BK471" s="150">
        <f>ROUND(L471*K471,2)</f>
        <v>0</v>
      </c>
      <c r="BL471" s="21" t="s">
        <v>172</v>
      </c>
      <c r="BM471" s="21" t="s">
        <v>1588</v>
      </c>
    </row>
    <row r="472" spans="2:51" s="11" customFormat="1" ht="22.5" customHeight="1">
      <c r="B472" s="159"/>
      <c r="C472" s="210"/>
      <c r="D472" s="210"/>
      <c r="E472" s="211" t="s">
        <v>5</v>
      </c>
      <c r="F472" s="329"/>
      <c r="G472" s="330"/>
      <c r="H472" s="330"/>
      <c r="I472" s="330"/>
      <c r="J472" s="210"/>
      <c r="K472" s="212">
        <v>60</v>
      </c>
      <c r="L472" s="210"/>
      <c r="M472" s="210"/>
      <c r="N472" s="210"/>
      <c r="O472" s="210"/>
      <c r="P472" s="210"/>
      <c r="Q472" s="210"/>
      <c r="R472" s="213"/>
      <c r="T472" s="164"/>
      <c r="U472" s="160"/>
      <c r="V472" s="160"/>
      <c r="W472" s="160"/>
      <c r="X472" s="160"/>
      <c r="Y472" s="160"/>
      <c r="Z472" s="160"/>
      <c r="AA472" s="165"/>
      <c r="AT472" s="166" t="s">
        <v>179</v>
      </c>
      <c r="AU472" s="166" t="s">
        <v>135</v>
      </c>
      <c r="AV472" s="11" t="s">
        <v>135</v>
      </c>
      <c r="AW472" s="11" t="s">
        <v>35</v>
      </c>
      <c r="AX472" s="11" t="s">
        <v>21</v>
      </c>
      <c r="AY472" s="166" t="s">
        <v>167</v>
      </c>
    </row>
    <row r="473" spans="2:65" s="1" customFormat="1" ht="31.5" customHeight="1">
      <c r="B473" s="141"/>
      <c r="C473" s="225" t="s">
        <v>912</v>
      </c>
      <c r="D473" s="225" t="s">
        <v>317</v>
      </c>
      <c r="E473" s="226" t="s">
        <v>1589</v>
      </c>
      <c r="F473" s="331" t="s">
        <v>1590</v>
      </c>
      <c r="G473" s="331"/>
      <c r="H473" s="331"/>
      <c r="I473" s="331"/>
      <c r="J473" s="227" t="s">
        <v>578</v>
      </c>
      <c r="K473" s="228">
        <v>61</v>
      </c>
      <c r="L473" s="332"/>
      <c r="M473" s="332"/>
      <c r="N473" s="332">
        <f>ROUND(L473*K473,2)</f>
        <v>0</v>
      </c>
      <c r="O473" s="318"/>
      <c r="P473" s="318"/>
      <c r="Q473" s="318"/>
      <c r="R473" s="205"/>
      <c r="T473" s="147" t="s">
        <v>5</v>
      </c>
      <c r="U473" s="44" t="s">
        <v>43</v>
      </c>
      <c r="V473" s="148">
        <v>0</v>
      </c>
      <c r="W473" s="148">
        <f>V473*K473</f>
        <v>0</v>
      </c>
      <c r="X473" s="148">
        <v>0.196</v>
      </c>
      <c r="Y473" s="148">
        <f>X473*K473</f>
        <v>11.956000000000001</v>
      </c>
      <c r="Z473" s="148">
        <v>0</v>
      </c>
      <c r="AA473" s="149">
        <f>Z473*K473</f>
        <v>0</v>
      </c>
      <c r="AR473" s="21" t="s">
        <v>213</v>
      </c>
      <c r="AT473" s="21" t="s">
        <v>317</v>
      </c>
      <c r="AU473" s="21" t="s">
        <v>135</v>
      </c>
      <c r="AY473" s="21" t="s">
        <v>167</v>
      </c>
      <c r="BE473" s="150">
        <f>IF(U473="základní",N473,0)</f>
        <v>0</v>
      </c>
      <c r="BF473" s="150">
        <f>IF(U473="snížená",N473,0)</f>
        <v>0</v>
      </c>
      <c r="BG473" s="150">
        <f>IF(U473="zákl. přenesená",N473,0)</f>
        <v>0</v>
      </c>
      <c r="BH473" s="150">
        <f>IF(U473="sníž. přenesená",N473,0)</f>
        <v>0</v>
      </c>
      <c r="BI473" s="150">
        <f>IF(U473="nulová",N473,0)</f>
        <v>0</v>
      </c>
      <c r="BJ473" s="21" t="s">
        <v>21</v>
      </c>
      <c r="BK473" s="150">
        <f>ROUND(L473*K473,2)</f>
        <v>0</v>
      </c>
      <c r="BL473" s="21" t="s">
        <v>172</v>
      </c>
      <c r="BM473" s="21" t="s">
        <v>1591</v>
      </c>
    </row>
    <row r="474" spans="2:65" s="1" customFormat="1" ht="31.5" customHeight="1">
      <c r="B474" s="141"/>
      <c r="C474" s="201" t="s">
        <v>916</v>
      </c>
      <c r="D474" s="201" t="s">
        <v>168</v>
      </c>
      <c r="E474" s="202" t="s">
        <v>1592</v>
      </c>
      <c r="F474" s="317" t="s">
        <v>1593</v>
      </c>
      <c r="G474" s="317"/>
      <c r="H474" s="317"/>
      <c r="I474" s="317"/>
      <c r="J474" s="203" t="s">
        <v>578</v>
      </c>
      <c r="K474" s="204">
        <f>+K483</f>
        <v>60</v>
      </c>
      <c r="L474" s="318"/>
      <c r="M474" s="318"/>
      <c r="N474" s="318">
        <f>ROUND(L474*K474,2)</f>
        <v>0</v>
      </c>
      <c r="O474" s="318"/>
      <c r="P474" s="318"/>
      <c r="Q474" s="318"/>
      <c r="R474" s="205"/>
      <c r="T474" s="147" t="s">
        <v>5</v>
      </c>
      <c r="U474" s="44" t="s">
        <v>43</v>
      </c>
      <c r="V474" s="148">
        <v>25.283</v>
      </c>
      <c r="W474" s="148">
        <f>V474*K474</f>
        <v>1516.98</v>
      </c>
      <c r="X474" s="148">
        <v>2.72625</v>
      </c>
      <c r="Y474" s="148">
        <f>X474*K474</f>
        <v>163.575</v>
      </c>
      <c r="Z474" s="148">
        <v>0</v>
      </c>
      <c r="AA474" s="149">
        <f>Z474*K474</f>
        <v>0</v>
      </c>
      <c r="AR474" s="21" t="s">
        <v>172</v>
      </c>
      <c r="AT474" s="21" t="s">
        <v>168</v>
      </c>
      <c r="AU474" s="21" t="s">
        <v>135</v>
      </c>
      <c r="AY474" s="21" t="s">
        <v>167</v>
      </c>
      <c r="BE474" s="150">
        <f>IF(U474="základní",N474,0)</f>
        <v>0</v>
      </c>
      <c r="BF474" s="150">
        <f>IF(U474="snížená",N474,0)</f>
        <v>0</v>
      </c>
      <c r="BG474" s="150">
        <f>IF(U474="zákl. přenesená",N474,0)</f>
        <v>0</v>
      </c>
      <c r="BH474" s="150">
        <f>IF(U474="sníž. přenesená",N474,0)</f>
        <v>0</v>
      </c>
      <c r="BI474" s="150">
        <f>IF(U474="nulová",N474,0)</f>
        <v>0</v>
      </c>
      <c r="BJ474" s="21" t="s">
        <v>21</v>
      </c>
      <c r="BK474" s="150">
        <f>ROUND(L474*K474,2)</f>
        <v>0</v>
      </c>
      <c r="BL474" s="21" t="s">
        <v>172</v>
      </c>
      <c r="BM474" s="21" t="s">
        <v>1594</v>
      </c>
    </row>
    <row r="475" spans="2:51" s="11" customFormat="1" ht="22.5" customHeight="1">
      <c r="B475" s="159"/>
      <c r="C475" s="210"/>
      <c r="D475" s="210"/>
      <c r="E475" s="211" t="s">
        <v>5</v>
      </c>
      <c r="F475" s="329" t="s">
        <v>1370</v>
      </c>
      <c r="G475" s="330"/>
      <c r="H475" s="330"/>
      <c r="I475" s="330"/>
      <c r="J475" s="210"/>
      <c r="K475" s="212">
        <v>5</v>
      </c>
      <c r="L475" s="210"/>
      <c r="M475" s="210"/>
      <c r="N475" s="210"/>
      <c r="O475" s="210"/>
      <c r="P475" s="210"/>
      <c r="Q475" s="210"/>
      <c r="R475" s="213"/>
      <c r="T475" s="164"/>
      <c r="U475" s="160"/>
      <c r="V475" s="160"/>
      <c r="W475" s="160"/>
      <c r="X475" s="160"/>
      <c r="Y475" s="160"/>
      <c r="Z475" s="160"/>
      <c r="AA475" s="165"/>
      <c r="AT475" s="166" t="s">
        <v>179</v>
      </c>
      <c r="AU475" s="166" t="s">
        <v>135</v>
      </c>
      <c r="AV475" s="11" t="s">
        <v>135</v>
      </c>
      <c r="AW475" s="11" t="s">
        <v>35</v>
      </c>
      <c r="AX475" s="11" t="s">
        <v>78</v>
      </c>
      <c r="AY475" s="166" t="s">
        <v>167</v>
      </c>
    </row>
    <row r="476" spans="2:51" s="11" customFormat="1" ht="22.5" customHeight="1">
      <c r="B476" s="159"/>
      <c r="C476" s="210"/>
      <c r="D476" s="210"/>
      <c r="E476" s="211" t="s">
        <v>5</v>
      </c>
      <c r="F476" s="321" t="s">
        <v>2220</v>
      </c>
      <c r="G476" s="322"/>
      <c r="H476" s="322"/>
      <c r="I476" s="322"/>
      <c r="J476" s="210"/>
      <c r="K476" s="212">
        <v>9</v>
      </c>
      <c r="L476" s="210"/>
      <c r="M476" s="210"/>
      <c r="N476" s="210"/>
      <c r="O476" s="210"/>
      <c r="P476" s="210"/>
      <c r="Q476" s="210"/>
      <c r="R476" s="213"/>
      <c r="T476" s="164"/>
      <c r="U476" s="160"/>
      <c r="V476" s="160"/>
      <c r="W476" s="160"/>
      <c r="X476" s="160"/>
      <c r="Y476" s="160"/>
      <c r="Z476" s="160"/>
      <c r="AA476" s="165"/>
      <c r="AT476" s="166" t="s">
        <v>179</v>
      </c>
      <c r="AU476" s="166" t="s">
        <v>135</v>
      </c>
      <c r="AV476" s="11" t="s">
        <v>135</v>
      </c>
      <c r="AW476" s="11" t="s">
        <v>35</v>
      </c>
      <c r="AX476" s="11" t="s">
        <v>78</v>
      </c>
      <c r="AY476" s="166" t="s">
        <v>167</v>
      </c>
    </row>
    <row r="477" spans="2:51" s="11" customFormat="1" ht="22.5" customHeight="1">
      <c r="B477" s="159"/>
      <c r="C477" s="210"/>
      <c r="D477" s="210"/>
      <c r="E477" s="211" t="s">
        <v>5</v>
      </c>
      <c r="F477" s="321" t="s">
        <v>1371</v>
      </c>
      <c r="G477" s="322"/>
      <c r="H477" s="322"/>
      <c r="I477" s="322"/>
      <c r="J477" s="210"/>
      <c r="K477" s="212">
        <v>14</v>
      </c>
      <c r="L477" s="210"/>
      <c r="M477" s="210"/>
      <c r="N477" s="210"/>
      <c r="O477" s="210"/>
      <c r="P477" s="210"/>
      <c r="Q477" s="210"/>
      <c r="R477" s="213"/>
      <c r="T477" s="164"/>
      <c r="U477" s="160"/>
      <c r="V477" s="160"/>
      <c r="W477" s="160"/>
      <c r="X477" s="160"/>
      <c r="Y477" s="160"/>
      <c r="Z477" s="160"/>
      <c r="AA477" s="165"/>
      <c r="AT477" s="166" t="s">
        <v>179</v>
      </c>
      <c r="AU477" s="166" t="s">
        <v>135</v>
      </c>
      <c r="AV477" s="11" t="s">
        <v>135</v>
      </c>
      <c r="AW477" s="11" t="s">
        <v>35</v>
      </c>
      <c r="AX477" s="11" t="s">
        <v>78</v>
      </c>
      <c r="AY477" s="166" t="s">
        <v>167</v>
      </c>
    </row>
    <row r="478" spans="2:51" s="11" customFormat="1" ht="22.5" customHeight="1">
      <c r="B478" s="159"/>
      <c r="C478" s="210"/>
      <c r="D478" s="210"/>
      <c r="E478" s="211" t="s">
        <v>5</v>
      </c>
      <c r="F478" s="321" t="s">
        <v>1372</v>
      </c>
      <c r="G478" s="322"/>
      <c r="H478" s="322"/>
      <c r="I478" s="322"/>
      <c r="J478" s="210"/>
      <c r="K478" s="212">
        <v>7</v>
      </c>
      <c r="L478" s="210"/>
      <c r="M478" s="210"/>
      <c r="N478" s="210"/>
      <c r="O478" s="210"/>
      <c r="P478" s="210"/>
      <c r="Q478" s="210"/>
      <c r="R478" s="213"/>
      <c r="T478" s="164"/>
      <c r="U478" s="160"/>
      <c r="V478" s="160"/>
      <c r="W478" s="160"/>
      <c r="X478" s="160"/>
      <c r="Y478" s="160"/>
      <c r="Z478" s="160"/>
      <c r="AA478" s="165"/>
      <c r="AT478" s="166" t="s">
        <v>179</v>
      </c>
      <c r="AU478" s="166" t="s">
        <v>135</v>
      </c>
      <c r="AV478" s="11" t="s">
        <v>135</v>
      </c>
      <c r="AW478" s="11" t="s">
        <v>35</v>
      </c>
      <c r="AX478" s="11" t="s">
        <v>78</v>
      </c>
      <c r="AY478" s="166" t="s">
        <v>167</v>
      </c>
    </row>
    <row r="479" spans="2:51" s="11" customFormat="1" ht="22.5" customHeight="1">
      <c r="B479" s="159"/>
      <c r="C479" s="210"/>
      <c r="D479" s="210"/>
      <c r="E479" s="211" t="s">
        <v>5</v>
      </c>
      <c r="F479" s="321" t="s">
        <v>1373</v>
      </c>
      <c r="G479" s="322"/>
      <c r="H479" s="322"/>
      <c r="I479" s="322"/>
      <c r="J479" s="210"/>
      <c r="K479" s="212">
        <v>14</v>
      </c>
      <c r="L479" s="210"/>
      <c r="M479" s="210"/>
      <c r="N479" s="210"/>
      <c r="O479" s="210"/>
      <c r="P479" s="210"/>
      <c r="Q479" s="210"/>
      <c r="R479" s="213"/>
      <c r="T479" s="164"/>
      <c r="U479" s="160"/>
      <c r="V479" s="160"/>
      <c r="W479" s="160"/>
      <c r="X479" s="160"/>
      <c r="Y479" s="160"/>
      <c r="Z479" s="160"/>
      <c r="AA479" s="165"/>
      <c r="AT479" s="166" t="s">
        <v>179</v>
      </c>
      <c r="AU479" s="166" t="s">
        <v>135</v>
      </c>
      <c r="AV479" s="11" t="s">
        <v>135</v>
      </c>
      <c r="AW479" s="11" t="s">
        <v>35</v>
      </c>
      <c r="AX479" s="11" t="s">
        <v>78</v>
      </c>
      <c r="AY479" s="166" t="s">
        <v>167</v>
      </c>
    </row>
    <row r="480" spans="2:51" s="11" customFormat="1" ht="22.5" customHeight="1">
      <c r="B480" s="159"/>
      <c r="C480" s="210"/>
      <c r="D480" s="210"/>
      <c r="E480" s="211" t="s">
        <v>5</v>
      </c>
      <c r="F480" s="321" t="s">
        <v>1374</v>
      </c>
      <c r="G480" s="322"/>
      <c r="H480" s="322"/>
      <c r="I480" s="322"/>
      <c r="J480" s="210"/>
      <c r="K480" s="212">
        <v>3</v>
      </c>
      <c r="L480" s="210"/>
      <c r="M480" s="210"/>
      <c r="N480" s="210"/>
      <c r="O480" s="210"/>
      <c r="P480" s="210"/>
      <c r="Q480" s="210"/>
      <c r="R480" s="213"/>
      <c r="T480" s="164"/>
      <c r="U480" s="160"/>
      <c r="V480" s="160"/>
      <c r="W480" s="160"/>
      <c r="X480" s="160"/>
      <c r="Y480" s="160"/>
      <c r="Z480" s="160"/>
      <c r="AA480" s="165"/>
      <c r="AT480" s="166" t="s">
        <v>179</v>
      </c>
      <c r="AU480" s="166" t="s">
        <v>135</v>
      </c>
      <c r="AV480" s="11" t="s">
        <v>135</v>
      </c>
      <c r="AW480" s="11" t="s">
        <v>35</v>
      </c>
      <c r="AX480" s="11" t="s">
        <v>78</v>
      </c>
      <c r="AY480" s="166" t="s">
        <v>167</v>
      </c>
    </row>
    <row r="481" spans="2:51" s="11" customFormat="1" ht="22.5" customHeight="1">
      <c r="B481" s="159"/>
      <c r="C481" s="210"/>
      <c r="D481" s="210"/>
      <c r="E481" s="211" t="s">
        <v>5</v>
      </c>
      <c r="F481" s="321" t="s">
        <v>1375</v>
      </c>
      <c r="G481" s="322"/>
      <c r="H481" s="322"/>
      <c r="I481" s="322"/>
      <c r="J481" s="210"/>
      <c r="K481" s="212">
        <v>4</v>
      </c>
      <c r="L481" s="210"/>
      <c r="M481" s="210"/>
      <c r="N481" s="210"/>
      <c r="O481" s="210"/>
      <c r="P481" s="210"/>
      <c r="Q481" s="210"/>
      <c r="R481" s="213"/>
      <c r="T481" s="164"/>
      <c r="U481" s="160"/>
      <c r="V481" s="160"/>
      <c r="W481" s="160"/>
      <c r="X481" s="160"/>
      <c r="Y481" s="160"/>
      <c r="Z481" s="160"/>
      <c r="AA481" s="165"/>
      <c r="AT481" s="166" t="s">
        <v>179</v>
      </c>
      <c r="AU481" s="166" t="s">
        <v>135</v>
      </c>
      <c r="AV481" s="11" t="s">
        <v>135</v>
      </c>
      <c r="AW481" s="11" t="s">
        <v>35</v>
      </c>
      <c r="AX481" s="11" t="s">
        <v>78</v>
      </c>
      <c r="AY481" s="166" t="s">
        <v>167</v>
      </c>
    </row>
    <row r="482" spans="2:51" s="11" customFormat="1" ht="22.5" customHeight="1">
      <c r="B482" s="159"/>
      <c r="C482" s="210"/>
      <c r="D482" s="210"/>
      <c r="E482" s="211" t="s">
        <v>5</v>
      </c>
      <c r="F482" s="321" t="s">
        <v>1376</v>
      </c>
      <c r="G482" s="322"/>
      <c r="H482" s="322"/>
      <c r="I482" s="322"/>
      <c r="J482" s="210"/>
      <c r="K482" s="212">
        <v>4</v>
      </c>
      <c r="L482" s="210"/>
      <c r="M482" s="210"/>
      <c r="N482" s="210"/>
      <c r="O482" s="210"/>
      <c r="P482" s="210"/>
      <c r="Q482" s="210"/>
      <c r="R482" s="213"/>
      <c r="T482" s="164"/>
      <c r="U482" s="160"/>
      <c r="V482" s="160"/>
      <c r="W482" s="160"/>
      <c r="X482" s="160"/>
      <c r="Y482" s="160"/>
      <c r="Z482" s="160"/>
      <c r="AA482" s="165"/>
      <c r="AT482" s="166" t="s">
        <v>179</v>
      </c>
      <c r="AU482" s="166" t="s">
        <v>135</v>
      </c>
      <c r="AV482" s="11" t="s">
        <v>135</v>
      </c>
      <c r="AW482" s="11" t="s">
        <v>35</v>
      </c>
      <c r="AX482" s="11" t="s">
        <v>78</v>
      </c>
      <c r="AY482" s="166" t="s">
        <v>167</v>
      </c>
    </row>
    <row r="483" spans="2:51" s="12" customFormat="1" ht="22.5" customHeight="1">
      <c r="B483" s="167"/>
      <c r="C483" s="218"/>
      <c r="D483" s="218"/>
      <c r="E483" s="219" t="s">
        <v>5</v>
      </c>
      <c r="F483" s="327" t="s">
        <v>183</v>
      </c>
      <c r="G483" s="328"/>
      <c r="H483" s="328"/>
      <c r="I483" s="328"/>
      <c r="J483" s="218"/>
      <c r="K483" s="220">
        <f>SUM(K475:K482)</f>
        <v>60</v>
      </c>
      <c r="L483" s="218"/>
      <c r="M483" s="218"/>
      <c r="N483" s="218"/>
      <c r="O483" s="218"/>
      <c r="P483" s="218"/>
      <c r="Q483" s="218"/>
      <c r="R483" s="221"/>
      <c r="T483" s="172"/>
      <c r="U483" s="168"/>
      <c r="V483" s="168"/>
      <c r="W483" s="168"/>
      <c r="X483" s="168"/>
      <c r="Y483" s="168"/>
      <c r="Z483" s="168"/>
      <c r="AA483" s="173"/>
      <c r="AT483" s="174" t="s">
        <v>179</v>
      </c>
      <c r="AU483" s="174" t="s">
        <v>135</v>
      </c>
      <c r="AV483" s="12" t="s">
        <v>172</v>
      </c>
      <c r="AW483" s="12" t="s">
        <v>35</v>
      </c>
      <c r="AX483" s="12" t="s">
        <v>21</v>
      </c>
      <c r="AY483" s="174" t="s">
        <v>167</v>
      </c>
    </row>
    <row r="484" spans="2:65" s="1" customFormat="1" ht="22.5" customHeight="1">
      <c r="B484" s="141"/>
      <c r="C484" s="201" t="s">
        <v>920</v>
      </c>
      <c r="D484" s="201" t="s">
        <v>168</v>
      </c>
      <c r="E484" s="202" t="s">
        <v>1595</v>
      </c>
      <c r="F484" s="317" t="s">
        <v>1596</v>
      </c>
      <c r="G484" s="317"/>
      <c r="H484" s="317"/>
      <c r="I484" s="317"/>
      <c r="J484" s="203" t="s">
        <v>578</v>
      </c>
      <c r="K484" s="204">
        <v>88</v>
      </c>
      <c r="L484" s="318"/>
      <c r="M484" s="318"/>
      <c r="N484" s="318">
        <f>ROUND(L484*K484,2)</f>
        <v>0</v>
      </c>
      <c r="O484" s="318"/>
      <c r="P484" s="318"/>
      <c r="Q484" s="318"/>
      <c r="R484" s="205"/>
      <c r="T484" s="147" t="s">
        <v>5</v>
      </c>
      <c r="U484" s="44" t="s">
        <v>43</v>
      </c>
      <c r="V484" s="148">
        <v>25.283</v>
      </c>
      <c r="W484" s="148">
        <f>V484*K484</f>
        <v>2224.904</v>
      </c>
      <c r="X484" s="148">
        <v>2.72625</v>
      </c>
      <c r="Y484" s="148">
        <f>X484*K484</f>
        <v>239.91</v>
      </c>
      <c r="Z484" s="148">
        <v>0</v>
      </c>
      <c r="AA484" s="149">
        <f>Z484*K484</f>
        <v>0</v>
      </c>
      <c r="AR484" s="21" t="s">
        <v>172</v>
      </c>
      <c r="AT484" s="21" t="s">
        <v>168</v>
      </c>
      <c r="AU484" s="21" t="s">
        <v>135</v>
      </c>
      <c r="AY484" s="21" t="s">
        <v>167</v>
      </c>
      <c r="BE484" s="150">
        <f>IF(U484="základní",N484,0)</f>
        <v>0</v>
      </c>
      <c r="BF484" s="150">
        <f>IF(U484="snížená",N484,0)</f>
        <v>0</v>
      </c>
      <c r="BG484" s="150">
        <f>IF(U484="zákl. přenesená",N484,0)</f>
        <v>0</v>
      </c>
      <c r="BH484" s="150">
        <f>IF(U484="sníž. přenesená",N484,0)</f>
        <v>0</v>
      </c>
      <c r="BI484" s="150">
        <f>IF(U484="nulová",N484,0)</f>
        <v>0</v>
      </c>
      <c r="BJ484" s="21" t="s">
        <v>21</v>
      </c>
      <c r="BK484" s="150">
        <f>ROUND(L484*K484,2)</f>
        <v>0</v>
      </c>
      <c r="BL484" s="21" t="s">
        <v>172</v>
      </c>
      <c r="BM484" s="21" t="s">
        <v>1597</v>
      </c>
    </row>
    <row r="485" spans="2:65" s="1" customFormat="1" ht="22.5" customHeight="1">
      <c r="B485" s="141"/>
      <c r="C485" s="201" t="s">
        <v>924</v>
      </c>
      <c r="D485" s="201" t="s">
        <v>168</v>
      </c>
      <c r="E485" s="202" t="s">
        <v>1598</v>
      </c>
      <c r="F485" s="317" t="s">
        <v>1599</v>
      </c>
      <c r="G485" s="317"/>
      <c r="H485" s="317"/>
      <c r="I485" s="317"/>
      <c r="J485" s="203" t="s">
        <v>578</v>
      </c>
      <c r="K485" s="204">
        <v>88</v>
      </c>
      <c r="L485" s="318"/>
      <c r="M485" s="318"/>
      <c r="N485" s="318">
        <f>ROUND(L485*K485,2)</f>
        <v>0</v>
      </c>
      <c r="O485" s="318"/>
      <c r="P485" s="318"/>
      <c r="Q485" s="318"/>
      <c r="R485" s="205"/>
      <c r="T485" s="147" t="s">
        <v>5</v>
      </c>
      <c r="U485" s="44" t="s">
        <v>43</v>
      </c>
      <c r="V485" s="148">
        <v>25.283</v>
      </c>
      <c r="W485" s="148">
        <f>V485*K485</f>
        <v>2224.904</v>
      </c>
      <c r="X485" s="148">
        <v>2.72625</v>
      </c>
      <c r="Y485" s="148">
        <f>X485*K485</f>
        <v>239.91</v>
      </c>
      <c r="Z485" s="148">
        <v>0</v>
      </c>
      <c r="AA485" s="149">
        <f>Z485*K485</f>
        <v>0</v>
      </c>
      <c r="AR485" s="21" t="s">
        <v>172</v>
      </c>
      <c r="AT485" s="21" t="s">
        <v>168</v>
      </c>
      <c r="AU485" s="21" t="s">
        <v>135</v>
      </c>
      <c r="AY485" s="21" t="s">
        <v>167</v>
      </c>
      <c r="BE485" s="150">
        <f>IF(U485="základní",N485,0)</f>
        <v>0</v>
      </c>
      <c r="BF485" s="150">
        <f>IF(U485="snížená",N485,0)</f>
        <v>0</v>
      </c>
      <c r="BG485" s="150">
        <f>IF(U485="zákl. přenesená",N485,0)</f>
        <v>0</v>
      </c>
      <c r="BH485" s="150">
        <f>IF(U485="sníž. přenesená",N485,0)</f>
        <v>0</v>
      </c>
      <c r="BI485" s="150">
        <f>IF(U485="nulová",N485,0)</f>
        <v>0</v>
      </c>
      <c r="BJ485" s="21" t="s">
        <v>21</v>
      </c>
      <c r="BK485" s="150">
        <f>ROUND(L485*K485,2)</f>
        <v>0</v>
      </c>
      <c r="BL485" s="21" t="s">
        <v>172</v>
      </c>
      <c r="BM485" s="21" t="s">
        <v>1600</v>
      </c>
    </row>
    <row r="486" spans="2:63" s="9" customFormat="1" ht="29.85" customHeight="1">
      <c r="B486" s="130"/>
      <c r="C486" s="222"/>
      <c r="D486" s="223" t="s">
        <v>1269</v>
      </c>
      <c r="E486" s="223"/>
      <c r="F486" s="223"/>
      <c r="G486" s="223"/>
      <c r="H486" s="223"/>
      <c r="I486" s="223"/>
      <c r="J486" s="223"/>
      <c r="K486" s="223"/>
      <c r="L486" s="223"/>
      <c r="M486" s="223"/>
      <c r="N486" s="335">
        <f>BK486</f>
        <v>0</v>
      </c>
      <c r="O486" s="336"/>
      <c r="P486" s="336"/>
      <c r="Q486" s="336"/>
      <c r="R486" s="224"/>
      <c r="T486" s="134"/>
      <c r="U486" s="131"/>
      <c r="V486" s="131"/>
      <c r="W486" s="135">
        <f>SUM(W487:W514)</f>
        <v>96.96989999999997</v>
      </c>
      <c r="X486" s="131"/>
      <c r="Y486" s="135">
        <f>SUM(Y487:Y514)</f>
        <v>5.0034600000000005</v>
      </c>
      <c r="Z486" s="131"/>
      <c r="AA486" s="136">
        <f>SUM(AA487:AA514)</f>
        <v>0</v>
      </c>
      <c r="AR486" s="137" t="s">
        <v>21</v>
      </c>
      <c r="AT486" s="138" t="s">
        <v>77</v>
      </c>
      <c r="AU486" s="138" t="s">
        <v>21</v>
      </c>
      <c r="AY486" s="137" t="s">
        <v>167</v>
      </c>
      <c r="BK486" s="139">
        <f>SUM(BK487:BK514)</f>
        <v>0</v>
      </c>
    </row>
    <row r="487" spans="2:65" s="1" customFormat="1" ht="44.25" customHeight="1">
      <c r="B487" s="141"/>
      <c r="C487" s="201" t="s">
        <v>261</v>
      </c>
      <c r="D487" s="201" t="s">
        <v>168</v>
      </c>
      <c r="E487" s="202" t="s">
        <v>1601</v>
      </c>
      <c r="F487" s="317" t="s">
        <v>1602</v>
      </c>
      <c r="G487" s="317"/>
      <c r="H487" s="317"/>
      <c r="I487" s="317"/>
      <c r="J487" s="203" t="s">
        <v>578</v>
      </c>
      <c r="K487" s="204">
        <v>1</v>
      </c>
      <c r="L487" s="318"/>
      <c r="M487" s="318"/>
      <c r="N487" s="318">
        <f>ROUND(L487*K487,2)</f>
        <v>0</v>
      </c>
      <c r="O487" s="318"/>
      <c r="P487" s="318"/>
      <c r="Q487" s="318"/>
      <c r="R487" s="205"/>
      <c r="T487" s="147" t="s">
        <v>5</v>
      </c>
      <c r="U487" s="44" t="s">
        <v>43</v>
      </c>
      <c r="V487" s="148">
        <v>21.292</v>
      </c>
      <c r="W487" s="148">
        <f>V487*K487</f>
        <v>21.292</v>
      </c>
      <c r="X487" s="148">
        <v>2.11676</v>
      </c>
      <c r="Y487" s="148">
        <f>X487*K487</f>
        <v>2.11676</v>
      </c>
      <c r="Z487" s="148">
        <v>0</v>
      </c>
      <c r="AA487" s="149">
        <f>Z487*K487</f>
        <v>0</v>
      </c>
      <c r="AR487" s="21" t="s">
        <v>172</v>
      </c>
      <c r="AT487" s="21" t="s">
        <v>168</v>
      </c>
      <c r="AU487" s="21" t="s">
        <v>135</v>
      </c>
      <c r="AY487" s="21" t="s">
        <v>167</v>
      </c>
      <c r="BE487" s="150">
        <f>IF(U487="základní",N487,0)</f>
        <v>0</v>
      </c>
      <c r="BF487" s="150">
        <f>IF(U487="snížená",N487,0)</f>
        <v>0</v>
      </c>
      <c r="BG487" s="150">
        <f>IF(U487="zákl. přenesená",N487,0)</f>
        <v>0</v>
      </c>
      <c r="BH487" s="150">
        <f>IF(U487="sníž. přenesená",N487,0)</f>
        <v>0</v>
      </c>
      <c r="BI487" s="150">
        <f>IF(U487="nulová",N487,0)</f>
        <v>0</v>
      </c>
      <c r="BJ487" s="21" t="s">
        <v>21</v>
      </c>
      <c r="BK487" s="150">
        <f>ROUND(L487*K487,2)</f>
        <v>0</v>
      </c>
      <c r="BL487" s="21" t="s">
        <v>172</v>
      </c>
      <c r="BM487" s="21" t="s">
        <v>1603</v>
      </c>
    </row>
    <row r="488" spans="2:65" s="1" customFormat="1" ht="22.5" customHeight="1">
      <c r="B488" s="141"/>
      <c r="C488" s="201" t="s">
        <v>931</v>
      </c>
      <c r="D488" s="201" t="s">
        <v>168</v>
      </c>
      <c r="E488" s="202" t="s">
        <v>1604</v>
      </c>
      <c r="F488" s="317" t="s">
        <v>1605</v>
      </c>
      <c r="G488" s="317"/>
      <c r="H488" s="317"/>
      <c r="I488" s="317"/>
      <c r="J488" s="203" t="s">
        <v>578</v>
      </c>
      <c r="K488" s="204">
        <v>1</v>
      </c>
      <c r="L488" s="318"/>
      <c r="M488" s="318"/>
      <c r="N488" s="318">
        <f>ROUND(L488*K488,2)</f>
        <v>0</v>
      </c>
      <c r="O488" s="318"/>
      <c r="P488" s="318"/>
      <c r="Q488" s="318"/>
      <c r="R488" s="205"/>
      <c r="T488" s="147" t="s">
        <v>5</v>
      </c>
      <c r="U488" s="44" t="s">
        <v>43</v>
      </c>
      <c r="V488" s="148">
        <v>21.292</v>
      </c>
      <c r="W488" s="148">
        <f>V488*K488</f>
        <v>21.292</v>
      </c>
      <c r="X488" s="148">
        <v>2.11676</v>
      </c>
      <c r="Y488" s="148">
        <f>X488*K488</f>
        <v>2.11676</v>
      </c>
      <c r="Z488" s="148">
        <v>0</v>
      </c>
      <c r="AA488" s="149">
        <f>Z488*K488</f>
        <v>0</v>
      </c>
      <c r="AR488" s="21" t="s">
        <v>172</v>
      </c>
      <c r="AT488" s="21" t="s">
        <v>168</v>
      </c>
      <c r="AU488" s="21" t="s">
        <v>135</v>
      </c>
      <c r="AY488" s="21" t="s">
        <v>167</v>
      </c>
      <c r="BE488" s="150">
        <f>IF(U488="základní",N488,0)</f>
        <v>0</v>
      </c>
      <c r="BF488" s="150">
        <f>IF(U488="snížená",N488,0)</f>
        <v>0</v>
      </c>
      <c r="BG488" s="150">
        <f>IF(U488="zákl. přenesená",N488,0)</f>
        <v>0</v>
      </c>
      <c r="BH488" s="150">
        <f>IF(U488="sníž. přenesená",N488,0)</f>
        <v>0</v>
      </c>
      <c r="BI488" s="150">
        <f>IF(U488="nulová",N488,0)</f>
        <v>0</v>
      </c>
      <c r="BJ488" s="21" t="s">
        <v>21</v>
      </c>
      <c r="BK488" s="150">
        <f>ROUND(L488*K488,2)</f>
        <v>0</v>
      </c>
      <c r="BL488" s="21" t="s">
        <v>172</v>
      </c>
      <c r="BM488" s="21" t="s">
        <v>1606</v>
      </c>
    </row>
    <row r="489" spans="2:65" s="1" customFormat="1" ht="22.5" customHeight="1">
      <c r="B489" s="141"/>
      <c r="C489" s="201" t="s">
        <v>935</v>
      </c>
      <c r="D489" s="201" t="s">
        <v>168</v>
      </c>
      <c r="E489" s="202" t="s">
        <v>1586</v>
      </c>
      <c r="F489" s="317" t="s">
        <v>1587</v>
      </c>
      <c r="G489" s="317"/>
      <c r="H489" s="317"/>
      <c r="I489" s="317"/>
      <c r="J489" s="203" t="s">
        <v>578</v>
      </c>
      <c r="K489" s="204">
        <v>3</v>
      </c>
      <c r="L489" s="318"/>
      <c r="M489" s="318"/>
      <c r="N489" s="318">
        <f>ROUND(L489*K489,2)</f>
        <v>0</v>
      </c>
      <c r="O489" s="318"/>
      <c r="P489" s="318"/>
      <c r="Q489" s="318"/>
      <c r="R489" s="205"/>
      <c r="T489" s="147" t="s">
        <v>5</v>
      </c>
      <c r="U489" s="44" t="s">
        <v>43</v>
      </c>
      <c r="V489" s="148">
        <v>1.562</v>
      </c>
      <c r="W489" s="148">
        <f>V489*K489</f>
        <v>4.686</v>
      </c>
      <c r="X489" s="148">
        <v>0.00918</v>
      </c>
      <c r="Y489" s="148">
        <f>X489*K489</f>
        <v>0.027540000000000002</v>
      </c>
      <c r="Z489" s="148">
        <v>0</v>
      </c>
      <c r="AA489" s="149">
        <f>Z489*K489</f>
        <v>0</v>
      </c>
      <c r="AR489" s="21" t="s">
        <v>172</v>
      </c>
      <c r="AT489" s="21" t="s">
        <v>168</v>
      </c>
      <c r="AU489" s="21" t="s">
        <v>135</v>
      </c>
      <c r="AY489" s="21" t="s">
        <v>167</v>
      </c>
      <c r="BE489" s="150">
        <f>IF(U489="základní",N489,0)</f>
        <v>0</v>
      </c>
      <c r="BF489" s="150">
        <f>IF(U489="snížená",N489,0)</f>
        <v>0</v>
      </c>
      <c r="BG489" s="150">
        <f>IF(U489="zákl. přenesená",N489,0)</f>
        <v>0</v>
      </c>
      <c r="BH489" s="150">
        <f>IF(U489="sníž. přenesená",N489,0)</f>
        <v>0</v>
      </c>
      <c r="BI489" s="150">
        <f>IF(U489="nulová",N489,0)</f>
        <v>0</v>
      </c>
      <c r="BJ489" s="21" t="s">
        <v>21</v>
      </c>
      <c r="BK489" s="150">
        <f>ROUND(L489*K489,2)</f>
        <v>0</v>
      </c>
      <c r="BL489" s="21" t="s">
        <v>172</v>
      </c>
      <c r="BM489" s="21" t="s">
        <v>1607</v>
      </c>
    </row>
    <row r="490" spans="2:65" s="1" customFormat="1" ht="31.5" customHeight="1">
      <c r="B490" s="141"/>
      <c r="C490" s="225" t="s">
        <v>939</v>
      </c>
      <c r="D490" s="225" t="s">
        <v>317</v>
      </c>
      <c r="E490" s="226" t="s">
        <v>1608</v>
      </c>
      <c r="F490" s="331" t="s">
        <v>1609</v>
      </c>
      <c r="G490" s="331"/>
      <c r="H490" s="331"/>
      <c r="I490" s="331"/>
      <c r="J490" s="227" t="s">
        <v>578</v>
      </c>
      <c r="K490" s="228">
        <v>3</v>
      </c>
      <c r="L490" s="332"/>
      <c r="M490" s="332"/>
      <c r="N490" s="332">
        <f>ROUND(L490*K490,2)</f>
        <v>0</v>
      </c>
      <c r="O490" s="318"/>
      <c r="P490" s="318"/>
      <c r="Q490" s="318"/>
      <c r="R490" s="205"/>
      <c r="T490" s="147" t="s">
        <v>5</v>
      </c>
      <c r="U490" s="44" t="s">
        <v>43</v>
      </c>
      <c r="V490" s="148">
        <v>0</v>
      </c>
      <c r="W490" s="148">
        <f>V490*K490</f>
        <v>0</v>
      </c>
      <c r="X490" s="148">
        <v>0.196</v>
      </c>
      <c r="Y490" s="148">
        <f>X490*K490</f>
        <v>0.5880000000000001</v>
      </c>
      <c r="Z490" s="148">
        <v>0</v>
      </c>
      <c r="AA490" s="149">
        <f>Z490*K490</f>
        <v>0</v>
      </c>
      <c r="AR490" s="21" t="s">
        <v>213</v>
      </c>
      <c r="AT490" s="21" t="s">
        <v>317</v>
      </c>
      <c r="AU490" s="21" t="s">
        <v>135</v>
      </c>
      <c r="AY490" s="21" t="s">
        <v>167</v>
      </c>
      <c r="BE490" s="150">
        <f>IF(U490="základní",N490,0)</f>
        <v>0</v>
      </c>
      <c r="BF490" s="150">
        <f>IF(U490="snížená",N490,0)</f>
        <v>0</v>
      </c>
      <c r="BG490" s="150">
        <f>IF(U490="zákl. přenesená",N490,0)</f>
        <v>0</v>
      </c>
      <c r="BH490" s="150">
        <f>IF(U490="sníž. přenesená",N490,0)</f>
        <v>0</v>
      </c>
      <c r="BI490" s="150">
        <f>IF(U490="nulová",N490,0)</f>
        <v>0</v>
      </c>
      <c r="BJ490" s="21" t="s">
        <v>21</v>
      </c>
      <c r="BK490" s="150">
        <f>ROUND(L490*K490,2)</f>
        <v>0</v>
      </c>
      <c r="BL490" s="21" t="s">
        <v>172</v>
      </c>
      <c r="BM490" s="21" t="s">
        <v>1610</v>
      </c>
    </row>
    <row r="491" spans="2:65" s="1" customFormat="1" ht="31.5" customHeight="1">
      <c r="B491" s="141"/>
      <c r="C491" s="201" t="s">
        <v>943</v>
      </c>
      <c r="D491" s="201" t="s">
        <v>168</v>
      </c>
      <c r="E491" s="202" t="s">
        <v>1611</v>
      </c>
      <c r="F491" s="317" t="s">
        <v>1612</v>
      </c>
      <c r="G491" s="317"/>
      <c r="H491" s="317"/>
      <c r="I491" s="317"/>
      <c r="J491" s="203" t="s">
        <v>176</v>
      </c>
      <c r="K491" s="204">
        <v>11.9</v>
      </c>
      <c r="L491" s="318"/>
      <c r="M491" s="318"/>
      <c r="N491" s="318">
        <f>ROUND(L491*K491,2)</f>
        <v>0</v>
      </c>
      <c r="O491" s="318"/>
      <c r="P491" s="318"/>
      <c r="Q491" s="318"/>
      <c r="R491" s="205"/>
      <c r="T491" s="147" t="s">
        <v>5</v>
      </c>
      <c r="U491" s="44" t="s">
        <v>43</v>
      </c>
      <c r="V491" s="148">
        <v>1.319</v>
      </c>
      <c r="W491" s="148">
        <f>V491*K491</f>
        <v>15.6961</v>
      </c>
      <c r="X491" s="148">
        <v>0</v>
      </c>
      <c r="Y491" s="148">
        <f>X491*K491</f>
        <v>0</v>
      </c>
      <c r="Z491" s="148">
        <v>0</v>
      </c>
      <c r="AA491" s="149">
        <f>Z491*K491</f>
        <v>0</v>
      </c>
      <c r="AR491" s="21" t="s">
        <v>172</v>
      </c>
      <c r="AT491" s="21" t="s">
        <v>168</v>
      </c>
      <c r="AU491" s="21" t="s">
        <v>135</v>
      </c>
      <c r="AY491" s="21" t="s">
        <v>167</v>
      </c>
      <c r="BE491" s="150">
        <f>IF(U491="základní",N491,0)</f>
        <v>0</v>
      </c>
      <c r="BF491" s="150">
        <f>IF(U491="snížená",N491,0)</f>
        <v>0</v>
      </c>
      <c r="BG491" s="150">
        <f>IF(U491="zákl. přenesená",N491,0)</f>
        <v>0</v>
      </c>
      <c r="BH491" s="150">
        <f>IF(U491="sníž. přenesená",N491,0)</f>
        <v>0</v>
      </c>
      <c r="BI491" s="150">
        <f>IF(U491="nulová",N491,0)</f>
        <v>0</v>
      </c>
      <c r="BJ491" s="21" t="s">
        <v>21</v>
      </c>
      <c r="BK491" s="150">
        <f>ROUND(L491*K491,2)</f>
        <v>0</v>
      </c>
      <c r="BL491" s="21" t="s">
        <v>172</v>
      </c>
      <c r="BM491" s="21" t="s">
        <v>1613</v>
      </c>
    </row>
    <row r="492" spans="2:51" s="10" customFormat="1" ht="22.5" customHeight="1">
      <c r="B492" s="151"/>
      <c r="C492" s="206"/>
      <c r="D492" s="206"/>
      <c r="E492" s="207" t="s">
        <v>5</v>
      </c>
      <c r="F492" s="319" t="s">
        <v>1614</v>
      </c>
      <c r="G492" s="320"/>
      <c r="H492" s="320"/>
      <c r="I492" s="320"/>
      <c r="J492" s="206"/>
      <c r="K492" s="208" t="s">
        <v>5</v>
      </c>
      <c r="L492" s="206"/>
      <c r="M492" s="206"/>
      <c r="N492" s="206"/>
      <c r="O492" s="206"/>
      <c r="P492" s="206"/>
      <c r="Q492" s="206"/>
      <c r="R492" s="209"/>
      <c r="T492" s="156"/>
      <c r="U492" s="152"/>
      <c r="V492" s="152"/>
      <c r="W492" s="152"/>
      <c r="X492" s="152"/>
      <c r="Y492" s="152"/>
      <c r="Z492" s="152"/>
      <c r="AA492" s="157"/>
      <c r="AT492" s="158" t="s">
        <v>179</v>
      </c>
      <c r="AU492" s="158" t="s">
        <v>135</v>
      </c>
      <c r="AV492" s="10" t="s">
        <v>21</v>
      </c>
      <c r="AW492" s="10" t="s">
        <v>35</v>
      </c>
      <c r="AX492" s="10" t="s">
        <v>78</v>
      </c>
      <c r="AY492" s="158" t="s">
        <v>167</v>
      </c>
    </row>
    <row r="493" spans="2:51" s="11" customFormat="1" ht="22.5" customHeight="1">
      <c r="B493" s="159"/>
      <c r="C493" s="210"/>
      <c r="D493" s="210"/>
      <c r="E493" s="211" t="s">
        <v>5</v>
      </c>
      <c r="F493" s="321" t="s">
        <v>1615</v>
      </c>
      <c r="G493" s="322"/>
      <c r="H493" s="322"/>
      <c r="I493" s="322"/>
      <c r="J493" s="210"/>
      <c r="K493" s="212">
        <v>7.973</v>
      </c>
      <c r="L493" s="210"/>
      <c r="M493" s="210"/>
      <c r="N493" s="210"/>
      <c r="O493" s="210"/>
      <c r="P493" s="210"/>
      <c r="Q493" s="210"/>
      <c r="R493" s="213"/>
      <c r="T493" s="164"/>
      <c r="U493" s="160"/>
      <c r="V493" s="160"/>
      <c r="W493" s="160"/>
      <c r="X493" s="160"/>
      <c r="Y493" s="160"/>
      <c r="Z493" s="160"/>
      <c r="AA493" s="165"/>
      <c r="AT493" s="166" t="s">
        <v>179</v>
      </c>
      <c r="AU493" s="166" t="s">
        <v>135</v>
      </c>
      <c r="AV493" s="11" t="s">
        <v>135</v>
      </c>
      <c r="AW493" s="11" t="s">
        <v>35</v>
      </c>
      <c r="AX493" s="11" t="s">
        <v>78</v>
      </c>
      <c r="AY493" s="166" t="s">
        <v>167</v>
      </c>
    </row>
    <row r="494" spans="2:51" s="10" customFormat="1" ht="22.5" customHeight="1">
      <c r="B494" s="151"/>
      <c r="C494" s="206"/>
      <c r="D494" s="206"/>
      <c r="E494" s="207" t="s">
        <v>5</v>
      </c>
      <c r="F494" s="325" t="s">
        <v>1616</v>
      </c>
      <c r="G494" s="326"/>
      <c r="H494" s="326"/>
      <c r="I494" s="326"/>
      <c r="J494" s="206"/>
      <c r="K494" s="208" t="s">
        <v>5</v>
      </c>
      <c r="L494" s="206"/>
      <c r="M494" s="206"/>
      <c r="N494" s="206"/>
      <c r="O494" s="206"/>
      <c r="P494" s="206"/>
      <c r="Q494" s="206"/>
      <c r="R494" s="209"/>
      <c r="T494" s="156"/>
      <c r="U494" s="152"/>
      <c r="V494" s="152"/>
      <c r="W494" s="152"/>
      <c r="X494" s="152"/>
      <c r="Y494" s="152"/>
      <c r="Z494" s="152"/>
      <c r="AA494" s="157"/>
      <c r="AT494" s="158" t="s">
        <v>179</v>
      </c>
      <c r="AU494" s="158" t="s">
        <v>135</v>
      </c>
      <c r="AV494" s="10" t="s">
        <v>21</v>
      </c>
      <c r="AW494" s="10" t="s">
        <v>35</v>
      </c>
      <c r="AX494" s="10" t="s">
        <v>78</v>
      </c>
      <c r="AY494" s="158" t="s">
        <v>167</v>
      </c>
    </row>
    <row r="495" spans="2:51" s="11" customFormat="1" ht="22.5" customHeight="1">
      <c r="B495" s="159"/>
      <c r="C495" s="210"/>
      <c r="D495" s="210"/>
      <c r="E495" s="211" t="s">
        <v>5</v>
      </c>
      <c r="F495" s="321" t="s">
        <v>1617</v>
      </c>
      <c r="G495" s="322"/>
      <c r="H495" s="322"/>
      <c r="I495" s="322"/>
      <c r="J495" s="210"/>
      <c r="K495" s="212">
        <v>3.927</v>
      </c>
      <c r="L495" s="210"/>
      <c r="M495" s="210"/>
      <c r="N495" s="210"/>
      <c r="O495" s="210"/>
      <c r="P495" s="210"/>
      <c r="Q495" s="210"/>
      <c r="R495" s="213"/>
      <c r="T495" s="164"/>
      <c r="U495" s="160"/>
      <c r="V495" s="160"/>
      <c r="W495" s="160"/>
      <c r="X495" s="160"/>
      <c r="Y495" s="160"/>
      <c r="Z495" s="160"/>
      <c r="AA495" s="165"/>
      <c r="AT495" s="166" t="s">
        <v>179</v>
      </c>
      <c r="AU495" s="166" t="s">
        <v>135</v>
      </c>
      <c r="AV495" s="11" t="s">
        <v>135</v>
      </c>
      <c r="AW495" s="11" t="s">
        <v>35</v>
      </c>
      <c r="AX495" s="11" t="s">
        <v>78</v>
      </c>
      <c r="AY495" s="166" t="s">
        <v>167</v>
      </c>
    </row>
    <row r="496" spans="2:51" s="12" customFormat="1" ht="22.5" customHeight="1">
      <c r="B496" s="167"/>
      <c r="C496" s="218"/>
      <c r="D496" s="218"/>
      <c r="E496" s="219" t="s">
        <v>5</v>
      </c>
      <c r="F496" s="327" t="s">
        <v>183</v>
      </c>
      <c r="G496" s="328"/>
      <c r="H496" s="328"/>
      <c r="I496" s="328"/>
      <c r="J496" s="218"/>
      <c r="K496" s="220">
        <v>11.9</v>
      </c>
      <c r="L496" s="218"/>
      <c r="M496" s="218"/>
      <c r="N496" s="218"/>
      <c r="O496" s="218"/>
      <c r="P496" s="218"/>
      <c r="Q496" s="218"/>
      <c r="R496" s="221"/>
      <c r="T496" s="172"/>
      <c r="U496" s="168"/>
      <c r="V496" s="168"/>
      <c r="W496" s="168"/>
      <c r="X496" s="168"/>
      <c r="Y496" s="168"/>
      <c r="Z496" s="168"/>
      <c r="AA496" s="173"/>
      <c r="AT496" s="174" t="s">
        <v>179</v>
      </c>
      <c r="AU496" s="174" t="s">
        <v>135</v>
      </c>
      <c r="AV496" s="12" t="s">
        <v>172</v>
      </c>
      <c r="AW496" s="12" t="s">
        <v>35</v>
      </c>
      <c r="AX496" s="12" t="s">
        <v>21</v>
      </c>
      <c r="AY496" s="174" t="s">
        <v>167</v>
      </c>
    </row>
    <row r="497" spans="2:65" s="1" customFormat="1" ht="22.5" customHeight="1">
      <c r="B497" s="141"/>
      <c r="C497" s="201" t="s">
        <v>947</v>
      </c>
      <c r="D497" s="201" t="s">
        <v>168</v>
      </c>
      <c r="E497" s="202" t="s">
        <v>1618</v>
      </c>
      <c r="F497" s="317" t="s">
        <v>1619</v>
      </c>
      <c r="G497" s="317"/>
      <c r="H497" s="317"/>
      <c r="I497" s="317"/>
      <c r="J497" s="203" t="s">
        <v>176</v>
      </c>
      <c r="K497" s="204">
        <v>4.2</v>
      </c>
      <c r="L497" s="318"/>
      <c r="M497" s="318"/>
      <c r="N497" s="318">
        <f>ROUND(L497*K497,2)</f>
        <v>0</v>
      </c>
      <c r="O497" s="318"/>
      <c r="P497" s="318"/>
      <c r="Q497" s="318"/>
      <c r="R497" s="205"/>
      <c r="T497" s="147" t="s">
        <v>5</v>
      </c>
      <c r="U497" s="44" t="s">
        <v>43</v>
      </c>
      <c r="V497" s="148">
        <v>1.319</v>
      </c>
      <c r="W497" s="148">
        <f>V497*K497</f>
        <v>5.5398</v>
      </c>
      <c r="X497" s="148">
        <v>0</v>
      </c>
      <c r="Y497" s="148">
        <f>X497*K497</f>
        <v>0</v>
      </c>
      <c r="Z497" s="148">
        <v>0</v>
      </c>
      <c r="AA497" s="149">
        <f>Z497*K497</f>
        <v>0</v>
      </c>
      <c r="AR497" s="21" t="s">
        <v>172</v>
      </c>
      <c r="AT497" s="21" t="s">
        <v>168</v>
      </c>
      <c r="AU497" s="21" t="s">
        <v>135</v>
      </c>
      <c r="AY497" s="21" t="s">
        <v>167</v>
      </c>
      <c r="BE497" s="150">
        <f>IF(U497="základní",N497,0)</f>
        <v>0</v>
      </c>
      <c r="BF497" s="150">
        <f>IF(U497="snížená",N497,0)</f>
        <v>0</v>
      </c>
      <c r="BG497" s="150">
        <f>IF(U497="zákl. přenesená",N497,0)</f>
        <v>0</v>
      </c>
      <c r="BH497" s="150">
        <f>IF(U497="sníž. přenesená",N497,0)</f>
        <v>0</v>
      </c>
      <c r="BI497" s="150">
        <f>IF(U497="nulová",N497,0)</f>
        <v>0</v>
      </c>
      <c r="BJ497" s="21" t="s">
        <v>21</v>
      </c>
      <c r="BK497" s="150">
        <f>ROUND(L497*K497,2)</f>
        <v>0</v>
      </c>
      <c r="BL497" s="21" t="s">
        <v>172</v>
      </c>
      <c r="BM497" s="21" t="s">
        <v>1620</v>
      </c>
    </row>
    <row r="498" spans="2:51" s="10" customFormat="1" ht="22.5" customHeight="1">
      <c r="B498" s="151"/>
      <c r="C498" s="206"/>
      <c r="D498" s="206"/>
      <c r="E498" s="207" t="s">
        <v>5</v>
      </c>
      <c r="F498" s="319" t="s">
        <v>1621</v>
      </c>
      <c r="G498" s="320"/>
      <c r="H498" s="320"/>
      <c r="I498" s="320"/>
      <c r="J498" s="206"/>
      <c r="K498" s="208" t="s">
        <v>5</v>
      </c>
      <c r="L498" s="206"/>
      <c r="M498" s="206"/>
      <c r="N498" s="206"/>
      <c r="O498" s="206"/>
      <c r="P498" s="206"/>
      <c r="Q498" s="206"/>
      <c r="R498" s="209"/>
      <c r="T498" s="156"/>
      <c r="U498" s="152"/>
      <c r="V498" s="152"/>
      <c r="W498" s="152"/>
      <c r="X498" s="152"/>
      <c r="Y498" s="152"/>
      <c r="Z498" s="152"/>
      <c r="AA498" s="157"/>
      <c r="AT498" s="158" t="s">
        <v>179</v>
      </c>
      <c r="AU498" s="158" t="s">
        <v>135</v>
      </c>
      <c r="AV498" s="10" t="s">
        <v>21</v>
      </c>
      <c r="AW498" s="10" t="s">
        <v>35</v>
      </c>
      <c r="AX498" s="10" t="s">
        <v>78</v>
      </c>
      <c r="AY498" s="158" t="s">
        <v>167</v>
      </c>
    </row>
    <row r="499" spans="2:51" s="11" customFormat="1" ht="22.5" customHeight="1">
      <c r="B499" s="159"/>
      <c r="C499" s="210"/>
      <c r="D499" s="210"/>
      <c r="E499" s="211" t="s">
        <v>5</v>
      </c>
      <c r="F499" s="321" t="s">
        <v>1622</v>
      </c>
      <c r="G499" s="322"/>
      <c r="H499" s="322"/>
      <c r="I499" s="322"/>
      <c r="J499" s="210"/>
      <c r="K499" s="212">
        <v>4.2</v>
      </c>
      <c r="L499" s="210"/>
      <c r="M499" s="210"/>
      <c r="N499" s="210"/>
      <c r="O499" s="210"/>
      <c r="P499" s="210"/>
      <c r="Q499" s="210"/>
      <c r="R499" s="213"/>
      <c r="T499" s="164"/>
      <c r="U499" s="160"/>
      <c r="V499" s="160"/>
      <c r="W499" s="160"/>
      <c r="X499" s="160"/>
      <c r="Y499" s="160"/>
      <c r="Z499" s="160"/>
      <c r="AA499" s="165"/>
      <c r="AT499" s="166" t="s">
        <v>179</v>
      </c>
      <c r="AU499" s="166" t="s">
        <v>135</v>
      </c>
      <c r="AV499" s="11" t="s">
        <v>135</v>
      </c>
      <c r="AW499" s="11" t="s">
        <v>35</v>
      </c>
      <c r="AX499" s="11" t="s">
        <v>21</v>
      </c>
      <c r="AY499" s="166" t="s">
        <v>167</v>
      </c>
    </row>
    <row r="500" spans="2:65" s="1" customFormat="1" ht="22.5" customHeight="1">
      <c r="B500" s="141"/>
      <c r="C500" s="201" t="s">
        <v>951</v>
      </c>
      <c r="D500" s="201" t="s">
        <v>168</v>
      </c>
      <c r="E500" s="202" t="s">
        <v>1623</v>
      </c>
      <c r="F500" s="317" t="s">
        <v>1624</v>
      </c>
      <c r="G500" s="317"/>
      <c r="H500" s="317"/>
      <c r="I500" s="317"/>
      <c r="J500" s="203" t="s">
        <v>578</v>
      </c>
      <c r="K500" s="204">
        <v>2</v>
      </c>
      <c r="L500" s="318"/>
      <c r="M500" s="318"/>
      <c r="N500" s="318">
        <f aca="true" t="shared" si="10" ref="N500:N514">ROUND(L500*K500,2)</f>
        <v>0</v>
      </c>
      <c r="O500" s="318"/>
      <c r="P500" s="318"/>
      <c r="Q500" s="318"/>
      <c r="R500" s="205"/>
      <c r="T500" s="147" t="s">
        <v>5</v>
      </c>
      <c r="U500" s="44" t="s">
        <v>43</v>
      </c>
      <c r="V500" s="148">
        <v>1.281</v>
      </c>
      <c r="W500" s="148">
        <f aca="true" t="shared" si="11" ref="W500:W514">V500*K500</f>
        <v>2.562</v>
      </c>
      <c r="X500" s="148">
        <v>0.00035</v>
      </c>
      <c r="Y500" s="148">
        <f aca="true" t="shared" si="12" ref="Y500:Y514">X500*K500</f>
        <v>0.0007</v>
      </c>
      <c r="Z500" s="148">
        <v>0</v>
      </c>
      <c r="AA500" s="149">
        <f aca="true" t="shared" si="13" ref="AA500:AA514">Z500*K500</f>
        <v>0</v>
      </c>
      <c r="AR500" s="21" t="s">
        <v>585</v>
      </c>
      <c r="AT500" s="21" t="s">
        <v>168</v>
      </c>
      <c r="AU500" s="21" t="s">
        <v>135</v>
      </c>
      <c r="AY500" s="21" t="s">
        <v>167</v>
      </c>
      <c r="BE500" s="150">
        <f aca="true" t="shared" si="14" ref="BE500:BE514">IF(U500="základní",N500,0)</f>
        <v>0</v>
      </c>
      <c r="BF500" s="150">
        <f aca="true" t="shared" si="15" ref="BF500:BF514">IF(U500="snížená",N500,0)</f>
        <v>0</v>
      </c>
      <c r="BG500" s="150">
        <f aca="true" t="shared" si="16" ref="BG500:BG514">IF(U500="zákl. přenesená",N500,0)</f>
        <v>0</v>
      </c>
      <c r="BH500" s="150">
        <f aca="true" t="shared" si="17" ref="BH500:BH514">IF(U500="sníž. přenesená",N500,0)</f>
        <v>0</v>
      </c>
      <c r="BI500" s="150">
        <f aca="true" t="shared" si="18" ref="BI500:BI514">IF(U500="nulová",N500,0)</f>
        <v>0</v>
      </c>
      <c r="BJ500" s="21" t="s">
        <v>21</v>
      </c>
      <c r="BK500" s="150">
        <f aca="true" t="shared" si="19" ref="BK500:BK514">ROUND(L500*K500,2)</f>
        <v>0</v>
      </c>
      <c r="BL500" s="21" t="s">
        <v>585</v>
      </c>
      <c r="BM500" s="21" t="s">
        <v>1625</v>
      </c>
    </row>
    <row r="501" spans="2:65" s="1" customFormat="1" ht="44.25" customHeight="1">
      <c r="B501" s="141"/>
      <c r="C501" s="225" t="s">
        <v>955</v>
      </c>
      <c r="D501" s="225" t="s">
        <v>317</v>
      </c>
      <c r="E501" s="226" t="s">
        <v>1626</v>
      </c>
      <c r="F501" s="331" t="s">
        <v>1627</v>
      </c>
      <c r="G501" s="331"/>
      <c r="H501" s="331"/>
      <c r="I501" s="331"/>
      <c r="J501" s="227" t="s">
        <v>578</v>
      </c>
      <c r="K501" s="228">
        <v>2</v>
      </c>
      <c r="L501" s="332"/>
      <c r="M501" s="332"/>
      <c r="N501" s="332">
        <f t="shared" si="10"/>
        <v>0</v>
      </c>
      <c r="O501" s="318"/>
      <c r="P501" s="318"/>
      <c r="Q501" s="318"/>
      <c r="R501" s="205"/>
      <c r="T501" s="147" t="s">
        <v>5</v>
      </c>
      <c r="U501" s="44" t="s">
        <v>43</v>
      </c>
      <c r="V501" s="148">
        <v>0</v>
      </c>
      <c r="W501" s="148">
        <f t="shared" si="11"/>
        <v>0</v>
      </c>
      <c r="X501" s="148">
        <v>0.032</v>
      </c>
      <c r="Y501" s="148">
        <f t="shared" si="12"/>
        <v>0.064</v>
      </c>
      <c r="Z501" s="148">
        <v>0</v>
      </c>
      <c r="AA501" s="149">
        <f t="shared" si="13"/>
        <v>0</v>
      </c>
      <c r="AR501" s="21" t="s">
        <v>213</v>
      </c>
      <c r="AT501" s="21" t="s">
        <v>317</v>
      </c>
      <c r="AU501" s="21" t="s">
        <v>135</v>
      </c>
      <c r="AY501" s="21" t="s">
        <v>167</v>
      </c>
      <c r="BE501" s="150">
        <f t="shared" si="14"/>
        <v>0</v>
      </c>
      <c r="BF501" s="150">
        <f t="shared" si="15"/>
        <v>0</v>
      </c>
      <c r="BG501" s="150">
        <f t="shared" si="16"/>
        <v>0</v>
      </c>
      <c r="BH501" s="150">
        <f t="shared" si="17"/>
        <v>0</v>
      </c>
      <c r="BI501" s="150">
        <f t="shared" si="18"/>
        <v>0</v>
      </c>
      <c r="BJ501" s="21" t="s">
        <v>21</v>
      </c>
      <c r="BK501" s="150">
        <f t="shared" si="19"/>
        <v>0</v>
      </c>
      <c r="BL501" s="21" t="s">
        <v>172</v>
      </c>
      <c r="BM501" s="21" t="s">
        <v>1628</v>
      </c>
    </row>
    <row r="502" spans="2:65" s="1" customFormat="1" ht="22.5" customHeight="1">
      <c r="B502" s="141"/>
      <c r="C502" s="201" t="s">
        <v>959</v>
      </c>
      <c r="D502" s="201" t="s">
        <v>168</v>
      </c>
      <c r="E502" s="202" t="s">
        <v>1629</v>
      </c>
      <c r="F502" s="317" t="s">
        <v>1630</v>
      </c>
      <c r="G502" s="317"/>
      <c r="H502" s="317"/>
      <c r="I502" s="317"/>
      <c r="J502" s="203" t="s">
        <v>171</v>
      </c>
      <c r="K502" s="204">
        <v>2</v>
      </c>
      <c r="L502" s="318"/>
      <c r="M502" s="318"/>
      <c r="N502" s="318">
        <f t="shared" si="10"/>
        <v>0</v>
      </c>
      <c r="O502" s="318"/>
      <c r="P502" s="318"/>
      <c r="Q502" s="318"/>
      <c r="R502" s="205"/>
      <c r="T502" s="147" t="s">
        <v>5</v>
      </c>
      <c r="U502" s="44" t="s">
        <v>43</v>
      </c>
      <c r="V502" s="148">
        <v>1.281</v>
      </c>
      <c r="W502" s="148">
        <f t="shared" si="11"/>
        <v>2.562</v>
      </c>
      <c r="X502" s="148">
        <v>0.00035</v>
      </c>
      <c r="Y502" s="148">
        <f t="shared" si="12"/>
        <v>0.0007</v>
      </c>
      <c r="Z502" s="148">
        <v>0</v>
      </c>
      <c r="AA502" s="149">
        <f t="shared" si="13"/>
        <v>0</v>
      </c>
      <c r="AR502" s="21" t="s">
        <v>585</v>
      </c>
      <c r="AT502" s="21" t="s">
        <v>168</v>
      </c>
      <c r="AU502" s="21" t="s">
        <v>135</v>
      </c>
      <c r="AY502" s="21" t="s">
        <v>167</v>
      </c>
      <c r="BE502" s="150">
        <f t="shared" si="14"/>
        <v>0</v>
      </c>
      <c r="BF502" s="150">
        <f t="shared" si="15"/>
        <v>0</v>
      </c>
      <c r="BG502" s="150">
        <f t="shared" si="16"/>
        <v>0</v>
      </c>
      <c r="BH502" s="150">
        <f t="shared" si="17"/>
        <v>0</v>
      </c>
      <c r="BI502" s="150">
        <f t="shared" si="18"/>
        <v>0</v>
      </c>
      <c r="BJ502" s="21" t="s">
        <v>21</v>
      </c>
      <c r="BK502" s="150">
        <f t="shared" si="19"/>
        <v>0</v>
      </c>
      <c r="BL502" s="21" t="s">
        <v>585</v>
      </c>
      <c r="BM502" s="21" t="s">
        <v>1631</v>
      </c>
    </row>
    <row r="503" spans="2:65" s="1" customFormat="1" ht="22.5" customHeight="1">
      <c r="B503" s="141"/>
      <c r="C503" s="201" t="s">
        <v>963</v>
      </c>
      <c r="D503" s="201" t="s">
        <v>168</v>
      </c>
      <c r="E503" s="202" t="s">
        <v>1632</v>
      </c>
      <c r="F503" s="317" t="s">
        <v>1633</v>
      </c>
      <c r="G503" s="317"/>
      <c r="H503" s="317"/>
      <c r="I503" s="317"/>
      <c r="J503" s="203" t="s">
        <v>259</v>
      </c>
      <c r="K503" s="204">
        <v>12</v>
      </c>
      <c r="L503" s="318"/>
      <c r="M503" s="318"/>
      <c r="N503" s="318">
        <f t="shared" si="10"/>
        <v>0</v>
      </c>
      <c r="O503" s="318"/>
      <c r="P503" s="318"/>
      <c r="Q503" s="318"/>
      <c r="R503" s="205"/>
      <c r="T503" s="147" t="s">
        <v>5</v>
      </c>
      <c r="U503" s="44" t="s">
        <v>43</v>
      </c>
      <c r="V503" s="148">
        <v>1.281</v>
      </c>
      <c r="W503" s="148">
        <f t="shared" si="11"/>
        <v>15.372</v>
      </c>
      <c r="X503" s="148">
        <v>0.00035</v>
      </c>
      <c r="Y503" s="148">
        <f t="shared" si="12"/>
        <v>0.0042</v>
      </c>
      <c r="Z503" s="148">
        <v>0</v>
      </c>
      <c r="AA503" s="149">
        <f t="shared" si="13"/>
        <v>0</v>
      </c>
      <c r="AR503" s="21" t="s">
        <v>585</v>
      </c>
      <c r="AT503" s="21" t="s">
        <v>168</v>
      </c>
      <c r="AU503" s="21" t="s">
        <v>135</v>
      </c>
      <c r="AY503" s="21" t="s">
        <v>167</v>
      </c>
      <c r="BE503" s="150">
        <f t="shared" si="14"/>
        <v>0</v>
      </c>
      <c r="BF503" s="150">
        <f t="shared" si="15"/>
        <v>0</v>
      </c>
      <c r="BG503" s="150">
        <f t="shared" si="16"/>
        <v>0</v>
      </c>
      <c r="BH503" s="150">
        <f t="shared" si="17"/>
        <v>0</v>
      </c>
      <c r="BI503" s="150">
        <f t="shared" si="18"/>
        <v>0</v>
      </c>
      <c r="BJ503" s="21" t="s">
        <v>21</v>
      </c>
      <c r="BK503" s="150">
        <f t="shared" si="19"/>
        <v>0</v>
      </c>
      <c r="BL503" s="21" t="s">
        <v>585</v>
      </c>
      <c r="BM503" s="21" t="s">
        <v>1634</v>
      </c>
    </row>
    <row r="504" spans="2:65" s="1" customFormat="1" ht="44.25" customHeight="1">
      <c r="B504" s="141"/>
      <c r="C504" s="201" t="s">
        <v>967</v>
      </c>
      <c r="D504" s="201" t="s">
        <v>168</v>
      </c>
      <c r="E504" s="202" t="s">
        <v>1635</v>
      </c>
      <c r="F504" s="317" t="s">
        <v>1636</v>
      </c>
      <c r="G504" s="317"/>
      <c r="H504" s="317"/>
      <c r="I504" s="317"/>
      <c r="J504" s="203" t="s">
        <v>259</v>
      </c>
      <c r="K504" s="204">
        <v>10</v>
      </c>
      <c r="L504" s="318"/>
      <c r="M504" s="318"/>
      <c r="N504" s="318">
        <f t="shared" si="10"/>
        <v>0</v>
      </c>
      <c r="O504" s="318"/>
      <c r="P504" s="318"/>
      <c r="Q504" s="318"/>
      <c r="R504" s="205"/>
      <c r="T504" s="147" t="s">
        <v>5</v>
      </c>
      <c r="U504" s="44" t="s">
        <v>43</v>
      </c>
      <c r="V504" s="148">
        <v>0.135</v>
      </c>
      <c r="W504" s="148">
        <f t="shared" si="11"/>
        <v>1.35</v>
      </c>
      <c r="X504" s="148">
        <v>0</v>
      </c>
      <c r="Y504" s="148">
        <f t="shared" si="12"/>
        <v>0</v>
      </c>
      <c r="Z504" s="148">
        <v>0</v>
      </c>
      <c r="AA504" s="149">
        <f t="shared" si="13"/>
        <v>0</v>
      </c>
      <c r="AR504" s="21" t="s">
        <v>172</v>
      </c>
      <c r="AT504" s="21" t="s">
        <v>168</v>
      </c>
      <c r="AU504" s="21" t="s">
        <v>135</v>
      </c>
      <c r="AY504" s="21" t="s">
        <v>167</v>
      </c>
      <c r="BE504" s="150">
        <f t="shared" si="14"/>
        <v>0</v>
      </c>
      <c r="BF504" s="150">
        <f t="shared" si="15"/>
        <v>0</v>
      </c>
      <c r="BG504" s="150">
        <f t="shared" si="16"/>
        <v>0</v>
      </c>
      <c r="BH504" s="150">
        <f t="shared" si="17"/>
        <v>0</v>
      </c>
      <c r="BI504" s="150">
        <f t="shared" si="18"/>
        <v>0</v>
      </c>
      <c r="BJ504" s="21" t="s">
        <v>21</v>
      </c>
      <c r="BK504" s="150">
        <f t="shared" si="19"/>
        <v>0</v>
      </c>
      <c r="BL504" s="21" t="s">
        <v>172</v>
      </c>
      <c r="BM504" s="21" t="s">
        <v>1637</v>
      </c>
    </row>
    <row r="505" spans="2:65" s="1" customFormat="1" ht="31.5" customHeight="1">
      <c r="B505" s="141"/>
      <c r="C505" s="225" t="s">
        <v>971</v>
      </c>
      <c r="D505" s="225" t="s">
        <v>317</v>
      </c>
      <c r="E505" s="226" t="s">
        <v>1638</v>
      </c>
      <c r="F505" s="331" t="s">
        <v>1639</v>
      </c>
      <c r="G505" s="331"/>
      <c r="H505" s="331"/>
      <c r="I505" s="331"/>
      <c r="J505" s="227" t="s">
        <v>259</v>
      </c>
      <c r="K505" s="228">
        <v>10</v>
      </c>
      <c r="L505" s="332"/>
      <c r="M505" s="332"/>
      <c r="N505" s="332">
        <f t="shared" si="10"/>
        <v>0</v>
      </c>
      <c r="O505" s="318"/>
      <c r="P505" s="318"/>
      <c r="Q505" s="318"/>
      <c r="R505" s="205"/>
      <c r="T505" s="147" t="s">
        <v>5</v>
      </c>
      <c r="U505" s="44" t="s">
        <v>43</v>
      </c>
      <c r="V505" s="148">
        <v>0</v>
      </c>
      <c r="W505" s="148">
        <f t="shared" si="11"/>
        <v>0</v>
      </c>
      <c r="X505" s="148">
        <v>0.00146</v>
      </c>
      <c r="Y505" s="148">
        <f t="shared" si="12"/>
        <v>0.014599999999999998</v>
      </c>
      <c r="Z505" s="148">
        <v>0</v>
      </c>
      <c r="AA505" s="149">
        <f t="shared" si="13"/>
        <v>0</v>
      </c>
      <c r="AR505" s="21" t="s">
        <v>213</v>
      </c>
      <c r="AT505" s="21" t="s">
        <v>317</v>
      </c>
      <c r="AU505" s="21" t="s">
        <v>135</v>
      </c>
      <c r="AY505" s="21" t="s">
        <v>167</v>
      </c>
      <c r="BE505" s="150">
        <f t="shared" si="14"/>
        <v>0</v>
      </c>
      <c r="BF505" s="150">
        <f t="shared" si="15"/>
        <v>0</v>
      </c>
      <c r="BG505" s="150">
        <f t="shared" si="16"/>
        <v>0</v>
      </c>
      <c r="BH505" s="150">
        <f t="shared" si="17"/>
        <v>0</v>
      </c>
      <c r="BI505" s="150">
        <f t="shared" si="18"/>
        <v>0</v>
      </c>
      <c r="BJ505" s="21" t="s">
        <v>21</v>
      </c>
      <c r="BK505" s="150">
        <f t="shared" si="19"/>
        <v>0</v>
      </c>
      <c r="BL505" s="21" t="s">
        <v>172</v>
      </c>
      <c r="BM505" s="21" t="s">
        <v>1640</v>
      </c>
    </row>
    <row r="506" spans="2:65" s="1" customFormat="1" ht="44.25" customHeight="1">
      <c r="B506" s="141"/>
      <c r="C506" s="201" t="s">
        <v>975</v>
      </c>
      <c r="D506" s="201" t="s">
        <v>168</v>
      </c>
      <c r="E506" s="202" t="s">
        <v>1641</v>
      </c>
      <c r="F506" s="317" t="s">
        <v>1642</v>
      </c>
      <c r="G506" s="317"/>
      <c r="H506" s="317"/>
      <c r="I506" s="317"/>
      <c r="J506" s="203" t="s">
        <v>259</v>
      </c>
      <c r="K506" s="204">
        <v>5</v>
      </c>
      <c r="L506" s="318"/>
      <c r="M506" s="318"/>
      <c r="N506" s="318">
        <f t="shared" si="10"/>
        <v>0</v>
      </c>
      <c r="O506" s="318"/>
      <c r="P506" s="318"/>
      <c r="Q506" s="318"/>
      <c r="R506" s="205"/>
      <c r="T506" s="147" t="s">
        <v>5</v>
      </c>
      <c r="U506" s="44" t="s">
        <v>43</v>
      </c>
      <c r="V506" s="148">
        <v>0.142</v>
      </c>
      <c r="W506" s="148">
        <f t="shared" si="11"/>
        <v>0.71</v>
      </c>
      <c r="X506" s="148">
        <v>0</v>
      </c>
      <c r="Y506" s="148">
        <f t="shared" si="12"/>
        <v>0</v>
      </c>
      <c r="Z506" s="148">
        <v>0</v>
      </c>
      <c r="AA506" s="149">
        <f t="shared" si="13"/>
        <v>0</v>
      </c>
      <c r="AR506" s="21" t="s">
        <v>172</v>
      </c>
      <c r="AT506" s="21" t="s">
        <v>168</v>
      </c>
      <c r="AU506" s="21" t="s">
        <v>135</v>
      </c>
      <c r="AY506" s="21" t="s">
        <v>167</v>
      </c>
      <c r="BE506" s="150">
        <f t="shared" si="14"/>
        <v>0</v>
      </c>
      <c r="BF506" s="150">
        <f t="shared" si="15"/>
        <v>0</v>
      </c>
      <c r="BG506" s="150">
        <f t="shared" si="16"/>
        <v>0</v>
      </c>
      <c r="BH506" s="150">
        <f t="shared" si="17"/>
        <v>0</v>
      </c>
      <c r="BI506" s="150">
        <f t="shared" si="18"/>
        <v>0</v>
      </c>
      <c r="BJ506" s="21" t="s">
        <v>21</v>
      </c>
      <c r="BK506" s="150">
        <f t="shared" si="19"/>
        <v>0</v>
      </c>
      <c r="BL506" s="21" t="s">
        <v>172</v>
      </c>
      <c r="BM506" s="21" t="s">
        <v>1643</v>
      </c>
    </row>
    <row r="507" spans="2:65" s="1" customFormat="1" ht="31.5" customHeight="1">
      <c r="B507" s="141"/>
      <c r="C507" s="225" t="s">
        <v>979</v>
      </c>
      <c r="D507" s="225" t="s">
        <v>317</v>
      </c>
      <c r="E507" s="226" t="s">
        <v>1644</v>
      </c>
      <c r="F507" s="331" t="s">
        <v>1645</v>
      </c>
      <c r="G507" s="331"/>
      <c r="H507" s="331"/>
      <c r="I507" s="331"/>
      <c r="J507" s="227" t="s">
        <v>259</v>
      </c>
      <c r="K507" s="228">
        <v>5</v>
      </c>
      <c r="L507" s="332"/>
      <c r="M507" s="332"/>
      <c r="N507" s="332">
        <f t="shared" si="10"/>
        <v>0</v>
      </c>
      <c r="O507" s="318"/>
      <c r="P507" s="318"/>
      <c r="Q507" s="318"/>
      <c r="R507" s="205"/>
      <c r="T507" s="147" t="s">
        <v>5</v>
      </c>
      <c r="U507" s="44" t="s">
        <v>43</v>
      </c>
      <c r="V507" s="148">
        <v>0</v>
      </c>
      <c r="W507" s="148">
        <f t="shared" si="11"/>
        <v>0</v>
      </c>
      <c r="X507" s="148">
        <v>0.00211</v>
      </c>
      <c r="Y507" s="148">
        <f t="shared" si="12"/>
        <v>0.01055</v>
      </c>
      <c r="Z507" s="148">
        <v>0</v>
      </c>
      <c r="AA507" s="149">
        <f t="shared" si="13"/>
        <v>0</v>
      </c>
      <c r="AR507" s="21" t="s">
        <v>213</v>
      </c>
      <c r="AT507" s="21" t="s">
        <v>317</v>
      </c>
      <c r="AU507" s="21" t="s">
        <v>135</v>
      </c>
      <c r="AY507" s="21" t="s">
        <v>167</v>
      </c>
      <c r="BE507" s="150">
        <f t="shared" si="14"/>
        <v>0</v>
      </c>
      <c r="BF507" s="150">
        <f t="shared" si="15"/>
        <v>0</v>
      </c>
      <c r="BG507" s="150">
        <f t="shared" si="16"/>
        <v>0</v>
      </c>
      <c r="BH507" s="150">
        <f t="shared" si="17"/>
        <v>0</v>
      </c>
      <c r="BI507" s="150">
        <f t="shared" si="18"/>
        <v>0</v>
      </c>
      <c r="BJ507" s="21" t="s">
        <v>21</v>
      </c>
      <c r="BK507" s="150">
        <f t="shared" si="19"/>
        <v>0</v>
      </c>
      <c r="BL507" s="21" t="s">
        <v>172</v>
      </c>
      <c r="BM507" s="21" t="s">
        <v>1646</v>
      </c>
    </row>
    <row r="508" spans="2:65" s="1" customFormat="1" ht="22.5" customHeight="1">
      <c r="B508" s="141"/>
      <c r="C508" s="201" t="s">
        <v>980</v>
      </c>
      <c r="D508" s="201" t="s">
        <v>168</v>
      </c>
      <c r="E508" s="202" t="s">
        <v>1647</v>
      </c>
      <c r="F508" s="317" t="s">
        <v>1648</v>
      </c>
      <c r="G508" s="317"/>
      <c r="H508" s="317"/>
      <c r="I508" s="317"/>
      <c r="J508" s="203" t="s">
        <v>578</v>
      </c>
      <c r="K508" s="204">
        <v>2</v>
      </c>
      <c r="L508" s="318"/>
      <c r="M508" s="318"/>
      <c r="N508" s="318">
        <f t="shared" si="10"/>
        <v>0</v>
      </c>
      <c r="O508" s="318"/>
      <c r="P508" s="318"/>
      <c r="Q508" s="318"/>
      <c r="R508" s="205"/>
      <c r="T508" s="147" t="s">
        <v>5</v>
      </c>
      <c r="U508" s="44" t="s">
        <v>43</v>
      </c>
      <c r="V508" s="148">
        <v>0.65</v>
      </c>
      <c r="W508" s="148">
        <f t="shared" si="11"/>
        <v>1.3</v>
      </c>
      <c r="X508" s="148">
        <v>0.00069</v>
      </c>
      <c r="Y508" s="148">
        <f t="shared" si="12"/>
        <v>0.00138</v>
      </c>
      <c r="Z508" s="148">
        <v>0</v>
      </c>
      <c r="AA508" s="149">
        <f t="shared" si="13"/>
        <v>0</v>
      </c>
      <c r="AR508" s="21" t="s">
        <v>172</v>
      </c>
      <c r="AT508" s="21" t="s">
        <v>168</v>
      </c>
      <c r="AU508" s="21" t="s">
        <v>135</v>
      </c>
      <c r="AY508" s="21" t="s">
        <v>167</v>
      </c>
      <c r="BE508" s="150">
        <f t="shared" si="14"/>
        <v>0</v>
      </c>
      <c r="BF508" s="150">
        <f t="shared" si="15"/>
        <v>0</v>
      </c>
      <c r="BG508" s="150">
        <f t="shared" si="16"/>
        <v>0</v>
      </c>
      <c r="BH508" s="150">
        <f t="shared" si="17"/>
        <v>0</v>
      </c>
      <c r="BI508" s="150">
        <f t="shared" si="18"/>
        <v>0</v>
      </c>
      <c r="BJ508" s="21" t="s">
        <v>21</v>
      </c>
      <c r="BK508" s="150">
        <f t="shared" si="19"/>
        <v>0</v>
      </c>
      <c r="BL508" s="21" t="s">
        <v>172</v>
      </c>
      <c r="BM508" s="21" t="s">
        <v>1649</v>
      </c>
    </row>
    <row r="509" spans="2:65" s="1" customFormat="1" ht="22.5" customHeight="1">
      <c r="B509" s="141"/>
      <c r="C509" s="225" t="s">
        <v>987</v>
      </c>
      <c r="D509" s="225" t="s">
        <v>317</v>
      </c>
      <c r="E509" s="226" t="s">
        <v>1650</v>
      </c>
      <c r="F509" s="331" t="s">
        <v>1651</v>
      </c>
      <c r="G509" s="331"/>
      <c r="H509" s="331"/>
      <c r="I509" s="331"/>
      <c r="J509" s="227" t="s">
        <v>578</v>
      </c>
      <c r="K509" s="228">
        <v>2</v>
      </c>
      <c r="L509" s="332"/>
      <c r="M509" s="332"/>
      <c r="N509" s="332">
        <f t="shared" si="10"/>
        <v>0</v>
      </c>
      <c r="O509" s="318"/>
      <c r="P509" s="318"/>
      <c r="Q509" s="318"/>
      <c r="R509" s="205"/>
      <c r="T509" s="147" t="s">
        <v>5</v>
      </c>
      <c r="U509" s="44" t="s">
        <v>43</v>
      </c>
      <c r="V509" s="148">
        <v>0</v>
      </c>
      <c r="W509" s="148">
        <f t="shared" si="11"/>
        <v>0</v>
      </c>
      <c r="X509" s="148">
        <v>0.0195</v>
      </c>
      <c r="Y509" s="148">
        <f t="shared" si="12"/>
        <v>0.039</v>
      </c>
      <c r="Z509" s="148">
        <v>0</v>
      </c>
      <c r="AA509" s="149">
        <f t="shared" si="13"/>
        <v>0</v>
      </c>
      <c r="AR509" s="21" t="s">
        <v>213</v>
      </c>
      <c r="AT509" s="21" t="s">
        <v>317</v>
      </c>
      <c r="AU509" s="21" t="s">
        <v>135</v>
      </c>
      <c r="AY509" s="21" t="s">
        <v>167</v>
      </c>
      <c r="BE509" s="150">
        <f t="shared" si="14"/>
        <v>0</v>
      </c>
      <c r="BF509" s="150">
        <f t="shared" si="15"/>
        <v>0</v>
      </c>
      <c r="BG509" s="150">
        <f t="shared" si="16"/>
        <v>0</v>
      </c>
      <c r="BH509" s="150">
        <f t="shared" si="17"/>
        <v>0</v>
      </c>
      <c r="BI509" s="150">
        <f t="shared" si="18"/>
        <v>0</v>
      </c>
      <c r="BJ509" s="21" t="s">
        <v>21</v>
      </c>
      <c r="BK509" s="150">
        <f t="shared" si="19"/>
        <v>0</v>
      </c>
      <c r="BL509" s="21" t="s">
        <v>172</v>
      </c>
      <c r="BM509" s="21" t="s">
        <v>1652</v>
      </c>
    </row>
    <row r="510" spans="2:65" s="1" customFormat="1" ht="22.5" customHeight="1">
      <c r="B510" s="141"/>
      <c r="C510" s="201" t="s">
        <v>992</v>
      </c>
      <c r="D510" s="201" t="s">
        <v>168</v>
      </c>
      <c r="E510" s="202" t="s">
        <v>1653</v>
      </c>
      <c r="F510" s="317" t="s">
        <v>1654</v>
      </c>
      <c r="G510" s="317"/>
      <c r="H510" s="317"/>
      <c r="I510" s="317"/>
      <c r="J510" s="203" t="s">
        <v>578</v>
      </c>
      <c r="K510" s="204">
        <v>2</v>
      </c>
      <c r="L510" s="318"/>
      <c r="M510" s="318"/>
      <c r="N510" s="318">
        <f t="shared" si="10"/>
        <v>0</v>
      </c>
      <c r="O510" s="318"/>
      <c r="P510" s="318"/>
      <c r="Q510" s="318"/>
      <c r="R510" s="205"/>
      <c r="T510" s="147" t="s">
        <v>5</v>
      </c>
      <c r="U510" s="44" t="s">
        <v>43</v>
      </c>
      <c r="V510" s="148">
        <v>1.004</v>
      </c>
      <c r="W510" s="148">
        <f t="shared" si="11"/>
        <v>2.008</v>
      </c>
      <c r="X510" s="148">
        <v>0.00176</v>
      </c>
      <c r="Y510" s="148">
        <f t="shared" si="12"/>
        <v>0.00352</v>
      </c>
      <c r="Z510" s="148">
        <v>0</v>
      </c>
      <c r="AA510" s="149">
        <f t="shared" si="13"/>
        <v>0</v>
      </c>
      <c r="AR510" s="21" t="s">
        <v>281</v>
      </c>
      <c r="AT510" s="21" t="s">
        <v>168</v>
      </c>
      <c r="AU510" s="21" t="s">
        <v>135</v>
      </c>
      <c r="AY510" s="21" t="s">
        <v>167</v>
      </c>
      <c r="BE510" s="150">
        <f t="shared" si="14"/>
        <v>0</v>
      </c>
      <c r="BF510" s="150">
        <f t="shared" si="15"/>
        <v>0</v>
      </c>
      <c r="BG510" s="150">
        <f t="shared" si="16"/>
        <v>0</v>
      </c>
      <c r="BH510" s="150">
        <f t="shared" si="17"/>
        <v>0</v>
      </c>
      <c r="BI510" s="150">
        <f t="shared" si="18"/>
        <v>0</v>
      </c>
      <c r="BJ510" s="21" t="s">
        <v>21</v>
      </c>
      <c r="BK510" s="150">
        <f t="shared" si="19"/>
        <v>0</v>
      </c>
      <c r="BL510" s="21" t="s">
        <v>281</v>
      </c>
      <c r="BM510" s="21" t="s">
        <v>1655</v>
      </c>
    </row>
    <row r="511" spans="2:65" s="1" customFormat="1" ht="31.5" customHeight="1">
      <c r="B511" s="141"/>
      <c r="C511" s="201" t="s">
        <v>997</v>
      </c>
      <c r="D511" s="201" t="s">
        <v>168</v>
      </c>
      <c r="E511" s="202" t="s">
        <v>1656</v>
      </c>
      <c r="F511" s="317" t="s">
        <v>1657</v>
      </c>
      <c r="G511" s="317"/>
      <c r="H511" s="317"/>
      <c r="I511" s="317"/>
      <c r="J511" s="203" t="s">
        <v>578</v>
      </c>
      <c r="K511" s="204">
        <v>2</v>
      </c>
      <c r="L511" s="318"/>
      <c r="M511" s="318"/>
      <c r="N511" s="318">
        <f t="shared" si="10"/>
        <v>0</v>
      </c>
      <c r="O511" s="318"/>
      <c r="P511" s="318"/>
      <c r="Q511" s="318"/>
      <c r="R511" s="205"/>
      <c r="T511" s="147" t="s">
        <v>5</v>
      </c>
      <c r="U511" s="44" t="s">
        <v>43</v>
      </c>
      <c r="V511" s="148">
        <v>0.52</v>
      </c>
      <c r="W511" s="148">
        <f t="shared" si="11"/>
        <v>1.04</v>
      </c>
      <c r="X511" s="148">
        <v>0.00315</v>
      </c>
      <c r="Y511" s="148">
        <f t="shared" si="12"/>
        <v>0.0063</v>
      </c>
      <c r="Z511" s="148">
        <v>0</v>
      </c>
      <c r="AA511" s="149">
        <f t="shared" si="13"/>
        <v>0</v>
      </c>
      <c r="AR511" s="21" t="s">
        <v>281</v>
      </c>
      <c r="AT511" s="21" t="s">
        <v>168</v>
      </c>
      <c r="AU511" s="21" t="s">
        <v>135</v>
      </c>
      <c r="AY511" s="21" t="s">
        <v>167</v>
      </c>
      <c r="BE511" s="150">
        <f t="shared" si="14"/>
        <v>0</v>
      </c>
      <c r="BF511" s="150">
        <f t="shared" si="15"/>
        <v>0</v>
      </c>
      <c r="BG511" s="150">
        <f t="shared" si="16"/>
        <v>0</v>
      </c>
      <c r="BH511" s="150">
        <f t="shared" si="17"/>
        <v>0</v>
      </c>
      <c r="BI511" s="150">
        <f t="shared" si="18"/>
        <v>0</v>
      </c>
      <c r="BJ511" s="21" t="s">
        <v>21</v>
      </c>
      <c r="BK511" s="150">
        <f t="shared" si="19"/>
        <v>0</v>
      </c>
      <c r="BL511" s="21" t="s">
        <v>281</v>
      </c>
      <c r="BM511" s="21" t="s">
        <v>1658</v>
      </c>
    </row>
    <row r="512" spans="2:65" s="1" customFormat="1" ht="44.25" customHeight="1">
      <c r="B512" s="141"/>
      <c r="C512" s="201" t="s">
        <v>1001</v>
      </c>
      <c r="D512" s="201" t="s">
        <v>168</v>
      </c>
      <c r="E512" s="202" t="s">
        <v>1659</v>
      </c>
      <c r="F512" s="317" t="s">
        <v>1660</v>
      </c>
      <c r="G512" s="317"/>
      <c r="H512" s="317"/>
      <c r="I512" s="317"/>
      <c r="J512" s="203" t="s">
        <v>171</v>
      </c>
      <c r="K512" s="204">
        <v>1</v>
      </c>
      <c r="L512" s="318"/>
      <c r="M512" s="318"/>
      <c r="N512" s="318">
        <f t="shared" si="10"/>
        <v>0</v>
      </c>
      <c r="O512" s="318"/>
      <c r="P512" s="318"/>
      <c r="Q512" s="318"/>
      <c r="R512" s="205"/>
      <c r="T512" s="147" t="s">
        <v>5</v>
      </c>
      <c r="U512" s="44" t="s">
        <v>43</v>
      </c>
      <c r="V512" s="148">
        <v>0.52</v>
      </c>
      <c r="W512" s="148">
        <f t="shared" si="11"/>
        <v>0.52</v>
      </c>
      <c r="X512" s="148">
        <v>0.00315</v>
      </c>
      <c r="Y512" s="148">
        <f t="shared" si="12"/>
        <v>0.00315</v>
      </c>
      <c r="Z512" s="148">
        <v>0</v>
      </c>
      <c r="AA512" s="149">
        <f t="shared" si="13"/>
        <v>0</v>
      </c>
      <c r="AR512" s="21" t="s">
        <v>281</v>
      </c>
      <c r="AT512" s="21" t="s">
        <v>168</v>
      </c>
      <c r="AU512" s="21" t="s">
        <v>135</v>
      </c>
      <c r="AY512" s="21" t="s">
        <v>167</v>
      </c>
      <c r="BE512" s="150">
        <f t="shared" si="14"/>
        <v>0</v>
      </c>
      <c r="BF512" s="150">
        <f t="shared" si="15"/>
        <v>0</v>
      </c>
      <c r="BG512" s="150">
        <f t="shared" si="16"/>
        <v>0</v>
      </c>
      <c r="BH512" s="150">
        <f t="shared" si="17"/>
        <v>0</v>
      </c>
      <c r="BI512" s="150">
        <f t="shared" si="18"/>
        <v>0</v>
      </c>
      <c r="BJ512" s="21" t="s">
        <v>21</v>
      </c>
      <c r="BK512" s="150">
        <f t="shared" si="19"/>
        <v>0</v>
      </c>
      <c r="BL512" s="21" t="s">
        <v>281</v>
      </c>
      <c r="BM512" s="21" t="s">
        <v>1661</v>
      </c>
    </row>
    <row r="513" spans="2:65" s="1" customFormat="1" ht="22.5" customHeight="1">
      <c r="B513" s="141"/>
      <c r="C513" s="201" t="s">
        <v>1005</v>
      </c>
      <c r="D513" s="201" t="s">
        <v>168</v>
      </c>
      <c r="E513" s="202" t="s">
        <v>1662</v>
      </c>
      <c r="F513" s="317" t="s">
        <v>1663</v>
      </c>
      <c r="G513" s="317"/>
      <c r="H513" s="317"/>
      <c r="I513" s="317"/>
      <c r="J513" s="203" t="s">
        <v>171</v>
      </c>
      <c r="K513" s="204">
        <v>1</v>
      </c>
      <c r="L513" s="318"/>
      <c r="M513" s="318"/>
      <c r="N513" s="318">
        <f t="shared" si="10"/>
        <v>0</v>
      </c>
      <c r="O513" s="318"/>
      <c r="P513" s="318"/>
      <c r="Q513" s="318"/>
      <c r="R513" s="205"/>
      <c r="T513" s="147" t="s">
        <v>5</v>
      </c>
      <c r="U513" s="44" t="s">
        <v>43</v>
      </c>
      <c r="V513" s="148">
        <v>0.52</v>
      </c>
      <c r="W513" s="148">
        <f t="shared" si="11"/>
        <v>0.52</v>
      </c>
      <c r="X513" s="148">
        <v>0.00315</v>
      </c>
      <c r="Y513" s="148">
        <f t="shared" si="12"/>
        <v>0.00315</v>
      </c>
      <c r="Z513" s="148">
        <v>0</v>
      </c>
      <c r="AA513" s="149">
        <f t="shared" si="13"/>
        <v>0</v>
      </c>
      <c r="AR513" s="21" t="s">
        <v>281</v>
      </c>
      <c r="AT513" s="21" t="s">
        <v>168</v>
      </c>
      <c r="AU513" s="21" t="s">
        <v>135</v>
      </c>
      <c r="AY513" s="21" t="s">
        <v>167</v>
      </c>
      <c r="BE513" s="150">
        <f t="shared" si="14"/>
        <v>0</v>
      </c>
      <c r="BF513" s="150">
        <f t="shared" si="15"/>
        <v>0</v>
      </c>
      <c r="BG513" s="150">
        <f t="shared" si="16"/>
        <v>0</v>
      </c>
      <c r="BH513" s="150">
        <f t="shared" si="17"/>
        <v>0</v>
      </c>
      <c r="BI513" s="150">
        <f t="shared" si="18"/>
        <v>0</v>
      </c>
      <c r="BJ513" s="21" t="s">
        <v>21</v>
      </c>
      <c r="BK513" s="150">
        <f t="shared" si="19"/>
        <v>0</v>
      </c>
      <c r="BL513" s="21" t="s">
        <v>281</v>
      </c>
      <c r="BM513" s="21" t="s">
        <v>1664</v>
      </c>
    </row>
    <row r="514" spans="2:65" s="1" customFormat="1" ht="22.5" customHeight="1">
      <c r="B514" s="141"/>
      <c r="C514" s="201" t="s">
        <v>1010</v>
      </c>
      <c r="D514" s="201" t="s">
        <v>168</v>
      </c>
      <c r="E514" s="202" t="s">
        <v>1665</v>
      </c>
      <c r="F514" s="317" t="s">
        <v>1666</v>
      </c>
      <c r="G514" s="317"/>
      <c r="H514" s="317"/>
      <c r="I514" s="317"/>
      <c r="J514" s="203" t="s">
        <v>171</v>
      </c>
      <c r="K514" s="204">
        <v>1</v>
      </c>
      <c r="L514" s="318"/>
      <c r="M514" s="318"/>
      <c r="N514" s="318">
        <f t="shared" si="10"/>
        <v>0</v>
      </c>
      <c r="O514" s="318"/>
      <c r="P514" s="318"/>
      <c r="Q514" s="318"/>
      <c r="R514" s="205"/>
      <c r="T514" s="147" t="s">
        <v>5</v>
      </c>
      <c r="U514" s="44" t="s">
        <v>43</v>
      </c>
      <c r="V514" s="148">
        <v>0.52</v>
      </c>
      <c r="W514" s="148">
        <f t="shared" si="11"/>
        <v>0.52</v>
      </c>
      <c r="X514" s="148">
        <v>0.00315</v>
      </c>
      <c r="Y514" s="148">
        <f t="shared" si="12"/>
        <v>0.00315</v>
      </c>
      <c r="Z514" s="148">
        <v>0</v>
      </c>
      <c r="AA514" s="149">
        <f t="shared" si="13"/>
        <v>0</v>
      </c>
      <c r="AR514" s="21" t="s">
        <v>281</v>
      </c>
      <c r="AT514" s="21" t="s">
        <v>168</v>
      </c>
      <c r="AU514" s="21" t="s">
        <v>135</v>
      </c>
      <c r="AY514" s="21" t="s">
        <v>167</v>
      </c>
      <c r="BE514" s="150">
        <f t="shared" si="14"/>
        <v>0</v>
      </c>
      <c r="BF514" s="150">
        <f t="shared" si="15"/>
        <v>0</v>
      </c>
      <c r="BG514" s="150">
        <f t="shared" si="16"/>
        <v>0</v>
      </c>
      <c r="BH514" s="150">
        <f t="shared" si="17"/>
        <v>0</v>
      </c>
      <c r="BI514" s="150">
        <f t="shared" si="18"/>
        <v>0</v>
      </c>
      <c r="BJ514" s="21" t="s">
        <v>21</v>
      </c>
      <c r="BK514" s="150">
        <f t="shared" si="19"/>
        <v>0</v>
      </c>
      <c r="BL514" s="21" t="s">
        <v>281</v>
      </c>
      <c r="BM514" s="21" t="s">
        <v>1667</v>
      </c>
    </row>
    <row r="515" spans="2:63" s="9" customFormat="1" ht="29.85" customHeight="1">
      <c r="B515" s="130"/>
      <c r="C515" s="222"/>
      <c r="D515" s="223" t="s">
        <v>1270</v>
      </c>
      <c r="E515" s="223"/>
      <c r="F515" s="223"/>
      <c r="G515" s="223"/>
      <c r="H515" s="223"/>
      <c r="I515" s="223"/>
      <c r="J515" s="223"/>
      <c r="K515" s="223"/>
      <c r="L515" s="223"/>
      <c r="M515" s="223"/>
      <c r="N515" s="335">
        <f>BK515</f>
        <v>0</v>
      </c>
      <c r="O515" s="336"/>
      <c r="P515" s="336"/>
      <c r="Q515" s="336"/>
      <c r="R515" s="224"/>
      <c r="T515" s="134"/>
      <c r="U515" s="131"/>
      <c r="V515" s="131"/>
      <c r="W515" s="135">
        <f>SUM(W516:W520)</f>
        <v>488.68231</v>
      </c>
      <c r="X515" s="131"/>
      <c r="Y515" s="135">
        <f>SUM(Y516:Y520)</f>
        <v>0</v>
      </c>
      <c r="Z515" s="131"/>
      <c r="AA515" s="136">
        <f>SUM(AA516:AA520)</f>
        <v>0</v>
      </c>
      <c r="AR515" s="137" t="s">
        <v>21</v>
      </c>
      <c r="AT515" s="138" t="s">
        <v>77</v>
      </c>
      <c r="AU515" s="138" t="s">
        <v>21</v>
      </c>
      <c r="AY515" s="137" t="s">
        <v>167</v>
      </c>
      <c r="BK515" s="139">
        <f>SUM(BK516:BK520)</f>
        <v>0</v>
      </c>
    </row>
    <row r="516" spans="2:65" s="1" customFormat="1" ht="31.5" customHeight="1">
      <c r="B516" s="141"/>
      <c r="C516" s="201" t="s">
        <v>1014</v>
      </c>
      <c r="D516" s="201" t="s">
        <v>168</v>
      </c>
      <c r="E516" s="202" t="s">
        <v>1668</v>
      </c>
      <c r="F516" s="317" t="s">
        <v>1669</v>
      </c>
      <c r="G516" s="317"/>
      <c r="H516" s="317"/>
      <c r="I516" s="317"/>
      <c r="J516" s="203" t="s">
        <v>210</v>
      </c>
      <c r="K516" s="204">
        <v>2641.526</v>
      </c>
      <c r="L516" s="318"/>
      <c r="M516" s="318"/>
      <c r="N516" s="318">
        <f>ROUND(L516*K516,2)</f>
        <v>0</v>
      </c>
      <c r="O516" s="318"/>
      <c r="P516" s="318"/>
      <c r="Q516" s="318"/>
      <c r="R516" s="205"/>
      <c r="T516" s="147" t="s">
        <v>5</v>
      </c>
      <c r="U516" s="44" t="s">
        <v>43</v>
      </c>
      <c r="V516" s="148">
        <v>0.125</v>
      </c>
      <c r="W516" s="148">
        <f>V516*K516</f>
        <v>330.19075</v>
      </c>
      <c r="X516" s="148">
        <v>0</v>
      </c>
      <c r="Y516" s="148">
        <f>X516*K516</f>
        <v>0</v>
      </c>
      <c r="Z516" s="148">
        <v>0</v>
      </c>
      <c r="AA516" s="149">
        <f>Z516*K516</f>
        <v>0</v>
      </c>
      <c r="AR516" s="21" t="s">
        <v>172</v>
      </c>
      <c r="AT516" s="21" t="s">
        <v>168</v>
      </c>
      <c r="AU516" s="21" t="s">
        <v>135</v>
      </c>
      <c r="AY516" s="21" t="s">
        <v>167</v>
      </c>
      <c r="BE516" s="150">
        <f>IF(U516="základní",N516,0)</f>
        <v>0</v>
      </c>
      <c r="BF516" s="150">
        <f>IF(U516="snížená",N516,0)</f>
        <v>0</v>
      </c>
      <c r="BG516" s="150">
        <f>IF(U516="zákl. přenesená",N516,0)</f>
        <v>0</v>
      </c>
      <c r="BH516" s="150">
        <f>IF(U516="sníž. přenesená",N516,0)</f>
        <v>0</v>
      </c>
      <c r="BI516" s="150">
        <f>IF(U516="nulová",N516,0)</f>
        <v>0</v>
      </c>
      <c r="BJ516" s="21" t="s">
        <v>21</v>
      </c>
      <c r="BK516" s="150">
        <f>ROUND(L516*K516,2)</f>
        <v>0</v>
      </c>
      <c r="BL516" s="21" t="s">
        <v>172</v>
      </c>
      <c r="BM516" s="21" t="s">
        <v>1670</v>
      </c>
    </row>
    <row r="517" spans="2:65" s="1" customFormat="1" ht="31.5" customHeight="1">
      <c r="B517" s="141"/>
      <c r="C517" s="201" t="s">
        <v>1019</v>
      </c>
      <c r="D517" s="201" t="s">
        <v>168</v>
      </c>
      <c r="E517" s="202" t="s">
        <v>1671</v>
      </c>
      <c r="F517" s="317" t="s">
        <v>1672</v>
      </c>
      <c r="G517" s="317"/>
      <c r="H517" s="317"/>
      <c r="I517" s="317"/>
      <c r="J517" s="203" t="s">
        <v>210</v>
      </c>
      <c r="K517" s="204">
        <f>+K516*10</f>
        <v>26415.26</v>
      </c>
      <c r="L517" s="318"/>
      <c r="M517" s="318"/>
      <c r="N517" s="318">
        <f>ROUND(L517*K517,2)</f>
        <v>0</v>
      </c>
      <c r="O517" s="318"/>
      <c r="P517" s="318"/>
      <c r="Q517" s="318"/>
      <c r="R517" s="205"/>
      <c r="T517" s="147" t="s">
        <v>5</v>
      </c>
      <c r="U517" s="44" t="s">
        <v>43</v>
      </c>
      <c r="V517" s="148">
        <v>0.006</v>
      </c>
      <c r="W517" s="148">
        <f>V517*K517</f>
        <v>158.49156</v>
      </c>
      <c r="X517" s="148">
        <v>0</v>
      </c>
      <c r="Y517" s="148">
        <f>X517*K517</f>
        <v>0</v>
      </c>
      <c r="Z517" s="148">
        <v>0</v>
      </c>
      <c r="AA517" s="149">
        <f>Z517*K517</f>
        <v>0</v>
      </c>
      <c r="AR517" s="21" t="s">
        <v>172</v>
      </c>
      <c r="AT517" s="21" t="s">
        <v>168</v>
      </c>
      <c r="AU517" s="21" t="s">
        <v>135</v>
      </c>
      <c r="AY517" s="21" t="s">
        <v>167</v>
      </c>
      <c r="BE517" s="150">
        <f>IF(U517="základní",N517,0)</f>
        <v>0</v>
      </c>
      <c r="BF517" s="150">
        <f>IF(U517="snížená",N517,0)</f>
        <v>0</v>
      </c>
      <c r="BG517" s="150">
        <f>IF(U517="zákl. přenesená",N517,0)</f>
        <v>0</v>
      </c>
      <c r="BH517" s="150">
        <f>IF(U517="sníž. přenesená",N517,0)</f>
        <v>0</v>
      </c>
      <c r="BI517" s="150">
        <f>IF(U517="nulová",N517,0)</f>
        <v>0</v>
      </c>
      <c r="BJ517" s="21" t="s">
        <v>21</v>
      </c>
      <c r="BK517" s="150">
        <f>ROUND(L517*K517,2)</f>
        <v>0</v>
      </c>
      <c r="BL517" s="21" t="s">
        <v>172</v>
      </c>
      <c r="BM517" s="21" t="s">
        <v>1673</v>
      </c>
    </row>
    <row r="518" spans="2:65" s="1" customFormat="1" ht="31.5" customHeight="1">
      <c r="B518" s="141"/>
      <c r="C518" s="201" t="s">
        <v>1023</v>
      </c>
      <c r="D518" s="201" t="s">
        <v>168</v>
      </c>
      <c r="E518" s="202" t="s">
        <v>1674</v>
      </c>
      <c r="F518" s="317" t="s">
        <v>1675</v>
      </c>
      <c r="G518" s="317"/>
      <c r="H518" s="317"/>
      <c r="I518" s="317"/>
      <c r="J518" s="203" t="s">
        <v>210</v>
      </c>
      <c r="K518" s="204">
        <v>532.159</v>
      </c>
      <c r="L518" s="318"/>
      <c r="M518" s="318"/>
      <c r="N518" s="318">
        <f>ROUND(L518*K518,2)</f>
        <v>0</v>
      </c>
      <c r="O518" s="318"/>
      <c r="P518" s="318"/>
      <c r="Q518" s="318"/>
      <c r="R518" s="205"/>
      <c r="T518" s="147" t="s">
        <v>5</v>
      </c>
      <c r="U518" s="44" t="s">
        <v>43</v>
      </c>
      <c r="V518" s="148">
        <v>0</v>
      </c>
      <c r="W518" s="148">
        <f>V518*K518</f>
        <v>0</v>
      </c>
      <c r="X518" s="148">
        <v>0</v>
      </c>
      <c r="Y518" s="148">
        <f>X518*K518</f>
        <v>0</v>
      </c>
      <c r="Z518" s="148">
        <v>0</v>
      </c>
      <c r="AA518" s="149">
        <f>Z518*K518</f>
        <v>0</v>
      </c>
      <c r="AR518" s="21" t="s">
        <v>172</v>
      </c>
      <c r="AT518" s="21" t="s">
        <v>168</v>
      </c>
      <c r="AU518" s="21" t="s">
        <v>135</v>
      </c>
      <c r="AY518" s="21" t="s">
        <v>167</v>
      </c>
      <c r="BE518" s="150">
        <f>IF(U518="základní",N518,0)</f>
        <v>0</v>
      </c>
      <c r="BF518" s="150">
        <f>IF(U518="snížená",N518,0)</f>
        <v>0</v>
      </c>
      <c r="BG518" s="150">
        <f>IF(U518="zákl. přenesená",N518,0)</f>
        <v>0</v>
      </c>
      <c r="BH518" s="150">
        <f>IF(U518="sníž. přenesená",N518,0)</f>
        <v>0</v>
      </c>
      <c r="BI518" s="150">
        <f>IF(U518="nulová",N518,0)</f>
        <v>0</v>
      </c>
      <c r="BJ518" s="21" t="s">
        <v>21</v>
      </c>
      <c r="BK518" s="150">
        <f>ROUND(L518*K518,2)</f>
        <v>0</v>
      </c>
      <c r="BL518" s="21" t="s">
        <v>172</v>
      </c>
      <c r="BM518" s="21" t="s">
        <v>1676</v>
      </c>
    </row>
    <row r="519" spans="2:65" s="1" customFormat="1" ht="31.5" customHeight="1">
      <c r="B519" s="141"/>
      <c r="C519" s="201" t="s">
        <v>1027</v>
      </c>
      <c r="D519" s="201" t="s">
        <v>168</v>
      </c>
      <c r="E519" s="202" t="s">
        <v>1677</v>
      </c>
      <c r="F519" s="317" t="s">
        <v>1678</v>
      </c>
      <c r="G519" s="317"/>
      <c r="H519" s="317"/>
      <c r="I519" s="317"/>
      <c r="J519" s="203" t="s">
        <v>210</v>
      </c>
      <c r="K519" s="204">
        <f>+K516-K518</f>
        <v>2109.3669999999997</v>
      </c>
      <c r="L519" s="318"/>
      <c r="M519" s="318"/>
      <c r="N519" s="318">
        <f>ROUND(L519*K519,2)</f>
        <v>0</v>
      </c>
      <c r="O519" s="318"/>
      <c r="P519" s="318"/>
      <c r="Q519" s="318"/>
      <c r="R519" s="205"/>
      <c r="T519" s="147" t="s">
        <v>5</v>
      </c>
      <c r="U519" s="44" t="s">
        <v>43</v>
      </c>
      <c r="V519" s="148">
        <v>0</v>
      </c>
      <c r="W519" s="148">
        <f>V519*K519</f>
        <v>0</v>
      </c>
      <c r="X519" s="148">
        <v>0</v>
      </c>
      <c r="Y519" s="148">
        <f>X519*K519</f>
        <v>0</v>
      </c>
      <c r="Z519" s="148">
        <v>0</v>
      </c>
      <c r="AA519" s="149">
        <f>Z519*K519</f>
        <v>0</v>
      </c>
      <c r="AR519" s="21" t="s">
        <v>172</v>
      </c>
      <c r="AT519" s="21" t="s">
        <v>168</v>
      </c>
      <c r="AU519" s="21" t="s">
        <v>135</v>
      </c>
      <c r="AY519" s="21" t="s">
        <v>167</v>
      </c>
      <c r="BE519" s="150">
        <f>IF(U519="základní",N519,0)</f>
        <v>0</v>
      </c>
      <c r="BF519" s="150">
        <f>IF(U519="snížená",N519,0)</f>
        <v>0</v>
      </c>
      <c r="BG519" s="150">
        <f>IF(U519="zákl. přenesená",N519,0)</f>
        <v>0</v>
      </c>
      <c r="BH519" s="150">
        <f>IF(U519="sníž. přenesená",N519,0)</f>
        <v>0</v>
      </c>
      <c r="BI519" s="150">
        <f>IF(U519="nulová",N519,0)</f>
        <v>0</v>
      </c>
      <c r="BJ519" s="21" t="s">
        <v>21</v>
      </c>
      <c r="BK519" s="150">
        <f>ROUND(L519*K519,2)</f>
        <v>0</v>
      </c>
      <c r="BL519" s="21" t="s">
        <v>172</v>
      </c>
      <c r="BM519" s="21" t="s">
        <v>1679</v>
      </c>
    </row>
    <row r="520" spans="2:51" s="11" customFormat="1" ht="22.5" customHeight="1">
      <c r="B520" s="159"/>
      <c r="C520" s="210"/>
      <c r="D520" s="210"/>
      <c r="E520" s="211" t="s">
        <v>5</v>
      </c>
      <c r="F520" s="329"/>
      <c r="G520" s="330"/>
      <c r="H520" s="330"/>
      <c r="I520" s="330"/>
      <c r="J520" s="210"/>
      <c r="K520" s="212"/>
      <c r="L520" s="210"/>
      <c r="M520" s="210"/>
      <c r="N520" s="210"/>
      <c r="O520" s="210"/>
      <c r="P520" s="210"/>
      <c r="Q520" s="210"/>
      <c r="R520" s="213"/>
      <c r="T520" s="194"/>
      <c r="U520" s="195"/>
      <c r="V520" s="195"/>
      <c r="W520" s="195"/>
      <c r="X520" s="195"/>
      <c r="Y520" s="195"/>
      <c r="Z520" s="195"/>
      <c r="AA520" s="196"/>
      <c r="AT520" s="166" t="s">
        <v>179</v>
      </c>
      <c r="AU520" s="166" t="s">
        <v>135</v>
      </c>
      <c r="AV520" s="11" t="s">
        <v>135</v>
      </c>
      <c r="AW520" s="11" t="s">
        <v>35</v>
      </c>
      <c r="AX520" s="11" t="s">
        <v>21</v>
      </c>
      <c r="AY520" s="166" t="s">
        <v>167</v>
      </c>
    </row>
    <row r="521" spans="2:18" s="1" customFormat="1" ht="6.95" customHeight="1">
      <c r="B521" s="59"/>
      <c r="C521" s="229"/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30"/>
    </row>
    <row r="522" spans="3:18" ht="13.5">
      <c r="C522" s="231"/>
      <c r="D522" s="231"/>
      <c r="E522" s="231"/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  <c r="R522" s="231"/>
    </row>
    <row r="523" spans="3:18" ht="13.5">
      <c r="C523" s="231"/>
      <c r="D523" s="231"/>
      <c r="E523" s="231"/>
      <c r="F523" s="231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</row>
    <row r="524" spans="3:18" ht="13.5">
      <c r="C524" s="231"/>
      <c r="D524" s="231"/>
      <c r="E524" s="231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  <c r="R524" s="231"/>
    </row>
    <row r="525" spans="3:18" ht="13.5">
      <c r="C525" s="231"/>
      <c r="D525" s="231"/>
      <c r="E525" s="231"/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  <c r="R525" s="231"/>
    </row>
    <row r="526" spans="3:18" ht="13.5">
      <c r="C526" s="231"/>
      <c r="D526" s="231"/>
      <c r="E526" s="231"/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1"/>
    </row>
    <row r="527" spans="3:18" ht="13.5">
      <c r="C527" s="231"/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</row>
    <row r="528" spans="3:18" ht="13.5"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</row>
    <row r="529" spans="3:18" ht="13.5">
      <c r="C529" s="231"/>
      <c r="D529" s="231"/>
      <c r="E529" s="231"/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  <c r="R529" s="231"/>
    </row>
    <row r="530" spans="3:18" ht="13.5">
      <c r="C530" s="231"/>
      <c r="D530" s="231"/>
      <c r="E530" s="231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  <c r="R530" s="231"/>
    </row>
    <row r="531" spans="3:18" ht="13.5"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  <c r="R531" s="231"/>
    </row>
    <row r="532" spans="3:18" ht="13.5"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</row>
    <row r="533" spans="3:18" ht="13.5"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  <c r="Q533" s="231"/>
      <c r="R533" s="231"/>
    </row>
    <row r="534" spans="3:18" ht="13.5">
      <c r="C534" s="231"/>
      <c r="D534" s="231"/>
      <c r="E534" s="231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</row>
    <row r="535" spans="3:18" ht="13.5">
      <c r="C535" s="231"/>
      <c r="D535" s="231"/>
      <c r="E535" s="231"/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</row>
    <row r="536" spans="3:18" ht="13.5">
      <c r="C536" s="231"/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</row>
    <row r="537" spans="3:18" ht="13.5">
      <c r="C537" s="231"/>
      <c r="D537" s="231"/>
      <c r="E537" s="231"/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</row>
    <row r="538" spans="3:18" ht="13.5">
      <c r="C538" s="231"/>
      <c r="D538" s="231"/>
      <c r="E538" s="231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</row>
    <row r="539" spans="3:18" ht="13.5">
      <c r="C539" s="231"/>
      <c r="D539" s="231"/>
      <c r="E539" s="231"/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  <c r="R539" s="231"/>
    </row>
    <row r="540" spans="3:18" ht="13.5">
      <c r="C540" s="231"/>
      <c r="D540" s="231"/>
      <c r="E540" s="231"/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  <c r="R540" s="231"/>
    </row>
    <row r="541" spans="3:18" ht="13.5">
      <c r="C541" s="231"/>
      <c r="D541" s="231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</row>
    <row r="542" spans="3:18" ht="13.5">
      <c r="C542" s="231"/>
      <c r="D542" s="231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</row>
    <row r="543" spans="3:18" ht="13.5">
      <c r="C543" s="231"/>
      <c r="D543" s="231"/>
      <c r="E543" s="231"/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  <c r="R543" s="231"/>
    </row>
    <row r="544" spans="3:18" ht="13.5">
      <c r="C544" s="231"/>
      <c r="D544" s="231"/>
      <c r="E544" s="231"/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  <c r="R544" s="231"/>
    </row>
    <row r="545" spans="3:18" ht="13.5">
      <c r="C545" s="231"/>
      <c r="D545" s="231"/>
      <c r="E545" s="231"/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</row>
    <row r="546" spans="3:18" ht="13.5">
      <c r="C546" s="231"/>
      <c r="D546" s="231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</row>
    <row r="547" spans="3:18" ht="13.5">
      <c r="C547" s="231"/>
      <c r="D547" s="231"/>
      <c r="E547" s="231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</row>
    <row r="548" spans="3:18" ht="13.5">
      <c r="C548" s="231"/>
      <c r="D548" s="231"/>
      <c r="E548" s="231"/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  <c r="R548" s="231"/>
    </row>
    <row r="549" spans="3:18" ht="13.5">
      <c r="C549" s="231"/>
      <c r="D549" s="231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</row>
    <row r="550" spans="3:18" ht="13.5">
      <c r="C550" s="231"/>
      <c r="D550" s="231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</row>
    <row r="551" spans="3:18" ht="13.5">
      <c r="C551" s="231"/>
      <c r="D551" s="231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</row>
    <row r="552" spans="3:18" ht="13.5">
      <c r="C552" s="231"/>
      <c r="D552" s="231"/>
      <c r="E552" s="231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</row>
    <row r="553" spans="3:18" ht="13.5">
      <c r="C553" s="231"/>
      <c r="D553" s="231"/>
      <c r="E553" s="231"/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  <c r="R553" s="231"/>
    </row>
    <row r="554" spans="3:18" ht="13.5"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</row>
    <row r="555" spans="3:18" ht="13.5">
      <c r="C555" s="231"/>
      <c r="D555" s="231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</row>
    <row r="556" spans="3:18" ht="13.5">
      <c r="C556" s="231"/>
      <c r="D556" s="231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</row>
    <row r="557" spans="3:18" ht="13.5">
      <c r="C557" s="231"/>
      <c r="D557" s="231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</row>
    <row r="558" spans="3:18" ht="13.5">
      <c r="C558" s="231"/>
      <c r="D558" s="231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</row>
    <row r="559" spans="3:18" ht="13.5">
      <c r="C559" s="231"/>
      <c r="D559" s="231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</row>
    <row r="560" spans="3:18" ht="13.5">
      <c r="C560" s="231"/>
      <c r="D560" s="231"/>
      <c r="E560" s="231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</row>
    <row r="561" spans="3:18" ht="13.5"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</row>
    <row r="562" spans="3:18" ht="13.5">
      <c r="C562" s="231"/>
      <c r="D562" s="231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</row>
    <row r="563" spans="3:18" ht="13.5">
      <c r="C563" s="231"/>
      <c r="D563" s="231"/>
      <c r="E563" s="231"/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</row>
    <row r="564" spans="3:18" ht="13.5">
      <c r="C564" s="231"/>
      <c r="D564" s="231"/>
      <c r="E564" s="231"/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</row>
    <row r="565" spans="3:18" ht="13.5">
      <c r="C565" s="231"/>
      <c r="D565" s="231"/>
      <c r="E565" s="231"/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</row>
    <row r="566" spans="3:18" ht="13.5">
      <c r="C566" s="231"/>
      <c r="D566" s="231"/>
      <c r="E566" s="231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</row>
    <row r="567" spans="3:18" ht="13.5">
      <c r="C567" s="231"/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</row>
    <row r="568" spans="3:18" ht="13.5">
      <c r="C568" s="231"/>
      <c r="D568" s="231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</row>
    <row r="569" spans="3:18" ht="13.5">
      <c r="C569" s="231"/>
      <c r="D569" s="231"/>
      <c r="E569" s="231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</row>
    <row r="570" spans="3:18" ht="13.5">
      <c r="C570" s="231"/>
      <c r="D570" s="231"/>
      <c r="E570" s="231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</row>
    <row r="571" spans="3:18" ht="13.5">
      <c r="C571" s="231"/>
      <c r="D571" s="231"/>
      <c r="E571" s="231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</row>
    <row r="572" spans="3:18" ht="13.5">
      <c r="C572" s="231"/>
      <c r="D572" s="231"/>
      <c r="E572" s="231"/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</row>
    <row r="573" spans="3:18" ht="13.5">
      <c r="C573" s="231"/>
      <c r="D573" s="231"/>
      <c r="E573" s="231"/>
      <c r="F573" s="231"/>
      <c r="G573" s="231"/>
      <c r="H573" s="231"/>
      <c r="I573" s="231"/>
      <c r="J573" s="231"/>
      <c r="K573" s="231"/>
      <c r="L573" s="231"/>
      <c r="M573" s="231"/>
      <c r="N573" s="231"/>
      <c r="O573" s="231"/>
      <c r="P573" s="231"/>
      <c r="Q573" s="231"/>
      <c r="R573" s="231"/>
    </row>
  </sheetData>
  <mergeCells count="660">
    <mergeCell ref="H1:K1"/>
    <mergeCell ref="S2:AC2"/>
    <mergeCell ref="F519:I519"/>
    <mergeCell ref="L519:M519"/>
    <mergeCell ref="N519:Q519"/>
    <mergeCell ref="F520:I520"/>
    <mergeCell ref="N119:Q119"/>
    <mergeCell ref="N120:Q120"/>
    <mergeCell ref="N121:Q121"/>
    <mergeCell ref="N264:Q264"/>
    <mergeCell ref="N406:Q406"/>
    <mergeCell ref="N415:Q415"/>
    <mergeCell ref="N423:Q423"/>
    <mergeCell ref="N440:Q440"/>
    <mergeCell ref="N448:Q448"/>
    <mergeCell ref="N486:Q486"/>
    <mergeCell ref="N515:Q515"/>
    <mergeCell ref="F516:I516"/>
    <mergeCell ref="L516:M516"/>
    <mergeCell ref="N516:Q516"/>
    <mergeCell ref="F517:I517"/>
    <mergeCell ref="L517:M517"/>
    <mergeCell ref="N517:Q517"/>
    <mergeCell ref="F518:I518"/>
    <mergeCell ref="L518:M518"/>
    <mergeCell ref="N518:Q518"/>
    <mergeCell ref="F512:I512"/>
    <mergeCell ref="L512:M512"/>
    <mergeCell ref="N512:Q512"/>
    <mergeCell ref="F513:I513"/>
    <mergeCell ref="L513:M513"/>
    <mergeCell ref="N513:Q513"/>
    <mergeCell ref="F514:I514"/>
    <mergeCell ref="L514:M514"/>
    <mergeCell ref="N514:Q514"/>
    <mergeCell ref="F509:I509"/>
    <mergeCell ref="L509:M509"/>
    <mergeCell ref="N509:Q509"/>
    <mergeCell ref="F510:I510"/>
    <mergeCell ref="L510:M510"/>
    <mergeCell ref="N510:Q510"/>
    <mergeCell ref="F511:I511"/>
    <mergeCell ref="L511:M511"/>
    <mergeCell ref="N511:Q511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499:I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492:I492"/>
    <mergeCell ref="F493:I493"/>
    <mergeCell ref="F494:I494"/>
    <mergeCell ref="F495:I495"/>
    <mergeCell ref="F496:I496"/>
    <mergeCell ref="F497:I497"/>
    <mergeCell ref="L497:M497"/>
    <mergeCell ref="N497:Q497"/>
    <mergeCell ref="F498:I49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N484:Q484"/>
    <mergeCell ref="F485:I485"/>
    <mergeCell ref="L485:M485"/>
    <mergeCell ref="N485:Q485"/>
    <mergeCell ref="F487:I487"/>
    <mergeCell ref="L487:M487"/>
    <mergeCell ref="N487:Q487"/>
    <mergeCell ref="F488:I488"/>
    <mergeCell ref="L488:M488"/>
    <mergeCell ref="N488:Q488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L484:M484"/>
    <mergeCell ref="F472:I472"/>
    <mergeCell ref="F473:I473"/>
    <mergeCell ref="L473:M473"/>
    <mergeCell ref="N473:Q473"/>
    <mergeCell ref="F474:I474"/>
    <mergeCell ref="L474:M474"/>
    <mergeCell ref="N474:Q474"/>
    <mergeCell ref="F475:I475"/>
    <mergeCell ref="F476:I476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N464:Q464"/>
    <mergeCell ref="F465:I465"/>
    <mergeCell ref="L465:M465"/>
    <mergeCell ref="N465:Q465"/>
    <mergeCell ref="F466:I466"/>
    <mergeCell ref="F467:I467"/>
    <mergeCell ref="L467:M467"/>
    <mergeCell ref="N467:Q467"/>
    <mergeCell ref="F468:I468"/>
    <mergeCell ref="L468:M468"/>
    <mergeCell ref="N468:Q468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L464:M464"/>
    <mergeCell ref="F452:I452"/>
    <mergeCell ref="L452:M452"/>
    <mergeCell ref="N452:Q452"/>
    <mergeCell ref="F453:I453"/>
    <mergeCell ref="L453:M453"/>
    <mergeCell ref="N453:Q453"/>
    <mergeCell ref="F454:I454"/>
    <mergeCell ref="F455:I455"/>
    <mergeCell ref="F456:I456"/>
    <mergeCell ref="F446:I446"/>
    <mergeCell ref="F447:I447"/>
    <mergeCell ref="L447:M447"/>
    <mergeCell ref="N447:Q447"/>
    <mergeCell ref="F449:I449"/>
    <mergeCell ref="L449:M449"/>
    <mergeCell ref="N449:Q449"/>
    <mergeCell ref="F450:I450"/>
    <mergeCell ref="F451:I451"/>
    <mergeCell ref="F442:I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37:I437"/>
    <mergeCell ref="F438:I438"/>
    <mergeCell ref="L438:M438"/>
    <mergeCell ref="N438:Q438"/>
    <mergeCell ref="F439:I439"/>
    <mergeCell ref="L439:M439"/>
    <mergeCell ref="N439:Q439"/>
    <mergeCell ref="F441:I441"/>
    <mergeCell ref="L441:M441"/>
    <mergeCell ref="N441:Q441"/>
    <mergeCell ref="F433:I433"/>
    <mergeCell ref="L433:M433"/>
    <mergeCell ref="N433:Q433"/>
    <mergeCell ref="F434:I434"/>
    <mergeCell ref="L434:M434"/>
    <mergeCell ref="N434:Q434"/>
    <mergeCell ref="F435:I435"/>
    <mergeCell ref="F436:I436"/>
    <mergeCell ref="L436:M436"/>
    <mergeCell ref="N436:Q436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5:I425"/>
    <mergeCell ref="F426:I426"/>
    <mergeCell ref="L426:M426"/>
    <mergeCell ref="N426:Q426"/>
    <mergeCell ref="F427:I427"/>
    <mergeCell ref="F428:I428"/>
    <mergeCell ref="L428:M428"/>
    <mergeCell ref="N428:Q428"/>
    <mergeCell ref="F429:I429"/>
    <mergeCell ref="L429:M429"/>
    <mergeCell ref="N429:Q429"/>
    <mergeCell ref="F417:I417"/>
    <mergeCell ref="F418:I418"/>
    <mergeCell ref="F419:I419"/>
    <mergeCell ref="L419:M419"/>
    <mergeCell ref="N419:Q419"/>
    <mergeCell ref="F420:I420"/>
    <mergeCell ref="F421:I421"/>
    <mergeCell ref="F422:I422"/>
    <mergeCell ref="F424:I424"/>
    <mergeCell ref="L424:M424"/>
    <mergeCell ref="N424:Q424"/>
    <mergeCell ref="F411:I411"/>
    <mergeCell ref="F412:I412"/>
    <mergeCell ref="F413:I413"/>
    <mergeCell ref="L413:M413"/>
    <mergeCell ref="N413:Q413"/>
    <mergeCell ref="F414:I414"/>
    <mergeCell ref="F416:I416"/>
    <mergeCell ref="L416:M416"/>
    <mergeCell ref="N416:Q416"/>
    <mergeCell ref="F405:I405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01:I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4:I394"/>
    <mergeCell ref="F395:I395"/>
    <mergeCell ref="F396:I396"/>
    <mergeCell ref="F397:I397"/>
    <mergeCell ref="L397:M397"/>
    <mergeCell ref="N397:Q397"/>
    <mergeCell ref="F398:I398"/>
    <mergeCell ref="F399:I399"/>
    <mergeCell ref="F400:I400"/>
    <mergeCell ref="L400:M400"/>
    <mergeCell ref="N400:Q400"/>
    <mergeCell ref="F387:I387"/>
    <mergeCell ref="F388:I388"/>
    <mergeCell ref="L388:M388"/>
    <mergeCell ref="N388:Q388"/>
    <mergeCell ref="F389:I389"/>
    <mergeCell ref="F390:I390"/>
    <mergeCell ref="F391:I391"/>
    <mergeCell ref="F392:I392"/>
    <mergeCell ref="F393:I393"/>
    <mergeCell ref="F381:I381"/>
    <mergeCell ref="F382:I382"/>
    <mergeCell ref="F383:I383"/>
    <mergeCell ref="L383:M383"/>
    <mergeCell ref="N383:Q383"/>
    <mergeCell ref="F384:I384"/>
    <mergeCell ref="F385:I385"/>
    <mergeCell ref="F386:I386"/>
    <mergeCell ref="L386:M386"/>
    <mergeCell ref="N386:Q386"/>
    <mergeCell ref="F376:I376"/>
    <mergeCell ref="L376:M376"/>
    <mergeCell ref="N376:Q376"/>
    <mergeCell ref="F377:I377"/>
    <mergeCell ref="F378:I378"/>
    <mergeCell ref="L378:M378"/>
    <mergeCell ref="N378:Q378"/>
    <mergeCell ref="F379:I379"/>
    <mergeCell ref="F380:I380"/>
    <mergeCell ref="L380:M380"/>
    <mergeCell ref="N380:Q380"/>
    <mergeCell ref="F371:I371"/>
    <mergeCell ref="F372:I372"/>
    <mergeCell ref="L372:M372"/>
    <mergeCell ref="N372:Q372"/>
    <mergeCell ref="F373:I373"/>
    <mergeCell ref="L373:M373"/>
    <mergeCell ref="N373:Q373"/>
    <mergeCell ref="F374:I374"/>
    <mergeCell ref="F375:I375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09:I309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8:I308"/>
    <mergeCell ref="L308:M308"/>
    <mergeCell ref="N308:Q308"/>
    <mergeCell ref="F299:I299"/>
    <mergeCell ref="F300:I300"/>
    <mergeCell ref="L300:M300"/>
    <mergeCell ref="N300:Q300"/>
    <mergeCell ref="F301:I301"/>
    <mergeCell ref="F302:I302"/>
    <mergeCell ref="F303:I303"/>
    <mergeCell ref="L303:M303"/>
    <mergeCell ref="N303:Q303"/>
    <mergeCell ref="F292:I292"/>
    <mergeCell ref="L292:M292"/>
    <mergeCell ref="N292:Q292"/>
    <mergeCell ref="F293:I293"/>
    <mergeCell ref="F294:I294"/>
    <mergeCell ref="F295:I295"/>
    <mergeCell ref="F296:I296"/>
    <mergeCell ref="F297:I297"/>
    <mergeCell ref="F298:I298"/>
    <mergeCell ref="F285:I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80:I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F273:I273"/>
    <mergeCell ref="F274:I274"/>
    <mergeCell ref="L274:M274"/>
    <mergeCell ref="N274:Q274"/>
    <mergeCell ref="F275:I275"/>
    <mergeCell ref="F276:I276"/>
    <mergeCell ref="F277:I277"/>
    <mergeCell ref="F278:I278"/>
    <mergeCell ref="F279:I279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62:I262"/>
    <mergeCell ref="F263:I263"/>
    <mergeCell ref="F265:I265"/>
    <mergeCell ref="L265:M265"/>
    <mergeCell ref="N265:Q265"/>
    <mergeCell ref="F266:I266"/>
    <mergeCell ref="L266:M266"/>
    <mergeCell ref="N266:Q266"/>
    <mergeCell ref="F267:I267"/>
    <mergeCell ref="L254:M254"/>
    <mergeCell ref="N254:Q254"/>
    <mergeCell ref="F255:I255"/>
    <mergeCell ref="F256:I256"/>
    <mergeCell ref="F257:I257"/>
    <mergeCell ref="F258:I258"/>
    <mergeCell ref="F259:I259"/>
    <mergeCell ref="F260:I260"/>
    <mergeCell ref="F261:I261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F245:I245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N635"/>
  <sheetViews>
    <sheetView showGridLines="0" view="pageBreakPreview" zoomScaleSheetLayoutView="100" workbookViewId="0" topLeftCell="A1">
      <pane ySplit="1" topLeftCell="A514" activePane="bottomLeft" state="frozen"/>
      <selection pane="topLeft" activeCell="A2" sqref="A2"/>
      <selection pane="bottomLeft" activeCell="AE523" sqref="AE523:AF5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122</v>
      </c>
      <c r="AZ2" s="185" t="s">
        <v>1680</v>
      </c>
      <c r="BA2" s="185" t="s">
        <v>5</v>
      </c>
      <c r="BB2" s="185" t="s">
        <v>5</v>
      </c>
      <c r="BC2" s="185" t="s">
        <v>1681</v>
      </c>
      <c r="BD2" s="185" t="s">
        <v>135</v>
      </c>
    </row>
    <row r="3" spans="2:5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  <c r="AZ3" s="185" t="s">
        <v>1682</v>
      </c>
      <c r="BA3" s="185" t="s">
        <v>5</v>
      </c>
      <c r="BB3" s="185" t="s">
        <v>5</v>
      </c>
      <c r="BC3" s="185" t="s">
        <v>25</v>
      </c>
      <c r="BD3" s="185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1683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N99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ROUNDUP((SUM(BE99:BE100)+SUM(BE118:BE589)),2)</f>
        <v>0</v>
      </c>
      <c r="I32" s="275"/>
      <c r="J32" s="275"/>
      <c r="K32" s="36"/>
      <c r="L32" s="36"/>
      <c r="M32" s="279">
        <f>ROUNDUP(ROUNDUP((SUM(BE99:BE100)+SUM(BE118:BE589)),2)*F32,1)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ROUNDUP((SUM(BF99:BF100)+SUM(BF118:BF589)),2)</f>
        <v>0</v>
      </c>
      <c r="I33" s="275"/>
      <c r="J33" s="275"/>
      <c r="K33" s="36"/>
      <c r="L33" s="36"/>
      <c r="M33" s="279">
        <f>ROUNDUP(ROUNDUP((SUM(BF99:BF100)+SUM(BF118:BF589)),2)*F33,1)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ROUNDUP((SUM(BG99:BG100)+SUM(BG118:BG589)),2)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ROUNDUP((SUM(BH99:BH100)+SUM(BH118:BH589)),2)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ROUNDUP((SUM(BI99:BI100)+SUM(BI118:BI589)),2)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SO.2.02 - Kanalizace - část 2 včetně ČS2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N118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N119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1267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N120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148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N288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149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N476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227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N485</f>
        <v>0</v>
      </c>
      <c r="O93" s="288"/>
      <c r="P93" s="288"/>
      <c r="Q93" s="288"/>
      <c r="R93" s="120"/>
    </row>
    <row r="94" spans="2:18" s="7" customFormat="1" ht="19.9" customHeight="1">
      <c r="B94" s="117"/>
      <c r="C94" s="118"/>
      <c r="D94" s="119" t="s">
        <v>1094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N494</f>
        <v>0</v>
      </c>
      <c r="O94" s="288"/>
      <c r="P94" s="288"/>
      <c r="Q94" s="288"/>
      <c r="R94" s="120"/>
    </row>
    <row r="95" spans="2:18" s="7" customFormat="1" ht="19.9" customHeight="1">
      <c r="B95" s="117"/>
      <c r="C95" s="118"/>
      <c r="D95" s="119" t="s">
        <v>150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87">
        <f>N509</f>
        <v>0</v>
      </c>
      <c r="O95" s="288"/>
      <c r="P95" s="288"/>
      <c r="Q95" s="288"/>
      <c r="R95" s="120"/>
    </row>
    <row r="96" spans="2:18" s="7" customFormat="1" ht="19.9" customHeight="1">
      <c r="B96" s="117"/>
      <c r="C96" s="118"/>
      <c r="D96" s="119" t="s">
        <v>1269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87">
        <f>N556</f>
        <v>0</v>
      </c>
      <c r="O96" s="288"/>
      <c r="P96" s="288"/>
      <c r="Q96" s="288"/>
      <c r="R96" s="120"/>
    </row>
    <row r="97" spans="2:18" s="7" customFormat="1" ht="19.9" customHeight="1">
      <c r="B97" s="117"/>
      <c r="C97" s="118"/>
      <c r="D97" s="119" t="s">
        <v>1270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87">
        <f>N585</f>
        <v>0</v>
      </c>
      <c r="O97" s="288"/>
      <c r="P97" s="288"/>
      <c r="Q97" s="288"/>
      <c r="R97" s="120"/>
    </row>
    <row r="98" spans="2:18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2" t="s">
        <v>152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84">
        <v>0</v>
      </c>
      <c r="O99" s="289"/>
      <c r="P99" s="289"/>
      <c r="Q99" s="289"/>
      <c r="R99" s="37"/>
      <c r="T99" s="121"/>
      <c r="U99" s="122" t="s">
        <v>42</v>
      </c>
    </row>
    <row r="100" spans="2:18" s="1" customFormat="1" ht="18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18" s="1" customFormat="1" ht="29.25" customHeight="1">
      <c r="B101" s="35"/>
      <c r="C101" s="103" t="s">
        <v>129</v>
      </c>
      <c r="D101" s="104"/>
      <c r="E101" s="104"/>
      <c r="F101" s="104"/>
      <c r="G101" s="104"/>
      <c r="H101" s="104"/>
      <c r="I101" s="104"/>
      <c r="J101" s="104"/>
      <c r="K101" s="104"/>
      <c r="L101" s="268">
        <f>ROUNDUP(SUM(N88+N99),2)</f>
        <v>0</v>
      </c>
      <c r="M101" s="268"/>
      <c r="N101" s="268"/>
      <c r="O101" s="268"/>
      <c r="P101" s="268"/>
      <c r="Q101" s="268"/>
      <c r="R101" s="37"/>
    </row>
    <row r="102" spans="2:18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18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18" s="1" customFormat="1" ht="36.95" customHeight="1">
      <c r="B107" s="35"/>
      <c r="C107" s="237" t="s">
        <v>153</v>
      </c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37"/>
    </row>
    <row r="108" spans="2:18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30" customHeight="1">
      <c r="B109" s="35"/>
      <c r="C109" s="32" t="s">
        <v>16</v>
      </c>
      <c r="D109" s="36"/>
      <c r="E109" s="36"/>
      <c r="F109" s="273" t="str">
        <f>F6</f>
        <v>ČOV a splašková kanalizace Žinkovy</v>
      </c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36"/>
      <c r="R109" s="37"/>
    </row>
    <row r="110" spans="2:18" s="1" customFormat="1" ht="36.95" customHeight="1">
      <c r="B110" s="35"/>
      <c r="C110" s="69" t="s">
        <v>137</v>
      </c>
      <c r="D110" s="36"/>
      <c r="E110" s="36"/>
      <c r="F110" s="254" t="str">
        <f>F7</f>
        <v>SO.2.02 - Kanalizace - část 2 včetně ČS2</v>
      </c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36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2" t="s">
        <v>22</v>
      </c>
      <c r="D112" s="36"/>
      <c r="E112" s="36"/>
      <c r="F112" s="30" t="str">
        <f>F9</f>
        <v>Žinkovy</v>
      </c>
      <c r="G112" s="36"/>
      <c r="H112" s="36"/>
      <c r="I112" s="36"/>
      <c r="J112" s="36"/>
      <c r="K112" s="32" t="s">
        <v>24</v>
      </c>
      <c r="L112" s="36"/>
      <c r="M112" s="276">
        <f>IF(O9="","",O9)</f>
        <v>42912</v>
      </c>
      <c r="N112" s="276"/>
      <c r="O112" s="276"/>
      <c r="P112" s="276"/>
      <c r="Q112" s="36"/>
      <c r="R112" s="37"/>
    </row>
    <row r="113" spans="2:18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5">
      <c r="B114" s="35"/>
      <c r="C114" s="32" t="s">
        <v>27</v>
      </c>
      <c r="D114" s="36"/>
      <c r="E114" s="36"/>
      <c r="F114" s="30" t="str">
        <f>E12</f>
        <v>Obec Žinkovy</v>
      </c>
      <c r="G114" s="36"/>
      <c r="H114" s="36"/>
      <c r="I114" s="36"/>
      <c r="J114" s="36"/>
      <c r="K114" s="32" t="s">
        <v>33</v>
      </c>
      <c r="L114" s="36"/>
      <c r="M114" s="277" t="str">
        <f>E18</f>
        <v>PIK Vítek s.r.o.</v>
      </c>
      <c r="N114" s="277"/>
      <c r="O114" s="277"/>
      <c r="P114" s="277"/>
      <c r="Q114" s="277"/>
      <c r="R114" s="37"/>
    </row>
    <row r="115" spans="2:18" s="1" customFormat="1" ht="14.45" customHeight="1">
      <c r="B115" s="35"/>
      <c r="C115" s="32" t="s">
        <v>31</v>
      </c>
      <c r="D115" s="36"/>
      <c r="E115" s="36"/>
      <c r="F115" s="30" t="str">
        <f>IF(E15="","",E15)</f>
        <v xml:space="preserve"> </v>
      </c>
      <c r="G115" s="36"/>
      <c r="H115" s="36"/>
      <c r="I115" s="36"/>
      <c r="J115" s="36"/>
      <c r="K115" s="32" t="s">
        <v>36</v>
      </c>
      <c r="L115" s="36"/>
      <c r="M115" s="277" t="str">
        <f>E21</f>
        <v>Acrone s.r.o.</v>
      </c>
      <c r="N115" s="277"/>
      <c r="O115" s="277"/>
      <c r="P115" s="277"/>
      <c r="Q115" s="277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8" customFormat="1" ht="29.25" customHeight="1">
      <c r="B117" s="123"/>
      <c r="C117" s="124" t="s">
        <v>154</v>
      </c>
      <c r="D117" s="125" t="s">
        <v>155</v>
      </c>
      <c r="E117" s="125" t="s">
        <v>60</v>
      </c>
      <c r="F117" s="290" t="s">
        <v>156</v>
      </c>
      <c r="G117" s="290"/>
      <c r="H117" s="290"/>
      <c r="I117" s="290"/>
      <c r="J117" s="125" t="s">
        <v>157</v>
      </c>
      <c r="K117" s="125" t="s">
        <v>158</v>
      </c>
      <c r="L117" s="291" t="s">
        <v>159</v>
      </c>
      <c r="M117" s="291"/>
      <c r="N117" s="290" t="s">
        <v>144</v>
      </c>
      <c r="O117" s="290"/>
      <c r="P117" s="290"/>
      <c r="Q117" s="292"/>
      <c r="R117" s="126"/>
      <c r="T117" s="76" t="s">
        <v>160</v>
      </c>
      <c r="U117" s="77" t="s">
        <v>42</v>
      </c>
      <c r="V117" s="77" t="s">
        <v>161</v>
      </c>
      <c r="W117" s="77" t="s">
        <v>162</v>
      </c>
      <c r="X117" s="77" t="s">
        <v>163</v>
      </c>
      <c r="Y117" s="77" t="s">
        <v>164</v>
      </c>
      <c r="Z117" s="77" t="s">
        <v>165</v>
      </c>
      <c r="AA117" s="78" t="s">
        <v>166</v>
      </c>
    </row>
    <row r="118" spans="2:63" s="1" customFormat="1" ht="29.25" customHeight="1">
      <c r="B118" s="35"/>
      <c r="C118" s="80" t="s">
        <v>140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95">
        <f>BK118</f>
        <v>0</v>
      </c>
      <c r="O118" s="296"/>
      <c r="P118" s="296"/>
      <c r="Q118" s="296"/>
      <c r="R118" s="37"/>
      <c r="T118" s="79"/>
      <c r="U118" s="51"/>
      <c r="V118" s="51"/>
      <c r="W118" s="127">
        <f>W119</f>
        <v>28464.5450097</v>
      </c>
      <c r="X118" s="51"/>
      <c r="Y118" s="127">
        <f>Y119</f>
        <v>1864.658074209</v>
      </c>
      <c r="Z118" s="51"/>
      <c r="AA118" s="128">
        <f>AA119</f>
        <v>1475.9893590000001</v>
      </c>
      <c r="AT118" s="21" t="s">
        <v>77</v>
      </c>
      <c r="AU118" s="21" t="s">
        <v>146</v>
      </c>
      <c r="BK118" s="129">
        <f>BK119</f>
        <v>0</v>
      </c>
    </row>
    <row r="119" spans="2:63" s="9" customFormat="1" ht="37.35" customHeight="1">
      <c r="B119" s="130"/>
      <c r="C119" s="131"/>
      <c r="D119" s="132" t="s">
        <v>147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297">
        <f>BK119</f>
        <v>0</v>
      </c>
      <c r="O119" s="285"/>
      <c r="P119" s="285"/>
      <c r="Q119" s="285"/>
      <c r="R119" s="133"/>
      <c r="T119" s="134"/>
      <c r="U119" s="131"/>
      <c r="V119" s="131"/>
      <c r="W119" s="135">
        <f>W120+W288+W476+W485+W494+W509+W556+W585</f>
        <v>28464.5450097</v>
      </c>
      <c r="X119" s="131"/>
      <c r="Y119" s="135">
        <f>Y120+Y288+Y476+Y485+Y494+Y509+Y556+Y585</f>
        <v>1864.658074209</v>
      </c>
      <c r="Z119" s="131"/>
      <c r="AA119" s="136">
        <f>AA120+AA288+AA476+AA485+AA494+AA509+AA556+AA585</f>
        <v>1475.9893590000001</v>
      </c>
      <c r="AR119" s="137" t="s">
        <v>21</v>
      </c>
      <c r="AT119" s="138" t="s">
        <v>77</v>
      </c>
      <c r="AU119" s="138" t="s">
        <v>78</v>
      </c>
      <c r="AY119" s="137" t="s">
        <v>167</v>
      </c>
      <c r="BK119" s="139">
        <f>BK120+BK288+BK476+BK485+BK494+BK509+BK556+BK585</f>
        <v>0</v>
      </c>
    </row>
    <row r="120" spans="2:63" s="9" customFormat="1" ht="19.9" customHeight="1">
      <c r="B120" s="130"/>
      <c r="C120" s="131"/>
      <c r="D120" s="140" t="s">
        <v>1267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298">
        <f>BK120</f>
        <v>0</v>
      </c>
      <c r="O120" s="299"/>
      <c r="P120" s="299"/>
      <c r="Q120" s="299"/>
      <c r="R120" s="133"/>
      <c r="T120" s="134"/>
      <c r="U120" s="131"/>
      <c r="V120" s="131"/>
      <c r="W120" s="135">
        <f>SUM(W121:W287)</f>
        <v>3835.9292400000004</v>
      </c>
      <c r="X120" s="131"/>
      <c r="Y120" s="135">
        <f>SUM(Y121:Y287)</f>
        <v>0</v>
      </c>
      <c r="Z120" s="131"/>
      <c r="AA120" s="136">
        <f>SUM(AA121:AA287)</f>
        <v>0</v>
      </c>
      <c r="AR120" s="137" t="s">
        <v>21</v>
      </c>
      <c r="AT120" s="138" t="s">
        <v>77</v>
      </c>
      <c r="AU120" s="138" t="s">
        <v>21</v>
      </c>
      <c r="AY120" s="137" t="s">
        <v>167</v>
      </c>
      <c r="BK120" s="139">
        <f>SUM(BK121:BK287)</f>
        <v>0</v>
      </c>
    </row>
    <row r="121" spans="2:65" s="1" customFormat="1" ht="22.5" customHeight="1">
      <c r="B121" s="141"/>
      <c r="C121" s="201" t="s">
        <v>21</v>
      </c>
      <c r="D121" s="201" t="s">
        <v>168</v>
      </c>
      <c r="E121" s="202" t="s">
        <v>169</v>
      </c>
      <c r="F121" s="317" t="s">
        <v>1271</v>
      </c>
      <c r="G121" s="317"/>
      <c r="H121" s="317"/>
      <c r="I121" s="317"/>
      <c r="J121" s="203" t="s">
        <v>259</v>
      </c>
      <c r="K121" s="204">
        <f>+K145</f>
        <v>1698.9700000000003</v>
      </c>
      <c r="L121" s="318">
        <v>0</v>
      </c>
      <c r="M121" s="318"/>
      <c r="N121" s="318">
        <f>ROUND(L121*K121,2)</f>
        <v>0</v>
      </c>
      <c r="O121" s="318"/>
      <c r="P121" s="318"/>
      <c r="Q121" s="318"/>
      <c r="R121" s="205"/>
      <c r="T121" s="147" t="s">
        <v>5</v>
      </c>
      <c r="U121" s="44" t="s">
        <v>43</v>
      </c>
      <c r="V121" s="148">
        <v>0.44</v>
      </c>
      <c r="W121" s="148">
        <f>V121*K121</f>
        <v>747.5468000000001</v>
      </c>
      <c r="X121" s="148">
        <v>0</v>
      </c>
      <c r="Y121" s="148">
        <f>X121*K121</f>
        <v>0</v>
      </c>
      <c r="Z121" s="148">
        <v>0</v>
      </c>
      <c r="AA121" s="149">
        <f>Z121*K121</f>
        <v>0</v>
      </c>
      <c r="AR121" s="21" t="s">
        <v>172</v>
      </c>
      <c r="AT121" s="21" t="s">
        <v>168</v>
      </c>
      <c r="AU121" s="21" t="s">
        <v>135</v>
      </c>
      <c r="AY121" s="21" t="s">
        <v>167</v>
      </c>
      <c r="BE121" s="150">
        <f>IF(U121="základní",N121,0)</f>
        <v>0</v>
      </c>
      <c r="BF121" s="150">
        <f>IF(U121="snížená",N121,0)</f>
        <v>0</v>
      </c>
      <c r="BG121" s="150">
        <f>IF(U121="zákl. přenesená",N121,0)</f>
        <v>0</v>
      </c>
      <c r="BH121" s="150">
        <f>IF(U121="sníž. přenesená",N121,0)</f>
        <v>0</v>
      </c>
      <c r="BI121" s="150">
        <f>IF(U121="nulová",N121,0)</f>
        <v>0</v>
      </c>
      <c r="BJ121" s="21" t="s">
        <v>21</v>
      </c>
      <c r="BK121" s="150">
        <f>ROUND(L121*K121,2)</f>
        <v>0</v>
      </c>
      <c r="BL121" s="21" t="s">
        <v>172</v>
      </c>
      <c r="BM121" s="21" t="s">
        <v>1272</v>
      </c>
    </row>
    <row r="122" spans="2:51" s="10" customFormat="1" ht="22.5" customHeight="1">
      <c r="B122" s="151"/>
      <c r="C122" s="206"/>
      <c r="D122" s="206"/>
      <c r="E122" s="207" t="s">
        <v>5</v>
      </c>
      <c r="F122" s="319" t="s">
        <v>1684</v>
      </c>
      <c r="G122" s="320"/>
      <c r="H122" s="320"/>
      <c r="I122" s="320"/>
      <c r="J122" s="206"/>
      <c r="K122" s="208" t="s">
        <v>5</v>
      </c>
      <c r="L122" s="206"/>
      <c r="M122" s="206"/>
      <c r="N122" s="206"/>
      <c r="O122" s="206"/>
      <c r="P122" s="206"/>
      <c r="Q122" s="206"/>
      <c r="R122" s="209"/>
      <c r="T122" s="156"/>
      <c r="U122" s="152"/>
      <c r="V122" s="152"/>
      <c r="W122" s="152"/>
      <c r="X122" s="152"/>
      <c r="Y122" s="152"/>
      <c r="Z122" s="152"/>
      <c r="AA122" s="157"/>
      <c r="AT122" s="158" t="s">
        <v>179</v>
      </c>
      <c r="AU122" s="158" t="s">
        <v>135</v>
      </c>
      <c r="AV122" s="10" t="s">
        <v>21</v>
      </c>
      <c r="AW122" s="10" t="s">
        <v>35</v>
      </c>
      <c r="AX122" s="10" t="s">
        <v>78</v>
      </c>
      <c r="AY122" s="158" t="s">
        <v>167</v>
      </c>
    </row>
    <row r="123" spans="2:51" s="11" customFormat="1" ht="22.5" customHeight="1">
      <c r="B123" s="159"/>
      <c r="C123" s="210"/>
      <c r="D123" s="210"/>
      <c r="E123" s="211" t="s">
        <v>5</v>
      </c>
      <c r="F123" s="321" t="s">
        <v>1685</v>
      </c>
      <c r="G123" s="322"/>
      <c r="H123" s="322"/>
      <c r="I123" s="322"/>
      <c r="J123" s="210"/>
      <c r="K123" s="212">
        <v>6</v>
      </c>
      <c r="L123" s="210"/>
      <c r="M123" s="210"/>
      <c r="N123" s="210"/>
      <c r="O123" s="210"/>
      <c r="P123" s="210"/>
      <c r="Q123" s="210"/>
      <c r="R123" s="213"/>
      <c r="T123" s="164"/>
      <c r="U123" s="160"/>
      <c r="V123" s="160"/>
      <c r="W123" s="160"/>
      <c r="X123" s="160"/>
      <c r="Y123" s="160"/>
      <c r="Z123" s="160"/>
      <c r="AA123" s="165"/>
      <c r="AT123" s="166" t="s">
        <v>179</v>
      </c>
      <c r="AU123" s="166" t="s">
        <v>135</v>
      </c>
      <c r="AV123" s="11" t="s">
        <v>135</v>
      </c>
      <c r="AW123" s="11" t="s">
        <v>35</v>
      </c>
      <c r="AX123" s="11" t="s">
        <v>78</v>
      </c>
      <c r="AY123" s="166" t="s">
        <v>167</v>
      </c>
    </row>
    <row r="124" spans="2:51" s="11" customFormat="1" ht="22.5" customHeight="1">
      <c r="B124" s="159"/>
      <c r="C124" s="210"/>
      <c r="D124" s="210"/>
      <c r="E124" s="211" t="s">
        <v>5</v>
      </c>
      <c r="F124" s="321" t="s">
        <v>1686</v>
      </c>
      <c r="G124" s="322"/>
      <c r="H124" s="322"/>
      <c r="I124" s="322"/>
      <c r="J124" s="210"/>
      <c r="K124" s="212">
        <v>10</v>
      </c>
      <c r="L124" s="210"/>
      <c r="M124" s="210"/>
      <c r="N124" s="210"/>
      <c r="O124" s="210"/>
      <c r="P124" s="210"/>
      <c r="Q124" s="210"/>
      <c r="R124" s="21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78</v>
      </c>
      <c r="AY124" s="166" t="s">
        <v>167</v>
      </c>
    </row>
    <row r="125" spans="2:51" s="11" customFormat="1" ht="22.5" customHeight="1">
      <c r="B125" s="159"/>
      <c r="C125" s="210"/>
      <c r="D125" s="210"/>
      <c r="E125" s="211" t="s">
        <v>5</v>
      </c>
      <c r="F125" s="321" t="s">
        <v>1687</v>
      </c>
      <c r="G125" s="322"/>
      <c r="H125" s="322"/>
      <c r="I125" s="322"/>
      <c r="J125" s="210"/>
      <c r="K125" s="212">
        <v>15</v>
      </c>
      <c r="L125" s="210"/>
      <c r="M125" s="210"/>
      <c r="N125" s="210"/>
      <c r="O125" s="210"/>
      <c r="P125" s="210"/>
      <c r="Q125" s="210"/>
      <c r="R125" s="213"/>
      <c r="T125" s="164"/>
      <c r="U125" s="160"/>
      <c r="V125" s="160"/>
      <c r="W125" s="160"/>
      <c r="X125" s="160"/>
      <c r="Y125" s="160"/>
      <c r="Z125" s="160"/>
      <c r="AA125" s="165"/>
      <c r="AT125" s="166" t="s">
        <v>179</v>
      </c>
      <c r="AU125" s="166" t="s">
        <v>135</v>
      </c>
      <c r="AV125" s="11" t="s">
        <v>135</v>
      </c>
      <c r="AW125" s="11" t="s">
        <v>35</v>
      </c>
      <c r="AX125" s="11" t="s">
        <v>78</v>
      </c>
      <c r="AY125" s="166" t="s">
        <v>167</v>
      </c>
    </row>
    <row r="126" spans="2:51" s="13" customFormat="1" ht="22.5" customHeight="1">
      <c r="B126" s="186"/>
      <c r="C126" s="214"/>
      <c r="D126" s="214"/>
      <c r="E126" s="215" t="s">
        <v>5</v>
      </c>
      <c r="F126" s="323" t="s">
        <v>1278</v>
      </c>
      <c r="G126" s="324"/>
      <c r="H126" s="324"/>
      <c r="I126" s="324"/>
      <c r="J126" s="214"/>
      <c r="K126" s="216">
        <v>31</v>
      </c>
      <c r="L126" s="214"/>
      <c r="M126" s="214"/>
      <c r="N126" s="214"/>
      <c r="O126" s="214"/>
      <c r="P126" s="214"/>
      <c r="Q126" s="214"/>
      <c r="R126" s="217"/>
      <c r="T126" s="191"/>
      <c r="U126" s="187"/>
      <c r="V126" s="187"/>
      <c r="W126" s="187"/>
      <c r="X126" s="187"/>
      <c r="Y126" s="187"/>
      <c r="Z126" s="187"/>
      <c r="AA126" s="192"/>
      <c r="AT126" s="193" t="s">
        <v>179</v>
      </c>
      <c r="AU126" s="193" t="s">
        <v>135</v>
      </c>
      <c r="AV126" s="13" t="s">
        <v>184</v>
      </c>
      <c r="AW126" s="13" t="s">
        <v>35</v>
      </c>
      <c r="AX126" s="13" t="s">
        <v>78</v>
      </c>
      <c r="AY126" s="193" t="s">
        <v>167</v>
      </c>
    </row>
    <row r="127" spans="2:51" s="10" customFormat="1" ht="22.5" customHeight="1">
      <c r="B127" s="151"/>
      <c r="C127" s="206"/>
      <c r="D127" s="206"/>
      <c r="E127" s="207" t="s">
        <v>5</v>
      </c>
      <c r="F127" s="325" t="s">
        <v>1688</v>
      </c>
      <c r="G127" s="326"/>
      <c r="H127" s="326"/>
      <c r="I127" s="326"/>
      <c r="J127" s="206"/>
      <c r="K127" s="208" t="s">
        <v>5</v>
      </c>
      <c r="L127" s="206"/>
      <c r="M127" s="206"/>
      <c r="N127" s="206"/>
      <c r="O127" s="206"/>
      <c r="P127" s="206"/>
      <c r="Q127" s="206"/>
      <c r="R127" s="209"/>
      <c r="T127" s="156"/>
      <c r="U127" s="152"/>
      <c r="V127" s="152"/>
      <c r="W127" s="152"/>
      <c r="X127" s="152"/>
      <c r="Y127" s="152"/>
      <c r="Z127" s="152"/>
      <c r="AA127" s="157"/>
      <c r="AT127" s="158" t="s">
        <v>179</v>
      </c>
      <c r="AU127" s="158" t="s">
        <v>135</v>
      </c>
      <c r="AV127" s="10" t="s">
        <v>21</v>
      </c>
      <c r="AW127" s="10" t="s">
        <v>35</v>
      </c>
      <c r="AX127" s="10" t="s">
        <v>78</v>
      </c>
      <c r="AY127" s="158" t="s">
        <v>167</v>
      </c>
    </row>
    <row r="128" spans="2:51" s="11" customFormat="1" ht="22.5" customHeight="1">
      <c r="B128" s="159"/>
      <c r="C128" s="210"/>
      <c r="D128" s="210"/>
      <c r="E128" s="211" t="s">
        <v>5</v>
      </c>
      <c r="F128" s="321" t="s">
        <v>1689</v>
      </c>
      <c r="G128" s="322"/>
      <c r="H128" s="322"/>
      <c r="I128" s="322"/>
      <c r="J128" s="210"/>
      <c r="K128" s="212">
        <v>543.7</v>
      </c>
      <c r="L128" s="210"/>
      <c r="M128" s="210"/>
      <c r="N128" s="210"/>
      <c r="O128" s="210"/>
      <c r="P128" s="210"/>
      <c r="Q128" s="210"/>
      <c r="R128" s="213"/>
      <c r="T128" s="164"/>
      <c r="U128" s="160"/>
      <c r="V128" s="160"/>
      <c r="W128" s="160"/>
      <c r="X128" s="160"/>
      <c r="Y128" s="160"/>
      <c r="Z128" s="160"/>
      <c r="AA128" s="165"/>
      <c r="AT128" s="166" t="s">
        <v>179</v>
      </c>
      <c r="AU128" s="166" t="s">
        <v>135</v>
      </c>
      <c r="AV128" s="11" t="s">
        <v>135</v>
      </c>
      <c r="AW128" s="11" t="s">
        <v>35</v>
      </c>
      <c r="AX128" s="11" t="s">
        <v>78</v>
      </c>
      <c r="AY128" s="166" t="s">
        <v>167</v>
      </c>
    </row>
    <row r="129" spans="2:51" s="11" customFormat="1" ht="22.5" customHeight="1">
      <c r="B129" s="159"/>
      <c r="C129" s="210"/>
      <c r="D129" s="210"/>
      <c r="E129" s="211" t="s">
        <v>5</v>
      </c>
      <c r="F129" s="321" t="s">
        <v>1690</v>
      </c>
      <c r="G129" s="322"/>
      <c r="H129" s="322"/>
      <c r="I129" s="322"/>
      <c r="J129" s="210"/>
      <c r="K129" s="212">
        <v>82</v>
      </c>
      <c r="L129" s="210"/>
      <c r="M129" s="210"/>
      <c r="N129" s="210"/>
      <c r="O129" s="210"/>
      <c r="P129" s="210"/>
      <c r="Q129" s="210"/>
      <c r="R129" s="213"/>
      <c r="T129" s="164"/>
      <c r="U129" s="160"/>
      <c r="V129" s="160"/>
      <c r="W129" s="160"/>
      <c r="X129" s="160"/>
      <c r="Y129" s="160"/>
      <c r="Z129" s="160"/>
      <c r="AA129" s="165"/>
      <c r="AT129" s="166" t="s">
        <v>179</v>
      </c>
      <c r="AU129" s="166" t="s">
        <v>135</v>
      </c>
      <c r="AV129" s="11" t="s">
        <v>135</v>
      </c>
      <c r="AW129" s="11" t="s">
        <v>35</v>
      </c>
      <c r="AX129" s="11" t="s">
        <v>78</v>
      </c>
      <c r="AY129" s="166" t="s">
        <v>167</v>
      </c>
    </row>
    <row r="130" spans="2:51" s="11" customFormat="1" ht="22.5" customHeight="1">
      <c r="B130" s="159"/>
      <c r="C130" s="210"/>
      <c r="D130" s="210"/>
      <c r="E130" s="211" t="s">
        <v>5</v>
      </c>
      <c r="F130" s="321" t="s">
        <v>1691</v>
      </c>
      <c r="G130" s="322"/>
      <c r="H130" s="322"/>
      <c r="I130" s="322"/>
      <c r="J130" s="210"/>
      <c r="K130" s="212">
        <v>194</v>
      </c>
      <c r="L130" s="210"/>
      <c r="M130" s="210"/>
      <c r="N130" s="210"/>
      <c r="O130" s="210"/>
      <c r="P130" s="210"/>
      <c r="Q130" s="210"/>
      <c r="R130" s="213"/>
      <c r="T130" s="164"/>
      <c r="U130" s="160"/>
      <c r="V130" s="160"/>
      <c r="W130" s="160"/>
      <c r="X130" s="160"/>
      <c r="Y130" s="160"/>
      <c r="Z130" s="160"/>
      <c r="AA130" s="165"/>
      <c r="AT130" s="166" t="s">
        <v>179</v>
      </c>
      <c r="AU130" s="166" t="s">
        <v>135</v>
      </c>
      <c r="AV130" s="11" t="s">
        <v>135</v>
      </c>
      <c r="AW130" s="11" t="s">
        <v>35</v>
      </c>
      <c r="AX130" s="11" t="s">
        <v>78</v>
      </c>
      <c r="AY130" s="166" t="s">
        <v>167</v>
      </c>
    </row>
    <row r="131" spans="2:51" s="11" customFormat="1" ht="22.5" customHeight="1">
      <c r="B131" s="159"/>
      <c r="C131" s="210"/>
      <c r="D131" s="210"/>
      <c r="E131" s="211" t="s">
        <v>5</v>
      </c>
      <c r="F131" s="321" t="s">
        <v>1692</v>
      </c>
      <c r="G131" s="322"/>
      <c r="H131" s="322"/>
      <c r="I131" s="322"/>
      <c r="J131" s="210"/>
      <c r="K131" s="212">
        <v>250.66</v>
      </c>
      <c r="L131" s="210"/>
      <c r="M131" s="210"/>
      <c r="N131" s="210"/>
      <c r="O131" s="210"/>
      <c r="P131" s="210"/>
      <c r="Q131" s="210"/>
      <c r="R131" s="213"/>
      <c r="T131" s="164"/>
      <c r="U131" s="160"/>
      <c r="V131" s="160"/>
      <c r="W131" s="160"/>
      <c r="X131" s="160"/>
      <c r="Y131" s="160"/>
      <c r="Z131" s="160"/>
      <c r="AA131" s="165"/>
      <c r="AT131" s="166" t="s">
        <v>179</v>
      </c>
      <c r="AU131" s="166" t="s">
        <v>135</v>
      </c>
      <c r="AV131" s="11" t="s">
        <v>135</v>
      </c>
      <c r="AW131" s="11" t="s">
        <v>35</v>
      </c>
      <c r="AX131" s="11" t="s">
        <v>78</v>
      </c>
      <c r="AY131" s="166" t="s">
        <v>167</v>
      </c>
    </row>
    <row r="132" spans="2:51" s="11" customFormat="1" ht="22.5" customHeight="1">
      <c r="B132" s="199"/>
      <c r="C132" s="210"/>
      <c r="D132" s="210"/>
      <c r="E132" s="211" t="s">
        <v>5</v>
      </c>
      <c r="F132" s="321" t="s">
        <v>2170</v>
      </c>
      <c r="G132" s="322"/>
      <c r="H132" s="322"/>
      <c r="I132" s="322"/>
      <c r="J132" s="210"/>
      <c r="K132" s="212">
        <v>0</v>
      </c>
      <c r="L132" s="210"/>
      <c r="M132" s="210"/>
      <c r="N132" s="210"/>
      <c r="O132" s="210"/>
      <c r="P132" s="210"/>
      <c r="Q132" s="210"/>
      <c r="R132" s="213"/>
      <c r="T132" s="164"/>
      <c r="U132" s="160"/>
      <c r="V132" s="160"/>
      <c r="W132" s="160"/>
      <c r="X132" s="160"/>
      <c r="Y132" s="160"/>
      <c r="Z132" s="160"/>
      <c r="AA132" s="165"/>
      <c r="AT132" s="166" t="s">
        <v>179</v>
      </c>
      <c r="AU132" s="166" t="s">
        <v>135</v>
      </c>
      <c r="AV132" s="11" t="s">
        <v>135</v>
      </c>
      <c r="AW132" s="11" t="s">
        <v>35</v>
      </c>
      <c r="AX132" s="11" t="s">
        <v>78</v>
      </c>
      <c r="AY132" s="166" t="s">
        <v>167</v>
      </c>
    </row>
    <row r="133" spans="2:51" s="11" customFormat="1" ht="22.5" customHeight="1">
      <c r="B133" s="159"/>
      <c r="C133" s="210"/>
      <c r="D133" s="210"/>
      <c r="E133" s="211" t="s">
        <v>5</v>
      </c>
      <c r="F133" s="321" t="s">
        <v>1693</v>
      </c>
      <c r="G133" s="322"/>
      <c r="H133" s="322"/>
      <c r="I133" s="322"/>
      <c r="J133" s="210"/>
      <c r="K133" s="212">
        <v>255.91</v>
      </c>
      <c r="L133" s="210"/>
      <c r="M133" s="210"/>
      <c r="N133" s="210"/>
      <c r="O133" s="210"/>
      <c r="P133" s="210"/>
      <c r="Q133" s="210"/>
      <c r="R133" s="213"/>
      <c r="T133" s="164"/>
      <c r="U133" s="160"/>
      <c r="V133" s="160"/>
      <c r="W133" s="160"/>
      <c r="X133" s="160"/>
      <c r="Y133" s="160"/>
      <c r="Z133" s="160"/>
      <c r="AA133" s="165"/>
      <c r="AT133" s="166" t="s">
        <v>179</v>
      </c>
      <c r="AU133" s="166" t="s">
        <v>135</v>
      </c>
      <c r="AV133" s="11" t="s">
        <v>135</v>
      </c>
      <c r="AW133" s="11" t="s">
        <v>35</v>
      </c>
      <c r="AX133" s="11" t="s">
        <v>78</v>
      </c>
      <c r="AY133" s="166" t="s">
        <v>167</v>
      </c>
    </row>
    <row r="134" spans="2:51" s="13" customFormat="1" ht="22.5" customHeight="1">
      <c r="B134" s="186"/>
      <c r="C134" s="214"/>
      <c r="D134" s="214"/>
      <c r="E134" s="215" t="s">
        <v>1694</v>
      </c>
      <c r="F134" s="323" t="s">
        <v>1278</v>
      </c>
      <c r="G134" s="324"/>
      <c r="H134" s="324"/>
      <c r="I134" s="324"/>
      <c r="J134" s="214"/>
      <c r="K134" s="216">
        <f>SUM(K128:K133)</f>
        <v>1326.2700000000002</v>
      </c>
      <c r="L134" s="214"/>
      <c r="M134" s="214"/>
      <c r="N134" s="214"/>
      <c r="O134" s="214"/>
      <c r="P134" s="214"/>
      <c r="Q134" s="214"/>
      <c r="R134" s="217"/>
      <c r="T134" s="191"/>
      <c r="U134" s="187"/>
      <c r="V134" s="187"/>
      <c r="W134" s="187"/>
      <c r="X134" s="187"/>
      <c r="Y134" s="187"/>
      <c r="Z134" s="187"/>
      <c r="AA134" s="192"/>
      <c r="AT134" s="193" t="s">
        <v>179</v>
      </c>
      <c r="AU134" s="193" t="s">
        <v>135</v>
      </c>
      <c r="AV134" s="13" t="s">
        <v>184</v>
      </c>
      <c r="AW134" s="13" t="s">
        <v>35</v>
      </c>
      <c r="AX134" s="13" t="s">
        <v>78</v>
      </c>
      <c r="AY134" s="193" t="s">
        <v>167</v>
      </c>
    </row>
    <row r="135" spans="2:51" s="10" customFormat="1" ht="22.5" customHeight="1">
      <c r="B135" s="151"/>
      <c r="C135" s="206"/>
      <c r="D135" s="206"/>
      <c r="E135" s="207" t="s">
        <v>5</v>
      </c>
      <c r="F135" s="325" t="s">
        <v>1695</v>
      </c>
      <c r="G135" s="326"/>
      <c r="H135" s="326"/>
      <c r="I135" s="326"/>
      <c r="J135" s="206"/>
      <c r="K135" s="208" t="s">
        <v>5</v>
      </c>
      <c r="L135" s="206"/>
      <c r="M135" s="206"/>
      <c r="N135" s="206"/>
      <c r="O135" s="206"/>
      <c r="P135" s="206"/>
      <c r="Q135" s="206"/>
      <c r="R135" s="209"/>
      <c r="T135" s="156"/>
      <c r="U135" s="152"/>
      <c r="V135" s="152"/>
      <c r="W135" s="152"/>
      <c r="X135" s="152"/>
      <c r="Y135" s="152"/>
      <c r="Z135" s="152"/>
      <c r="AA135" s="157"/>
      <c r="AT135" s="158" t="s">
        <v>179</v>
      </c>
      <c r="AU135" s="158" t="s">
        <v>135</v>
      </c>
      <c r="AV135" s="10" t="s">
        <v>21</v>
      </c>
      <c r="AW135" s="10" t="s">
        <v>35</v>
      </c>
      <c r="AX135" s="10" t="s">
        <v>78</v>
      </c>
      <c r="AY135" s="158" t="s">
        <v>167</v>
      </c>
    </row>
    <row r="136" spans="2:51" s="11" customFormat="1" ht="22.5" customHeight="1">
      <c r="B136" s="159"/>
      <c r="C136" s="210"/>
      <c r="D136" s="210"/>
      <c r="E136" s="211" t="s">
        <v>5</v>
      </c>
      <c r="F136" s="321" t="s">
        <v>1696</v>
      </c>
      <c r="G136" s="322"/>
      <c r="H136" s="322"/>
      <c r="I136" s="322"/>
      <c r="J136" s="210"/>
      <c r="K136" s="212">
        <v>10</v>
      </c>
      <c r="L136" s="210"/>
      <c r="M136" s="210"/>
      <c r="N136" s="210"/>
      <c r="O136" s="210"/>
      <c r="P136" s="210"/>
      <c r="Q136" s="210"/>
      <c r="R136" s="213"/>
      <c r="T136" s="164"/>
      <c r="U136" s="160"/>
      <c r="V136" s="160"/>
      <c r="W136" s="160"/>
      <c r="X136" s="160"/>
      <c r="Y136" s="160"/>
      <c r="Z136" s="160"/>
      <c r="AA136" s="165"/>
      <c r="AT136" s="166" t="s">
        <v>179</v>
      </c>
      <c r="AU136" s="166" t="s">
        <v>135</v>
      </c>
      <c r="AV136" s="11" t="s">
        <v>135</v>
      </c>
      <c r="AW136" s="11" t="s">
        <v>35</v>
      </c>
      <c r="AX136" s="11" t="s">
        <v>78</v>
      </c>
      <c r="AY136" s="166" t="s">
        <v>167</v>
      </c>
    </row>
    <row r="137" spans="2:51" s="13" customFormat="1" ht="22.5" customHeight="1">
      <c r="B137" s="186"/>
      <c r="C137" s="214"/>
      <c r="D137" s="214"/>
      <c r="E137" s="215" t="s">
        <v>1697</v>
      </c>
      <c r="F137" s="323" t="s">
        <v>1278</v>
      </c>
      <c r="G137" s="324"/>
      <c r="H137" s="324"/>
      <c r="I137" s="324"/>
      <c r="J137" s="214"/>
      <c r="K137" s="216">
        <v>10</v>
      </c>
      <c r="L137" s="214"/>
      <c r="M137" s="214"/>
      <c r="N137" s="214"/>
      <c r="O137" s="214"/>
      <c r="P137" s="214"/>
      <c r="Q137" s="214"/>
      <c r="R137" s="217"/>
      <c r="T137" s="191"/>
      <c r="U137" s="187"/>
      <c r="V137" s="187"/>
      <c r="W137" s="187"/>
      <c r="X137" s="187"/>
      <c r="Y137" s="187"/>
      <c r="Z137" s="187"/>
      <c r="AA137" s="192"/>
      <c r="AT137" s="193" t="s">
        <v>179</v>
      </c>
      <c r="AU137" s="193" t="s">
        <v>135</v>
      </c>
      <c r="AV137" s="13" t="s">
        <v>184</v>
      </c>
      <c r="AW137" s="13" t="s">
        <v>35</v>
      </c>
      <c r="AX137" s="13" t="s">
        <v>78</v>
      </c>
      <c r="AY137" s="193" t="s">
        <v>167</v>
      </c>
    </row>
    <row r="138" spans="2:51" s="10" customFormat="1" ht="22.5" customHeight="1">
      <c r="B138" s="151"/>
      <c r="C138" s="206"/>
      <c r="D138" s="206"/>
      <c r="E138" s="207" t="s">
        <v>5</v>
      </c>
      <c r="F138" s="325" t="s">
        <v>1698</v>
      </c>
      <c r="G138" s="326"/>
      <c r="H138" s="326"/>
      <c r="I138" s="326"/>
      <c r="J138" s="206"/>
      <c r="K138" s="208" t="s">
        <v>5</v>
      </c>
      <c r="L138" s="206"/>
      <c r="M138" s="206"/>
      <c r="N138" s="206"/>
      <c r="O138" s="206"/>
      <c r="P138" s="206"/>
      <c r="Q138" s="206"/>
      <c r="R138" s="209"/>
      <c r="T138" s="156"/>
      <c r="U138" s="152"/>
      <c r="V138" s="152"/>
      <c r="W138" s="152"/>
      <c r="X138" s="152"/>
      <c r="Y138" s="152"/>
      <c r="Z138" s="152"/>
      <c r="AA138" s="157"/>
      <c r="AT138" s="158" t="s">
        <v>179</v>
      </c>
      <c r="AU138" s="158" t="s">
        <v>135</v>
      </c>
      <c r="AV138" s="10" t="s">
        <v>21</v>
      </c>
      <c r="AW138" s="10" t="s">
        <v>35</v>
      </c>
      <c r="AX138" s="10" t="s">
        <v>78</v>
      </c>
      <c r="AY138" s="158" t="s">
        <v>167</v>
      </c>
    </row>
    <row r="139" spans="2:51" s="11" customFormat="1" ht="22.5" customHeight="1">
      <c r="B139" s="159"/>
      <c r="C139" s="210"/>
      <c r="D139" s="210"/>
      <c r="E139" s="211" t="s">
        <v>5</v>
      </c>
      <c r="F139" s="321" t="s">
        <v>1699</v>
      </c>
      <c r="G139" s="322"/>
      <c r="H139" s="322"/>
      <c r="I139" s="322"/>
      <c r="J139" s="210"/>
      <c r="K139" s="212">
        <v>10</v>
      </c>
      <c r="L139" s="210"/>
      <c r="M139" s="210"/>
      <c r="N139" s="210"/>
      <c r="O139" s="210"/>
      <c r="P139" s="210"/>
      <c r="Q139" s="210"/>
      <c r="R139" s="213"/>
      <c r="T139" s="164"/>
      <c r="U139" s="160"/>
      <c r="V139" s="160"/>
      <c r="W139" s="160"/>
      <c r="X139" s="160"/>
      <c r="Y139" s="160"/>
      <c r="Z139" s="160"/>
      <c r="AA139" s="165"/>
      <c r="AT139" s="166" t="s">
        <v>179</v>
      </c>
      <c r="AU139" s="166" t="s">
        <v>135</v>
      </c>
      <c r="AV139" s="11" t="s">
        <v>135</v>
      </c>
      <c r="AW139" s="11" t="s">
        <v>35</v>
      </c>
      <c r="AX139" s="11" t="s">
        <v>78</v>
      </c>
      <c r="AY139" s="166" t="s">
        <v>167</v>
      </c>
    </row>
    <row r="140" spans="2:51" s="13" customFormat="1" ht="22.5" customHeight="1">
      <c r="B140" s="186"/>
      <c r="C140" s="214"/>
      <c r="D140" s="214"/>
      <c r="E140" s="215" t="s">
        <v>1682</v>
      </c>
      <c r="F140" s="323" t="s">
        <v>1278</v>
      </c>
      <c r="G140" s="324"/>
      <c r="H140" s="324"/>
      <c r="I140" s="324"/>
      <c r="J140" s="214"/>
      <c r="K140" s="216">
        <v>10</v>
      </c>
      <c r="L140" s="214"/>
      <c r="M140" s="214"/>
      <c r="N140" s="214"/>
      <c r="O140" s="214"/>
      <c r="P140" s="214"/>
      <c r="Q140" s="214"/>
      <c r="R140" s="217"/>
      <c r="T140" s="191"/>
      <c r="U140" s="187"/>
      <c r="V140" s="187"/>
      <c r="W140" s="187"/>
      <c r="X140" s="187"/>
      <c r="Y140" s="187"/>
      <c r="Z140" s="187"/>
      <c r="AA140" s="192"/>
      <c r="AT140" s="193" t="s">
        <v>179</v>
      </c>
      <c r="AU140" s="193" t="s">
        <v>135</v>
      </c>
      <c r="AV140" s="13" t="s">
        <v>184</v>
      </c>
      <c r="AW140" s="13" t="s">
        <v>35</v>
      </c>
      <c r="AX140" s="13" t="s">
        <v>78</v>
      </c>
      <c r="AY140" s="193" t="s">
        <v>167</v>
      </c>
    </row>
    <row r="141" spans="2:51" s="10" customFormat="1" ht="22.5" customHeight="1">
      <c r="B141" s="151"/>
      <c r="C141" s="206"/>
      <c r="D141" s="206"/>
      <c r="E141" s="207" t="s">
        <v>5</v>
      </c>
      <c r="F141" s="325" t="s">
        <v>1700</v>
      </c>
      <c r="G141" s="326"/>
      <c r="H141" s="326"/>
      <c r="I141" s="326"/>
      <c r="J141" s="206"/>
      <c r="K141" s="208" t="s">
        <v>5</v>
      </c>
      <c r="L141" s="206"/>
      <c r="M141" s="206"/>
      <c r="N141" s="206"/>
      <c r="O141" s="206"/>
      <c r="P141" s="206"/>
      <c r="Q141" s="206"/>
      <c r="R141" s="209"/>
      <c r="T141" s="156"/>
      <c r="U141" s="152"/>
      <c r="V141" s="152"/>
      <c r="W141" s="152"/>
      <c r="X141" s="152"/>
      <c r="Y141" s="152"/>
      <c r="Z141" s="152"/>
      <c r="AA141" s="157"/>
      <c r="AT141" s="158" t="s">
        <v>179</v>
      </c>
      <c r="AU141" s="158" t="s">
        <v>135</v>
      </c>
      <c r="AV141" s="10" t="s">
        <v>21</v>
      </c>
      <c r="AW141" s="10" t="s">
        <v>35</v>
      </c>
      <c r="AX141" s="10" t="s">
        <v>78</v>
      </c>
      <c r="AY141" s="158" t="s">
        <v>167</v>
      </c>
    </row>
    <row r="142" spans="2:51" s="11" customFormat="1" ht="22.5" customHeight="1">
      <c r="B142" s="159"/>
      <c r="C142" s="210"/>
      <c r="D142" s="210"/>
      <c r="E142" s="211" t="s">
        <v>5</v>
      </c>
      <c r="F142" s="321" t="s">
        <v>1701</v>
      </c>
      <c r="G142" s="322"/>
      <c r="H142" s="322"/>
      <c r="I142" s="322"/>
      <c r="J142" s="210"/>
      <c r="K142" s="212">
        <v>316.7</v>
      </c>
      <c r="L142" s="210"/>
      <c r="M142" s="210"/>
      <c r="N142" s="210"/>
      <c r="O142" s="210"/>
      <c r="P142" s="210"/>
      <c r="Q142" s="210"/>
      <c r="R142" s="213"/>
      <c r="T142" s="164"/>
      <c r="U142" s="160"/>
      <c r="V142" s="160"/>
      <c r="W142" s="160"/>
      <c r="X142" s="160"/>
      <c r="Y142" s="160"/>
      <c r="Z142" s="160"/>
      <c r="AA142" s="165"/>
      <c r="AT142" s="166" t="s">
        <v>179</v>
      </c>
      <c r="AU142" s="166" t="s">
        <v>135</v>
      </c>
      <c r="AV142" s="11" t="s">
        <v>135</v>
      </c>
      <c r="AW142" s="11" t="s">
        <v>35</v>
      </c>
      <c r="AX142" s="11" t="s">
        <v>78</v>
      </c>
      <c r="AY142" s="166" t="s">
        <v>167</v>
      </c>
    </row>
    <row r="143" spans="2:51" s="11" customFormat="1" ht="22.5" customHeight="1">
      <c r="B143" s="159"/>
      <c r="C143" s="210"/>
      <c r="D143" s="210"/>
      <c r="E143" s="211" t="s">
        <v>5</v>
      </c>
      <c r="F143" s="321" t="s">
        <v>1702</v>
      </c>
      <c r="G143" s="322"/>
      <c r="H143" s="322"/>
      <c r="I143" s="322"/>
      <c r="J143" s="210"/>
      <c r="K143" s="212">
        <v>5</v>
      </c>
      <c r="L143" s="210"/>
      <c r="M143" s="210"/>
      <c r="N143" s="210"/>
      <c r="O143" s="210"/>
      <c r="P143" s="210"/>
      <c r="Q143" s="210"/>
      <c r="R143" s="213"/>
      <c r="T143" s="164"/>
      <c r="U143" s="160"/>
      <c r="V143" s="160"/>
      <c r="W143" s="160"/>
      <c r="X143" s="160"/>
      <c r="Y143" s="160"/>
      <c r="Z143" s="160"/>
      <c r="AA143" s="165"/>
      <c r="AT143" s="166" t="s">
        <v>179</v>
      </c>
      <c r="AU143" s="166" t="s">
        <v>135</v>
      </c>
      <c r="AV143" s="11" t="s">
        <v>135</v>
      </c>
      <c r="AW143" s="11" t="s">
        <v>35</v>
      </c>
      <c r="AX143" s="11" t="s">
        <v>78</v>
      </c>
      <c r="AY143" s="166" t="s">
        <v>167</v>
      </c>
    </row>
    <row r="144" spans="2:51" s="13" customFormat="1" ht="22.5" customHeight="1">
      <c r="B144" s="186"/>
      <c r="C144" s="214"/>
      <c r="D144" s="214"/>
      <c r="E144" s="215" t="s">
        <v>1703</v>
      </c>
      <c r="F144" s="323" t="s">
        <v>1278</v>
      </c>
      <c r="G144" s="324"/>
      <c r="H144" s="324"/>
      <c r="I144" s="324"/>
      <c r="J144" s="214"/>
      <c r="K144" s="216">
        <v>321.7</v>
      </c>
      <c r="L144" s="214"/>
      <c r="M144" s="214"/>
      <c r="N144" s="214"/>
      <c r="O144" s="214"/>
      <c r="P144" s="214"/>
      <c r="Q144" s="214"/>
      <c r="R144" s="217"/>
      <c r="T144" s="191"/>
      <c r="U144" s="187"/>
      <c r="V144" s="187"/>
      <c r="W144" s="187"/>
      <c r="X144" s="187"/>
      <c r="Y144" s="187"/>
      <c r="Z144" s="187"/>
      <c r="AA144" s="192"/>
      <c r="AT144" s="193" t="s">
        <v>179</v>
      </c>
      <c r="AU144" s="193" t="s">
        <v>135</v>
      </c>
      <c r="AV144" s="13" t="s">
        <v>184</v>
      </c>
      <c r="AW144" s="13" t="s">
        <v>35</v>
      </c>
      <c r="AX144" s="13" t="s">
        <v>78</v>
      </c>
      <c r="AY144" s="193" t="s">
        <v>167</v>
      </c>
    </row>
    <row r="145" spans="2:51" s="12" customFormat="1" ht="22.5" customHeight="1">
      <c r="B145" s="167"/>
      <c r="C145" s="218"/>
      <c r="D145" s="218"/>
      <c r="E145" s="219" t="s">
        <v>5</v>
      </c>
      <c r="F145" s="327" t="s">
        <v>183</v>
      </c>
      <c r="G145" s="328"/>
      <c r="H145" s="328"/>
      <c r="I145" s="328"/>
      <c r="J145" s="218"/>
      <c r="K145" s="220">
        <f>+K144+K140+K137+K134+K126</f>
        <v>1698.9700000000003</v>
      </c>
      <c r="L145" s="218"/>
      <c r="M145" s="218"/>
      <c r="N145" s="218"/>
      <c r="O145" s="218"/>
      <c r="P145" s="218"/>
      <c r="Q145" s="218"/>
      <c r="R145" s="221"/>
      <c r="T145" s="172"/>
      <c r="U145" s="168"/>
      <c r="V145" s="168"/>
      <c r="W145" s="168"/>
      <c r="X145" s="168"/>
      <c r="Y145" s="168"/>
      <c r="Z145" s="168"/>
      <c r="AA145" s="173"/>
      <c r="AT145" s="174" t="s">
        <v>179</v>
      </c>
      <c r="AU145" s="174" t="s">
        <v>135</v>
      </c>
      <c r="AV145" s="12" t="s">
        <v>172</v>
      </c>
      <c r="AW145" s="12" t="s">
        <v>35</v>
      </c>
      <c r="AX145" s="12" t="s">
        <v>21</v>
      </c>
      <c r="AY145" s="174" t="s">
        <v>167</v>
      </c>
    </row>
    <row r="146" spans="2:65" s="1" customFormat="1" ht="22.5" customHeight="1">
      <c r="B146" s="141"/>
      <c r="C146" s="201" t="s">
        <v>135</v>
      </c>
      <c r="D146" s="201" t="s">
        <v>168</v>
      </c>
      <c r="E146" s="202" t="s">
        <v>1292</v>
      </c>
      <c r="F146" s="317" t="s">
        <v>1293</v>
      </c>
      <c r="G146" s="317"/>
      <c r="H146" s="317"/>
      <c r="I146" s="317"/>
      <c r="J146" s="203" t="s">
        <v>176</v>
      </c>
      <c r="K146" s="204">
        <f>+K209</f>
        <v>5124.577</v>
      </c>
      <c r="L146" s="318">
        <v>0</v>
      </c>
      <c r="M146" s="318"/>
      <c r="N146" s="318">
        <f>ROUND(L146*K146,2)</f>
        <v>0</v>
      </c>
      <c r="O146" s="318"/>
      <c r="P146" s="318"/>
      <c r="Q146" s="318"/>
      <c r="R146" s="205"/>
      <c r="T146" s="147" t="s">
        <v>5</v>
      </c>
      <c r="U146" s="44" t="s">
        <v>43</v>
      </c>
      <c r="V146" s="148">
        <v>0.44</v>
      </c>
      <c r="W146" s="148">
        <f>V146*K146</f>
        <v>2254.81388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172</v>
      </c>
      <c r="AT146" s="21" t="s">
        <v>168</v>
      </c>
      <c r="AU146" s="21" t="s">
        <v>135</v>
      </c>
      <c r="AY146" s="21" t="s">
        <v>167</v>
      </c>
      <c r="BE146" s="150">
        <f>IF(U146="základní",N146,0)</f>
        <v>0</v>
      </c>
      <c r="BF146" s="150">
        <f>IF(U146="snížená",N146,0)</f>
        <v>0</v>
      </c>
      <c r="BG146" s="150">
        <f>IF(U146="zákl. přenesená",N146,0)</f>
        <v>0</v>
      </c>
      <c r="BH146" s="150">
        <f>IF(U146="sníž. přenesená",N146,0)</f>
        <v>0</v>
      </c>
      <c r="BI146" s="150">
        <f>IF(U146="nulová",N146,0)</f>
        <v>0</v>
      </c>
      <c r="BJ146" s="21" t="s">
        <v>21</v>
      </c>
      <c r="BK146" s="150">
        <f>ROUND(L146*K146,2)</f>
        <v>0</v>
      </c>
      <c r="BL146" s="21" t="s">
        <v>172</v>
      </c>
      <c r="BM146" s="21" t="s">
        <v>1294</v>
      </c>
    </row>
    <row r="147" spans="2:51" s="10" customFormat="1" ht="22.5" customHeight="1">
      <c r="B147" s="151"/>
      <c r="C147" s="206"/>
      <c r="D147" s="206"/>
      <c r="E147" s="207" t="s">
        <v>5</v>
      </c>
      <c r="F147" s="319" t="s">
        <v>1704</v>
      </c>
      <c r="G147" s="320"/>
      <c r="H147" s="320"/>
      <c r="I147" s="320"/>
      <c r="J147" s="206"/>
      <c r="K147" s="208" t="s">
        <v>5</v>
      </c>
      <c r="L147" s="206"/>
      <c r="M147" s="206"/>
      <c r="N147" s="206"/>
      <c r="O147" s="206"/>
      <c r="P147" s="206"/>
      <c r="Q147" s="206"/>
      <c r="R147" s="209"/>
      <c r="T147" s="156"/>
      <c r="U147" s="152"/>
      <c r="V147" s="152"/>
      <c r="W147" s="152"/>
      <c r="X147" s="152"/>
      <c r="Y147" s="152"/>
      <c r="Z147" s="152"/>
      <c r="AA147" s="157"/>
      <c r="AT147" s="158" t="s">
        <v>179</v>
      </c>
      <c r="AU147" s="158" t="s">
        <v>135</v>
      </c>
      <c r="AV147" s="10" t="s">
        <v>21</v>
      </c>
      <c r="AW147" s="10" t="s">
        <v>35</v>
      </c>
      <c r="AX147" s="10" t="s">
        <v>78</v>
      </c>
      <c r="AY147" s="158" t="s">
        <v>167</v>
      </c>
    </row>
    <row r="148" spans="2:51" s="11" customFormat="1" ht="22.5" customHeight="1">
      <c r="B148" s="159"/>
      <c r="C148" s="210"/>
      <c r="D148" s="210"/>
      <c r="E148" s="211" t="s">
        <v>5</v>
      </c>
      <c r="F148" s="321" t="s">
        <v>1705</v>
      </c>
      <c r="G148" s="322"/>
      <c r="H148" s="322"/>
      <c r="I148" s="322"/>
      <c r="J148" s="210"/>
      <c r="K148" s="212">
        <v>79.24</v>
      </c>
      <c r="L148" s="210"/>
      <c r="M148" s="210"/>
      <c r="N148" s="210"/>
      <c r="O148" s="210"/>
      <c r="P148" s="210"/>
      <c r="Q148" s="210"/>
      <c r="R148" s="213"/>
      <c r="T148" s="164"/>
      <c r="U148" s="160"/>
      <c r="V148" s="160"/>
      <c r="W148" s="160"/>
      <c r="X148" s="160"/>
      <c r="Y148" s="160"/>
      <c r="Z148" s="160"/>
      <c r="AA148" s="165"/>
      <c r="AT148" s="166" t="s">
        <v>179</v>
      </c>
      <c r="AU148" s="166" t="s">
        <v>135</v>
      </c>
      <c r="AV148" s="11" t="s">
        <v>135</v>
      </c>
      <c r="AW148" s="11" t="s">
        <v>35</v>
      </c>
      <c r="AX148" s="11" t="s">
        <v>78</v>
      </c>
      <c r="AY148" s="166" t="s">
        <v>167</v>
      </c>
    </row>
    <row r="149" spans="2:51" s="11" customFormat="1" ht="22.5" customHeight="1">
      <c r="B149" s="159"/>
      <c r="C149" s="210"/>
      <c r="D149" s="210"/>
      <c r="E149" s="211" t="s">
        <v>5</v>
      </c>
      <c r="F149" s="321" t="s">
        <v>1706</v>
      </c>
      <c r="G149" s="322"/>
      <c r="H149" s="322"/>
      <c r="I149" s="322"/>
      <c r="J149" s="210"/>
      <c r="K149" s="212">
        <v>73.398</v>
      </c>
      <c r="L149" s="210"/>
      <c r="M149" s="210"/>
      <c r="N149" s="210"/>
      <c r="O149" s="210"/>
      <c r="P149" s="210"/>
      <c r="Q149" s="210"/>
      <c r="R149" s="213"/>
      <c r="T149" s="164"/>
      <c r="U149" s="160"/>
      <c r="V149" s="160"/>
      <c r="W149" s="160"/>
      <c r="X149" s="160"/>
      <c r="Y149" s="160"/>
      <c r="Z149" s="160"/>
      <c r="AA149" s="165"/>
      <c r="AT149" s="166" t="s">
        <v>179</v>
      </c>
      <c r="AU149" s="166" t="s">
        <v>135</v>
      </c>
      <c r="AV149" s="11" t="s">
        <v>135</v>
      </c>
      <c r="AW149" s="11" t="s">
        <v>35</v>
      </c>
      <c r="AX149" s="11" t="s">
        <v>78</v>
      </c>
      <c r="AY149" s="166" t="s">
        <v>167</v>
      </c>
    </row>
    <row r="150" spans="2:51" s="11" customFormat="1" ht="22.5" customHeight="1">
      <c r="B150" s="159"/>
      <c r="C150" s="210"/>
      <c r="D150" s="210"/>
      <c r="E150" s="211" t="s">
        <v>5</v>
      </c>
      <c r="F150" s="321" t="s">
        <v>1707</v>
      </c>
      <c r="G150" s="322"/>
      <c r="H150" s="322"/>
      <c r="I150" s="322"/>
      <c r="J150" s="210"/>
      <c r="K150" s="212">
        <v>54.483</v>
      </c>
      <c r="L150" s="210"/>
      <c r="M150" s="210"/>
      <c r="N150" s="210"/>
      <c r="O150" s="210"/>
      <c r="P150" s="210"/>
      <c r="Q150" s="210"/>
      <c r="R150" s="213"/>
      <c r="T150" s="164"/>
      <c r="U150" s="160"/>
      <c r="V150" s="160"/>
      <c r="W150" s="160"/>
      <c r="X150" s="160"/>
      <c r="Y150" s="160"/>
      <c r="Z150" s="160"/>
      <c r="AA150" s="165"/>
      <c r="AT150" s="166" t="s">
        <v>179</v>
      </c>
      <c r="AU150" s="166" t="s">
        <v>135</v>
      </c>
      <c r="AV150" s="11" t="s">
        <v>135</v>
      </c>
      <c r="AW150" s="11" t="s">
        <v>35</v>
      </c>
      <c r="AX150" s="11" t="s">
        <v>78</v>
      </c>
      <c r="AY150" s="166" t="s">
        <v>167</v>
      </c>
    </row>
    <row r="151" spans="2:51" s="11" customFormat="1" ht="22.5" customHeight="1">
      <c r="B151" s="159"/>
      <c r="C151" s="210"/>
      <c r="D151" s="210"/>
      <c r="E151" s="211" t="s">
        <v>5</v>
      </c>
      <c r="F151" s="321" t="s">
        <v>1708</v>
      </c>
      <c r="G151" s="322"/>
      <c r="H151" s="322"/>
      <c r="I151" s="322"/>
      <c r="J151" s="210"/>
      <c r="K151" s="212">
        <v>48.844</v>
      </c>
      <c r="L151" s="210"/>
      <c r="M151" s="210"/>
      <c r="N151" s="210"/>
      <c r="O151" s="210"/>
      <c r="P151" s="210"/>
      <c r="Q151" s="210"/>
      <c r="R151" s="213"/>
      <c r="T151" s="164"/>
      <c r="U151" s="160"/>
      <c r="V151" s="160"/>
      <c r="W151" s="160"/>
      <c r="X151" s="160"/>
      <c r="Y151" s="160"/>
      <c r="Z151" s="160"/>
      <c r="AA151" s="165"/>
      <c r="AT151" s="166" t="s">
        <v>179</v>
      </c>
      <c r="AU151" s="166" t="s">
        <v>135</v>
      </c>
      <c r="AV151" s="11" t="s">
        <v>135</v>
      </c>
      <c r="AW151" s="11" t="s">
        <v>35</v>
      </c>
      <c r="AX151" s="11" t="s">
        <v>78</v>
      </c>
      <c r="AY151" s="166" t="s">
        <v>167</v>
      </c>
    </row>
    <row r="152" spans="2:51" s="11" customFormat="1" ht="22.5" customHeight="1">
      <c r="B152" s="159"/>
      <c r="C152" s="210"/>
      <c r="D152" s="210"/>
      <c r="E152" s="211" t="s">
        <v>5</v>
      </c>
      <c r="F152" s="321" t="s">
        <v>1709</v>
      </c>
      <c r="G152" s="322"/>
      <c r="H152" s="322"/>
      <c r="I152" s="322"/>
      <c r="J152" s="210"/>
      <c r="K152" s="212">
        <v>37.419</v>
      </c>
      <c r="L152" s="210"/>
      <c r="M152" s="210"/>
      <c r="N152" s="210"/>
      <c r="O152" s="210"/>
      <c r="P152" s="210"/>
      <c r="Q152" s="210"/>
      <c r="R152" s="213"/>
      <c r="T152" s="164"/>
      <c r="U152" s="160"/>
      <c r="V152" s="160"/>
      <c r="W152" s="160"/>
      <c r="X152" s="160"/>
      <c r="Y152" s="160"/>
      <c r="Z152" s="160"/>
      <c r="AA152" s="165"/>
      <c r="AT152" s="166" t="s">
        <v>179</v>
      </c>
      <c r="AU152" s="166" t="s">
        <v>135</v>
      </c>
      <c r="AV152" s="11" t="s">
        <v>135</v>
      </c>
      <c r="AW152" s="11" t="s">
        <v>35</v>
      </c>
      <c r="AX152" s="11" t="s">
        <v>78</v>
      </c>
      <c r="AY152" s="166" t="s">
        <v>167</v>
      </c>
    </row>
    <row r="153" spans="2:51" s="11" customFormat="1" ht="22.5" customHeight="1">
      <c r="B153" s="159"/>
      <c r="C153" s="210"/>
      <c r="D153" s="210"/>
      <c r="E153" s="211" t="s">
        <v>5</v>
      </c>
      <c r="F153" s="321" t="s">
        <v>1710</v>
      </c>
      <c r="G153" s="322"/>
      <c r="H153" s="322"/>
      <c r="I153" s="322"/>
      <c r="J153" s="210"/>
      <c r="K153" s="212">
        <v>80.548</v>
      </c>
      <c r="L153" s="210"/>
      <c r="M153" s="210"/>
      <c r="N153" s="210"/>
      <c r="O153" s="210"/>
      <c r="P153" s="210"/>
      <c r="Q153" s="210"/>
      <c r="R153" s="213"/>
      <c r="T153" s="164"/>
      <c r="U153" s="160"/>
      <c r="V153" s="160"/>
      <c r="W153" s="160"/>
      <c r="X153" s="160"/>
      <c r="Y153" s="160"/>
      <c r="Z153" s="160"/>
      <c r="AA153" s="165"/>
      <c r="AT153" s="166" t="s">
        <v>179</v>
      </c>
      <c r="AU153" s="166" t="s">
        <v>135</v>
      </c>
      <c r="AV153" s="11" t="s">
        <v>135</v>
      </c>
      <c r="AW153" s="11" t="s">
        <v>35</v>
      </c>
      <c r="AX153" s="11" t="s">
        <v>78</v>
      </c>
      <c r="AY153" s="166" t="s">
        <v>167</v>
      </c>
    </row>
    <row r="154" spans="2:51" s="11" customFormat="1" ht="22.5" customHeight="1">
      <c r="B154" s="159"/>
      <c r="C154" s="210"/>
      <c r="D154" s="210"/>
      <c r="E154" s="211" t="s">
        <v>5</v>
      </c>
      <c r="F154" s="321" t="s">
        <v>1711</v>
      </c>
      <c r="G154" s="322"/>
      <c r="H154" s="322"/>
      <c r="I154" s="322"/>
      <c r="J154" s="210"/>
      <c r="K154" s="212">
        <v>15.55</v>
      </c>
      <c r="L154" s="210"/>
      <c r="M154" s="210"/>
      <c r="N154" s="210"/>
      <c r="O154" s="210"/>
      <c r="P154" s="210"/>
      <c r="Q154" s="210"/>
      <c r="R154" s="213"/>
      <c r="T154" s="164"/>
      <c r="U154" s="160"/>
      <c r="V154" s="160"/>
      <c r="W154" s="160"/>
      <c r="X154" s="160"/>
      <c r="Y154" s="160"/>
      <c r="Z154" s="160"/>
      <c r="AA154" s="165"/>
      <c r="AT154" s="166" t="s">
        <v>179</v>
      </c>
      <c r="AU154" s="166" t="s">
        <v>135</v>
      </c>
      <c r="AV154" s="11" t="s">
        <v>135</v>
      </c>
      <c r="AW154" s="11" t="s">
        <v>35</v>
      </c>
      <c r="AX154" s="11" t="s">
        <v>78</v>
      </c>
      <c r="AY154" s="166" t="s">
        <v>167</v>
      </c>
    </row>
    <row r="155" spans="2:51" s="11" customFormat="1" ht="22.5" customHeight="1">
      <c r="B155" s="159"/>
      <c r="C155" s="210"/>
      <c r="D155" s="210"/>
      <c r="E155" s="211" t="s">
        <v>5</v>
      </c>
      <c r="F155" s="321" t="s">
        <v>1317</v>
      </c>
      <c r="G155" s="322"/>
      <c r="H155" s="322"/>
      <c r="I155" s="322"/>
      <c r="J155" s="210"/>
      <c r="K155" s="212">
        <v>185.185</v>
      </c>
      <c r="L155" s="210"/>
      <c r="M155" s="210"/>
      <c r="N155" s="210"/>
      <c r="O155" s="210"/>
      <c r="P155" s="210"/>
      <c r="Q155" s="210"/>
      <c r="R155" s="213"/>
      <c r="T155" s="164"/>
      <c r="U155" s="160"/>
      <c r="V155" s="160"/>
      <c r="W155" s="160"/>
      <c r="X155" s="160"/>
      <c r="Y155" s="160"/>
      <c r="Z155" s="160"/>
      <c r="AA155" s="165"/>
      <c r="AT155" s="166" t="s">
        <v>179</v>
      </c>
      <c r="AU155" s="166" t="s">
        <v>135</v>
      </c>
      <c r="AV155" s="11" t="s">
        <v>135</v>
      </c>
      <c r="AW155" s="11" t="s">
        <v>35</v>
      </c>
      <c r="AX155" s="11" t="s">
        <v>78</v>
      </c>
      <c r="AY155" s="166" t="s">
        <v>167</v>
      </c>
    </row>
    <row r="156" spans="2:51" s="11" customFormat="1" ht="22.5" customHeight="1">
      <c r="B156" s="159"/>
      <c r="C156" s="210"/>
      <c r="D156" s="210"/>
      <c r="E156" s="211" t="s">
        <v>5</v>
      </c>
      <c r="F156" s="321" t="s">
        <v>1712</v>
      </c>
      <c r="G156" s="322"/>
      <c r="H156" s="322"/>
      <c r="I156" s="322"/>
      <c r="J156" s="210"/>
      <c r="K156" s="212">
        <v>35.475</v>
      </c>
      <c r="L156" s="210"/>
      <c r="M156" s="210"/>
      <c r="N156" s="210"/>
      <c r="O156" s="210"/>
      <c r="P156" s="210"/>
      <c r="Q156" s="210"/>
      <c r="R156" s="213"/>
      <c r="T156" s="164"/>
      <c r="U156" s="160"/>
      <c r="V156" s="160"/>
      <c r="W156" s="160"/>
      <c r="X156" s="160"/>
      <c r="Y156" s="160"/>
      <c r="Z156" s="160"/>
      <c r="AA156" s="165"/>
      <c r="AT156" s="166" t="s">
        <v>179</v>
      </c>
      <c r="AU156" s="166" t="s">
        <v>135</v>
      </c>
      <c r="AV156" s="11" t="s">
        <v>135</v>
      </c>
      <c r="AW156" s="11" t="s">
        <v>35</v>
      </c>
      <c r="AX156" s="11" t="s">
        <v>78</v>
      </c>
      <c r="AY156" s="166" t="s">
        <v>167</v>
      </c>
    </row>
    <row r="157" spans="2:51" s="11" customFormat="1" ht="22.5" customHeight="1">
      <c r="B157" s="159"/>
      <c r="C157" s="210"/>
      <c r="D157" s="210"/>
      <c r="E157" s="211" t="s">
        <v>5</v>
      </c>
      <c r="F157" s="321" t="s">
        <v>1713</v>
      </c>
      <c r="G157" s="322"/>
      <c r="H157" s="322"/>
      <c r="I157" s="322"/>
      <c r="J157" s="210"/>
      <c r="K157" s="212">
        <v>155.628</v>
      </c>
      <c r="L157" s="210"/>
      <c r="M157" s="210"/>
      <c r="N157" s="210"/>
      <c r="O157" s="210"/>
      <c r="P157" s="210"/>
      <c r="Q157" s="210"/>
      <c r="R157" s="213"/>
      <c r="T157" s="164"/>
      <c r="U157" s="160"/>
      <c r="V157" s="160"/>
      <c r="W157" s="160"/>
      <c r="X157" s="160"/>
      <c r="Y157" s="160"/>
      <c r="Z157" s="160"/>
      <c r="AA157" s="165"/>
      <c r="AT157" s="166" t="s">
        <v>179</v>
      </c>
      <c r="AU157" s="166" t="s">
        <v>135</v>
      </c>
      <c r="AV157" s="11" t="s">
        <v>135</v>
      </c>
      <c r="AW157" s="11" t="s">
        <v>35</v>
      </c>
      <c r="AX157" s="11" t="s">
        <v>78</v>
      </c>
      <c r="AY157" s="166" t="s">
        <v>167</v>
      </c>
    </row>
    <row r="158" spans="2:51" s="11" customFormat="1" ht="22.5" customHeight="1">
      <c r="B158" s="159"/>
      <c r="C158" s="210"/>
      <c r="D158" s="210"/>
      <c r="E158" s="211" t="s">
        <v>5</v>
      </c>
      <c r="F158" s="321" t="s">
        <v>1714</v>
      </c>
      <c r="G158" s="322"/>
      <c r="H158" s="322"/>
      <c r="I158" s="322"/>
      <c r="J158" s="210"/>
      <c r="K158" s="212">
        <v>123.701</v>
      </c>
      <c r="L158" s="210"/>
      <c r="M158" s="210"/>
      <c r="N158" s="210"/>
      <c r="O158" s="210"/>
      <c r="P158" s="210"/>
      <c r="Q158" s="210"/>
      <c r="R158" s="213"/>
      <c r="T158" s="164"/>
      <c r="U158" s="160"/>
      <c r="V158" s="160"/>
      <c r="W158" s="160"/>
      <c r="X158" s="160"/>
      <c r="Y158" s="160"/>
      <c r="Z158" s="160"/>
      <c r="AA158" s="165"/>
      <c r="AT158" s="166" t="s">
        <v>179</v>
      </c>
      <c r="AU158" s="166" t="s">
        <v>135</v>
      </c>
      <c r="AV158" s="11" t="s">
        <v>135</v>
      </c>
      <c r="AW158" s="11" t="s">
        <v>35</v>
      </c>
      <c r="AX158" s="11" t="s">
        <v>78</v>
      </c>
      <c r="AY158" s="166" t="s">
        <v>167</v>
      </c>
    </row>
    <row r="159" spans="2:51" s="11" customFormat="1" ht="22.5" customHeight="1">
      <c r="B159" s="159"/>
      <c r="C159" s="210"/>
      <c r="D159" s="210"/>
      <c r="E159" s="211" t="s">
        <v>5</v>
      </c>
      <c r="F159" s="321" t="s">
        <v>1715</v>
      </c>
      <c r="G159" s="322"/>
      <c r="H159" s="322"/>
      <c r="I159" s="322"/>
      <c r="J159" s="210"/>
      <c r="K159" s="212">
        <v>69.082</v>
      </c>
      <c r="L159" s="210"/>
      <c r="M159" s="210"/>
      <c r="N159" s="210"/>
      <c r="O159" s="210"/>
      <c r="P159" s="210"/>
      <c r="Q159" s="210"/>
      <c r="R159" s="213"/>
      <c r="T159" s="164"/>
      <c r="U159" s="160"/>
      <c r="V159" s="160"/>
      <c r="W159" s="160"/>
      <c r="X159" s="160"/>
      <c r="Y159" s="160"/>
      <c r="Z159" s="160"/>
      <c r="AA159" s="165"/>
      <c r="AT159" s="166" t="s">
        <v>179</v>
      </c>
      <c r="AU159" s="166" t="s">
        <v>135</v>
      </c>
      <c r="AV159" s="11" t="s">
        <v>135</v>
      </c>
      <c r="AW159" s="11" t="s">
        <v>35</v>
      </c>
      <c r="AX159" s="11" t="s">
        <v>78</v>
      </c>
      <c r="AY159" s="166" t="s">
        <v>167</v>
      </c>
    </row>
    <row r="160" spans="2:51" s="11" customFormat="1" ht="22.5" customHeight="1">
      <c r="B160" s="159"/>
      <c r="C160" s="210"/>
      <c r="D160" s="210"/>
      <c r="E160" s="211" t="s">
        <v>5</v>
      </c>
      <c r="F160" s="321" t="s">
        <v>1716</v>
      </c>
      <c r="G160" s="322"/>
      <c r="H160" s="322"/>
      <c r="I160" s="322"/>
      <c r="J160" s="210"/>
      <c r="K160" s="212">
        <v>32.032</v>
      </c>
      <c r="L160" s="210"/>
      <c r="M160" s="210"/>
      <c r="N160" s="210"/>
      <c r="O160" s="210"/>
      <c r="P160" s="210"/>
      <c r="Q160" s="210"/>
      <c r="R160" s="213"/>
      <c r="T160" s="164"/>
      <c r="U160" s="160"/>
      <c r="V160" s="160"/>
      <c r="W160" s="160"/>
      <c r="X160" s="160"/>
      <c r="Y160" s="160"/>
      <c r="Z160" s="160"/>
      <c r="AA160" s="165"/>
      <c r="AT160" s="166" t="s">
        <v>179</v>
      </c>
      <c r="AU160" s="166" t="s">
        <v>135</v>
      </c>
      <c r="AV160" s="11" t="s">
        <v>135</v>
      </c>
      <c r="AW160" s="11" t="s">
        <v>35</v>
      </c>
      <c r="AX160" s="11" t="s">
        <v>78</v>
      </c>
      <c r="AY160" s="166" t="s">
        <v>167</v>
      </c>
    </row>
    <row r="161" spans="2:51" s="11" customFormat="1" ht="22.5" customHeight="1">
      <c r="B161" s="159"/>
      <c r="C161" s="210"/>
      <c r="D161" s="210"/>
      <c r="E161" s="211" t="s">
        <v>5</v>
      </c>
      <c r="F161" s="321" t="s">
        <v>1717</v>
      </c>
      <c r="G161" s="322"/>
      <c r="H161" s="322"/>
      <c r="I161" s="322"/>
      <c r="J161" s="210"/>
      <c r="K161" s="212">
        <v>113.52</v>
      </c>
      <c r="L161" s="210"/>
      <c r="M161" s="210"/>
      <c r="N161" s="210"/>
      <c r="O161" s="210"/>
      <c r="P161" s="210"/>
      <c r="Q161" s="210"/>
      <c r="R161" s="213"/>
      <c r="T161" s="164"/>
      <c r="U161" s="160"/>
      <c r="V161" s="160"/>
      <c r="W161" s="160"/>
      <c r="X161" s="160"/>
      <c r="Y161" s="160"/>
      <c r="Z161" s="160"/>
      <c r="AA161" s="165"/>
      <c r="AT161" s="166" t="s">
        <v>179</v>
      </c>
      <c r="AU161" s="166" t="s">
        <v>135</v>
      </c>
      <c r="AV161" s="11" t="s">
        <v>135</v>
      </c>
      <c r="AW161" s="11" t="s">
        <v>35</v>
      </c>
      <c r="AX161" s="11" t="s">
        <v>78</v>
      </c>
      <c r="AY161" s="166" t="s">
        <v>167</v>
      </c>
    </row>
    <row r="162" spans="2:51" s="11" customFormat="1" ht="22.5" customHeight="1">
      <c r="B162" s="159"/>
      <c r="C162" s="210"/>
      <c r="D162" s="210"/>
      <c r="E162" s="211" t="s">
        <v>5</v>
      </c>
      <c r="F162" s="321" t="s">
        <v>1718</v>
      </c>
      <c r="G162" s="322"/>
      <c r="H162" s="322"/>
      <c r="I162" s="322"/>
      <c r="J162" s="210"/>
      <c r="K162" s="212">
        <v>187</v>
      </c>
      <c r="L162" s="210"/>
      <c r="M162" s="210"/>
      <c r="N162" s="210"/>
      <c r="O162" s="210"/>
      <c r="P162" s="210"/>
      <c r="Q162" s="210"/>
      <c r="R162" s="213"/>
      <c r="T162" s="164"/>
      <c r="U162" s="160"/>
      <c r="V162" s="160"/>
      <c r="W162" s="160"/>
      <c r="X162" s="160"/>
      <c r="Y162" s="160"/>
      <c r="Z162" s="160"/>
      <c r="AA162" s="165"/>
      <c r="AT162" s="166" t="s">
        <v>179</v>
      </c>
      <c r="AU162" s="166" t="s">
        <v>135</v>
      </c>
      <c r="AV162" s="11" t="s">
        <v>135</v>
      </c>
      <c r="AW162" s="11" t="s">
        <v>35</v>
      </c>
      <c r="AX162" s="11" t="s">
        <v>78</v>
      </c>
      <c r="AY162" s="166" t="s">
        <v>167</v>
      </c>
    </row>
    <row r="163" spans="2:51" s="11" customFormat="1" ht="22.5" customHeight="1">
      <c r="B163" s="159"/>
      <c r="C163" s="210"/>
      <c r="D163" s="210"/>
      <c r="E163" s="211" t="s">
        <v>5</v>
      </c>
      <c r="F163" s="321" t="s">
        <v>1719</v>
      </c>
      <c r="G163" s="322"/>
      <c r="H163" s="322"/>
      <c r="I163" s="322"/>
      <c r="J163" s="210"/>
      <c r="K163" s="212">
        <v>186.12</v>
      </c>
      <c r="L163" s="210"/>
      <c r="M163" s="210"/>
      <c r="N163" s="210"/>
      <c r="O163" s="210"/>
      <c r="P163" s="210"/>
      <c r="Q163" s="210"/>
      <c r="R163" s="213"/>
      <c r="T163" s="164"/>
      <c r="U163" s="160"/>
      <c r="V163" s="160"/>
      <c r="W163" s="160"/>
      <c r="X163" s="160"/>
      <c r="Y163" s="160"/>
      <c r="Z163" s="160"/>
      <c r="AA163" s="165"/>
      <c r="AT163" s="166" t="s">
        <v>179</v>
      </c>
      <c r="AU163" s="166" t="s">
        <v>135</v>
      </c>
      <c r="AV163" s="11" t="s">
        <v>135</v>
      </c>
      <c r="AW163" s="11" t="s">
        <v>35</v>
      </c>
      <c r="AX163" s="11" t="s">
        <v>78</v>
      </c>
      <c r="AY163" s="166" t="s">
        <v>167</v>
      </c>
    </row>
    <row r="164" spans="2:51" s="11" customFormat="1" ht="22.5" customHeight="1">
      <c r="B164" s="159"/>
      <c r="C164" s="210"/>
      <c r="D164" s="210"/>
      <c r="E164" s="211" t="s">
        <v>5</v>
      </c>
      <c r="F164" s="321" t="s">
        <v>1720</v>
      </c>
      <c r="G164" s="322"/>
      <c r="H164" s="322"/>
      <c r="I164" s="322"/>
      <c r="J164" s="210"/>
      <c r="K164" s="212">
        <v>198</v>
      </c>
      <c r="L164" s="210"/>
      <c r="M164" s="210"/>
      <c r="N164" s="210"/>
      <c r="O164" s="210"/>
      <c r="P164" s="210"/>
      <c r="Q164" s="210"/>
      <c r="R164" s="213"/>
      <c r="T164" s="164"/>
      <c r="U164" s="160"/>
      <c r="V164" s="160"/>
      <c r="W164" s="160"/>
      <c r="X164" s="160"/>
      <c r="Y164" s="160"/>
      <c r="Z164" s="160"/>
      <c r="AA164" s="165"/>
      <c r="AT164" s="166" t="s">
        <v>179</v>
      </c>
      <c r="AU164" s="166" t="s">
        <v>135</v>
      </c>
      <c r="AV164" s="11" t="s">
        <v>135</v>
      </c>
      <c r="AW164" s="11" t="s">
        <v>35</v>
      </c>
      <c r="AX164" s="11" t="s">
        <v>78</v>
      </c>
      <c r="AY164" s="166" t="s">
        <v>167</v>
      </c>
    </row>
    <row r="165" spans="2:51" s="11" customFormat="1" ht="22.5" customHeight="1">
      <c r="B165" s="159"/>
      <c r="C165" s="210"/>
      <c r="D165" s="210"/>
      <c r="E165" s="211" t="s">
        <v>5</v>
      </c>
      <c r="F165" s="321" t="s">
        <v>1721</v>
      </c>
      <c r="G165" s="322"/>
      <c r="H165" s="322"/>
      <c r="I165" s="322"/>
      <c r="J165" s="210"/>
      <c r="K165" s="212">
        <v>165</v>
      </c>
      <c r="L165" s="210"/>
      <c r="M165" s="210"/>
      <c r="N165" s="210"/>
      <c r="O165" s="210"/>
      <c r="P165" s="210"/>
      <c r="Q165" s="210"/>
      <c r="R165" s="213"/>
      <c r="T165" s="164"/>
      <c r="U165" s="160"/>
      <c r="V165" s="160"/>
      <c r="W165" s="160"/>
      <c r="X165" s="160"/>
      <c r="Y165" s="160"/>
      <c r="Z165" s="160"/>
      <c r="AA165" s="165"/>
      <c r="AT165" s="166" t="s">
        <v>179</v>
      </c>
      <c r="AU165" s="166" t="s">
        <v>135</v>
      </c>
      <c r="AV165" s="11" t="s">
        <v>135</v>
      </c>
      <c r="AW165" s="11" t="s">
        <v>35</v>
      </c>
      <c r="AX165" s="11" t="s">
        <v>78</v>
      </c>
      <c r="AY165" s="166" t="s">
        <v>167</v>
      </c>
    </row>
    <row r="166" spans="2:51" s="11" customFormat="1" ht="22.5" customHeight="1">
      <c r="B166" s="159"/>
      <c r="C166" s="210"/>
      <c r="D166" s="210"/>
      <c r="E166" s="211" t="s">
        <v>5</v>
      </c>
      <c r="F166" s="321" t="s">
        <v>1722</v>
      </c>
      <c r="G166" s="322"/>
      <c r="H166" s="322"/>
      <c r="I166" s="322"/>
      <c r="J166" s="210"/>
      <c r="K166" s="212">
        <v>76.956</v>
      </c>
      <c r="L166" s="210"/>
      <c r="M166" s="210"/>
      <c r="N166" s="210"/>
      <c r="O166" s="210"/>
      <c r="P166" s="210"/>
      <c r="Q166" s="210"/>
      <c r="R166" s="213"/>
      <c r="T166" s="164"/>
      <c r="U166" s="160"/>
      <c r="V166" s="160"/>
      <c r="W166" s="160"/>
      <c r="X166" s="160"/>
      <c r="Y166" s="160"/>
      <c r="Z166" s="160"/>
      <c r="AA166" s="165"/>
      <c r="AT166" s="166" t="s">
        <v>179</v>
      </c>
      <c r="AU166" s="166" t="s">
        <v>135</v>
      </c>
      <c r="AV166" s="11" t="s">
        <v>135</v>
      </c>
      <c r="AW166" s="11" t="s">
        <v>35</v>
      </c>
      <c r="AX166" s="11" t="s">
        <v>78</v>
      </c>
      <c r="AY166" s="166" t="s">
        <v>167</v>
      </c>
    </row>
    <row r="167" spans="2:51" s="13" customFormat="1" ht="22.5" customHeight="1">
      <c r="B167" s="186"/>
      <c r="C167" s="214"/>
      <c r="D167" s="214"/>
      <c r="E167" s="215" t="s">
        <v>5</v>
      </c>
      <c r="F167" s="323" t="s">
        <v>1278</v>
      </c>
      <c r="G167" s="324"/>
      <c r="H167" s="324"/>
      <c r="I167" s="324"/>
      <c r="J167" s="214"/>
      <c r="K167" s="216">
        <v>1917.181</v>
      </c>
      <c r="L167" s="214"/>
      <c r="M167" s="214"/>
      <c r="N167" s="214"/>
      <c r="O167" s="214"/>
      <c r="P167" s="214"/>
      <c r="Q167" s="214"/>
      <c r="R167" s="217"/>
      <c r="T167" s="191"/>
      <c r="U167" s="187"/>
      <c r="V167" s="187"/>
      <c r="W167" s="187"/>
      <c r="X167" s="187"/>
      <c r="Y167" s="187"/>
      <c r="Z167" s="187"/>
      <c r="AA167" s="192"/>
      <c r="AT167" s="193" t="s">
        <v>179</v>
      </c>
      <c r="AU167" s="193" t="s">
        <v>135</v>
      </c>
      <c r="AV167" s="13" t="s">
        <v>184</v>
      </c>
      <c r="AW167" s="13" t="s">
        <v>35</v>
      </c>
      <c r="AX167" s="13" t="s">
        <v>78</v>
      </c>
      <c r="AY167" s="193" t="s">
        <v>167</v>
      </c>
    </row>
    <row r="168" spans="2:51" s="10" customFormat="1" ht="22.5" customHeight="1">
      <c r="B168" s="151"/>
      <c r="C168" s="206"/>
      <c r="D168" s="206"/>
      <c r="E168" s="207" t="s">
        <v>5</v>
      </c>
      <c r="F168" s="325" t="s">
        <v>1723</v>
      </c>
      <c r="G168" s="326"/>
      <c r="H168" s="326"/>
      <c r="I168" s="326"/>
      <c r="J168" s="206"/>
      <c r="K168" s="208" t="s">
        <v>5</v>
      </c>
      <c r="L168" s="206"/>
      <c r="M168" s="206"/>
      <c r="N168" s="206"/>
      <c r="O168" s="206"/>
      <c r="P168" s="206"/>
      <c r="Q168" s="206"/>
      <c r="R168" s="209"/>
      <c r="T168" s="156"/>
      <c r="U168" s="152"/>
      <c r="V168" s="152"/>
      <c r="W168" s="152"/>
      <c r="X168" s="152"/>
      <c r="Y168" s="152"/>
      <c r="Z168" s="152"/>
      <c r="AA168" s="157"/>
      <c r="AT168" s="158" t="s">
        <v>179</v>
      </c>
      <c r="AU168" s="158" t="s">
        <v>135</v>
      </c>
      <c r="AV168" s="10" t="s">
        <v>21</v>
      </c>
      <c r="AW168" s="10" t="s">
        <v>35</v>
      </c>
      <c r="AX168" s="10" t="s">
        <v>78</v>
      </c>
      <c r="AY168" s="158" t="s">
        <v>167</v>
      </c>
    </row>
    <row r="169" spans="2:51" s="11" customFormat="1" ht="22.5" customHeight="1">
      <c r="B169" s="159"/>
      <c r="C169" s="210"/>
      <c r="D169" s="210"/>
      <c r="E169" s="211" t="s">
        <v>5</v>
      </c>
      <c r="F169" s="321" t="s">
        <v>1724</v>
      </c>
      <c r="G169" s="322"/>
      <c r="H169" s="322"/>
      <c r="I169" s="322"/>
      <c r="J169" s="210"/>
      <c r="K169" s="212">
        <v>222.64</v>
      </c>
      <c r="L169" s="210"/>
      <c r="M169" s="210"/>
      <c r="N169" s="210"/>
      <c r="O169" s="210"/>
      <c r="P169" s="210"/>
      <c r="Q169" s="210"/>
      <c r="R169" s="213"/>
      <c r="T169" s="164"/>
      <c r="U169" s="160"/>
      <c r="V169" s="160"/>
      <c r="W169" s="160"/>
      <c r="X169" s="160"/>
      <c r="Y169" s="160"/>
      <c r="Z169" s="160"/>
      <c r="AA169" s="165"/>
      <c r="AT169" s="166" t="s">
        <v>179</v>
      </c>
      <c r="AU169" s="166" t="s">
        <v>135</v>
      </c>
      <c r="AV169" s="11" t="s">
        <v>135</v>
      </c>
      <c r="AW169" s="11" t="s">
        <v>35</v>
      </c>
      <c r="AX169" s="11" t="s">
        <v>78</v>
      </c>
      <c r="AY169" s="166" t="s">
        <v>167</v>
      </c>
    </row>
    <row r="170" spans="2:51" s="13" customFormat="1" ht="22.5" customHeight="1">
      <c r="B170" s="186"/>
      <c r="C170" s="214"/>
      <c r="D170" s="214"/>
      <c r="E170" s="215" t="s">
        <v>5</v>
      </c>
      <c r="F170" s="323" t="s">
        <v>1278</v>
      </c>
      <c r="G170" s="324"/>
      <c r="H170" s="324"/>
      <c r="I170" s="324"/>
      <c r="J170" s="214"/>
      <c r="K170" s="216">
        <v>222.64</v>
      </c>
      <c r="L170" s="214"/>
      <c r="M170" s="214"/>
      <c r="N170" s="214"/>
      <c r="O170" s="214"/>
      <c r="P170" s="214"/>
      <c r="Q170" s="214"/>
      <c r="R170" s="217"/>
      <c r="T170" s="191"/>
      <c r="U170" s="187"/>
      <c r="V170" s="187"/>
      <c r="W170" s="187"/>
      <c r="X170" s="187"/>
      <c r="Y170" s="187"/>
      <c r="Z170" s="187"/>
      <c r="AA170" s="192"/>
      <c r="AT170" s="193" t="s">
        <v>179</v>
      </c>
      <c r="AU170" s="193" t="s">
        <v>135</v>
      </c>
      <c r="AV170" s="13" t="s">
        <v>184</v>
      </c>
      <c r="AW170" s="13" t="s">
        <v>35</v>
      </c>
      <c r="AX170" s="13" t="s">
        <v>78</v>
      </c>
      <c r="AY170" s="193" t="s">
        <v>167</v>
      </c>
    </row>
    <row r="171" spans="2:51" s="10" customFormat="1" ht="22.5" customHeight="1">
      <c r="B171" s="151"/>
      <c r="C171" s="206"/>
      <c r="D171" s="206"/>
      <c r="E171" s="207" t="s">
        <v>5</v>
      </c>
      <c r="F171" s="325" t="s">
        <v>1725</v>
      </c>
      <c r="G171" s="326"/>
      <c r="H171" s="326"/>
      <c r="I171" s="326"/>
      <c r="J171" s="206"/>
      <c r="K171" s="208" t="s">
        <v>5</v>
      </c>
      <c r="L171" s="206"/>
      <c r="M171" s="206"/>
      <c r="N171" s="206"/>
      <c r="O171" s="206"/>
      <c r="P171" s="206"/>
      <c r="Q171" s="206"/>
      <c r="R171" s="209"/>
      <c r="T171" s="156"/>
      <c r="U171" s="152"/>
      <c r="V171" s="152"/>
      <c r="W171" s="152"/>
      <c r="X171" s="152"/>
      <c r="Y171" s="152"/>
      <c r="Z171" s="152"/>
      <c r="AA171" s="157"/>
      <c r="AT171" s="158" t="s">
        <v>179</v>
      </c>
      <c r="AU171" s="158" t="s">
        <v>135</v>
      </c>
      <c r="AV171" s="10" t="s">
        <v>21</v>
      </c>
      <c r="AW171" s="10" t="s">
        <v>35</v>
      </c>
      <c r="AX171" s="10" t="s">
        <v>78</v>
      </c>
      <c r="AY171" s="158" t="s">
        <v>167</v>
      </c>
    </row>
    <row r="172" spans="2:51" s="11" customFormat="1" ht="22.5" customHeight="1">
      <c r="B172" s="159"/>
      <c r="C172" s="210"/>
      <c r="D172" s="210"/>
      <c r="E172" s="211" t="s">
        <v>5</v>
      </c>
      <c r="F172" s="321" t="s">
        <v>1726</v>
      </c>
      <c r="G172" s="322"/>
      <c r="H172" s="322"/>
      <c r="I172" s="322"/>
      <c r="J172" s="210"/>
      <c r="K172" s="212">
        <v>78.687</v>
      </c>
      <c r="L172" s="210"/>
      <c r="M172" s="210"/>
      <c r="N172" s="210"/>
      <c r="O172" s="210"/>
      <c r="P172" s="210"/>
      <c r="Q172" s="210"/>
      <c r="R172" s="213"/>
      <c r="T172" s="164"/>
      <c r="U172" s="160"/>
      <c r="V172" s="160"/>
      <c r="W172" s="160"/>
      <c r="X172" s="160"/>
      <c r="Y172" s="160"/>
      <c r="Z172" s="160"/>
      <c r="AA172" s="165"/>
      <c r="AT172" s="166" t="s">
        <v>179</v>
      </c>
      <c r="AU172" s="166" t="s">
        <v>135</v>
      </c>
      <c r="AV172" s="11" t="s">
        <v>135</v>
      </c>
      <c r="AW172" s="11" t="s">
        <v>35</v>
      </c>
      <c r="AX172" s="11" t="s">
        <v>78</v>
      </c>
      <c r="AY172" s="166" t="s">
        <v>167</v>
      </c>
    </row>
    <row r="173" spans="2:51" s="11" customFormat="1" ht="22.5" customHeight="1">
      <c r="B173" s="159"/>
      <c r="C173" s="210"/>
      <c r="D173" s="210"/>
      <c r="E173" s="211" t="s">
        <v>5</v>
      </c>
      <c r="F173" s="321" t="s">
        <v>1727</v>
      </c>
      <c r="G173" s="322"/>
      <c r="H173" s="322"/>
      <c r="I173" s="322"/>
      <c r="J173" s="210"/>
      <c r="K173" s="212">
        <v>149.765</v>
      </c>
      <c r="L173" s="210"/>
      <c r="M173" s="210"/>
      <c r="N173" s="210"/>
      <c r="O173" s="210"/>
      <c r="P173" s="210"/>
      <c r="Q173" s="210"/>
      <c r="R173" s="213"/>
      <c r="T173" s="164"/>
      <c r="U173" s="160"/>
      <c r="V173" s="160"/>
      <c r="W173" s="160"/>
      <c r="X173" s="160"/>
      <c r="Y173" s="160"/>
      <c r="Z173" s="160"/>
      <c r="AA173" s="165"/>
      <c r="AT173" s="166" t="s">
        <v>179</v>
      </c>
      <c r="AU173" s="166" t="s">
        <v>135</v>
      </c>
      <c r="AV173" s="11" t="s">
        <v>135</v>
      </c>
      <c r="AW173" s="11" t="s">
        <v>35</v>
      </c>
      <c r="AX173" s="11" t="s">
        <v>78</v>
      </c>
      <c r="AY173" s="166" t="s">
        <v>167</v>
      </c>
    </row>
    <row r="174" spans="2:51" s="11" customFormat="1" ht="22.5" customHeight="1">
      <c r="B174" s="159"/>
      <c r="C174" s="210"/>
      <c r="D174" s="210"/>
      <c r="E174" s="211" t="s">
        <v>5</v>
      </c>
      <c r="F174" s="321" t="s">
        <v>1728</v>
      </c>
      <c r="G174" s="322"/>
      <c r="H174" s="322"/>
      <c r="I174" s="322"/>
      <c r="J174" s="210"/>
      <c r="K174" s="212">
        <v>76.076</v>
      </c>
      <c r="L174" s="210"/>
      <c r="M174" s="210"/>
      <c r="N174" s="210"/>
      <c r="O174" s="210"/>
      <c r="P174" s="210"/>
      <c r="Q174" s="210"/>
      <c r="R174" s="213"/>
      <c r="T174" s="164"/>
      <c r="U174" s="160"/>
      <c r="V174" s="160"/>
      <c r="W174" s="160"/>
      <c r="X174" s="160"/>
      <c r="Y174" s="160"/>
      <c r="Z174" s="160"/>
      <c r="AA174" s="165"/>
      <c r="AT174" s="166" t="s">
        <v>179</v>
      </c>
      <c r="AU174" s="166" t="s">
        <v>135</v>
      </c>
      <c r="AV174" s="11" t="s">
        <v>135</v>
      </c>
      <c r="AW174" s="11" t="s">
        <v>35</v>
      </c>
      <c r="AX174" s="11" t="s">
        <v>78</v>
      </c>
      <c r="AY174" s="166" t="s">
        <v>167</v>
      </c>
    </row>
    <row r="175" spans="2:51" s="11" customFormat="1" ht="22.5" customHeight="1">
      <c r="B175" s="159"/>
      <c r="C175" s="210"/>
      <c r="D175" s="210"/>
      <c r="E175" s="211" t="s">
        <v>5</v>
      </c>
      <c r="F175" s="321" t="s">
        <v>1729</v>
      </c>
      <c r="G175" s="322"/>
      <c r="H175" s="322"/>
      <c r="I175" s="322"/>
      <c r="J175" s="210"/>
      <c r="K175" s="212">
        <v>33.418</v>
      </c>
      <c r="L175" s="210"/>
      <c r="M175" s="210"/>
      <c r="N175" s="210"/>
      <c r="O175" s="210"/>
      <c r="P175" s="210"/>
      <c r="Q175" s="210"/>
      <c r="R175" s="213"/>
      <c r="T175" s="164"/>
      <c r="U175" s="160"/>
      <c r="V175" s="160"/>
      <c r="W175" s="160"/>
      <c r="X175" s="160"/>
      <c r="Y175" s="160"/>
      <c r="Z175" s="160"/>
      <c r="AA175" s="165"/>
      <c r="AT175" s="166" t="s">
        <v>179</v>
      </c>
      <c r="AU175" s="166" t="s">
        <v>135</v>
      </c>
      <c r="AV175" s="11" t="s">
        <v>135</v>
      </c>
      <c r="AW175" s="11" t="s">
        <v>35</v>
      </c>
      <c r="AX175" s="11" t="s">
        <v>78</v>
      </c>
      <c r="AY175" s="166" t="s">
        <v>167</v>
      </c>
    </row>
    <row r="176" spans="2:51" s="11" customFormat="1" ht="22.5" customHeight="1">
      <c r="B176" s="159"/>
      <c r="C176" s="210"/>
      <c r="D176" s="210"/>
      <c r="E176" s="211" t="s">
        <v>5</v>
      </c>
      <c r="F176" s="321" t="s">
        <v>1730</v>
      </c>
      <c r="G176" s="322"/>
      <c r="H176" s="322"/>
      <c r="I176" s="322"/>
      <c r="J176" s="210"/>
      <c r="K176" s="212">
        <v>33.396</v>
      </c>
      <c r="L176" s="210"/>
      <c r="M176" s="210"/>
      <c r="N176" s="210"/>
      <c r="O176" s="210"/>
      <c r="P176" s="210"/>
      <c r="Q176" s="210"/>
      <c r="R176" s="213"/>
      <c r="T176" s="164"/>
      <c r="U176" s="160"/>
      <c r="V176" s="160"/>
      <c r="W176" s="160"/>
      <c r="X176" s="160"/>
      <c r="Y176" s="160"/>
      <c r="Z176" s="160"/>
      <c r="AA176" s="165"/>
      <c r="AT176" s="166" t="s">
        <v>179</v>
      </c>
      <c r="AU176" s="166" t="s">
        <v>135</v>
      </c>
      <c r="AV176" s="11" t="s">
        <v>135</v>
      </c>
      <c r="AW176" s="11" t="s">
        <v>35</v>
      </c>
      <c r="AX176" s="11" t="s">
        <v>78</v>
      </c>
      <c r="AY176" s="166" t="s">
        <v>167</v>
      </c>
    </row>
    <row r="177" spans="2:51" s="11" customFormat="1" ht="22.5" customHeight="1">
      <c r="B177" s="159"/>
      <c r="C177" s="210"/>
      <c r="D177" s="210"/>
      <c r="E177" s="211" t="s">
        <v>5</v>
      </c>
      <c r="F177" s="321" t="s">
        <v>1731</v>
      </c>
      <c r="G177" s="322"/>
      <c r="H177" s="322"/>
      <c r="I177" s="322"/>
      <c r="J177" s="210"/>
      <c r="K177" s="212">
        <v>23.223</v>
      </c>
      <c r="L177" s="210"/>
      <c r="M177" s="210"/>
      <c r="N177" s="210"/>
      <c r="O177" s="210"/>
      <c r="P177" s="210"/>
      <c r="Q177" s="210"/>
      <c r="R177" s="213"/>
      <c r="T177" s="164"/>
      <c r="U177" s="160"/>
      <c r="V177" s="160"/>
      <c r="W177" s="160"/>
      <c r="X177" s="160"/>
      <c r="Y177" s="160"/>
      <c r="Z177" s="160"/>
      <c r="AA177" s="165"/>
      <c r="AT177" s="166" t="s">
        <v>179</v>
      </c>
      <c r="AU177" s="166" t="s">
        <v>135</v>
      </c>
      <c r="AV177" s="11" t="s">
        <v>135</v>
      </c>
      <c r="AW177" s="11" t="s">
        <v>35</v>
      </c>
      <c r="AX177" s="11" t="s">
        <v>78</v>
      </c>
      <c r="AY177" s="166" t="s">
        <v>167</v>
      </c>
    </row>
    <row r="178" spans="2:51" s="11" customFormat="1" ht="22.5" customHeight="1">
      <c r="B178" s="159"/>
      <c r="C178" s="210"/>
      <c r="D178" s="210"/>
      <c r="E178" s="211" t="s">
        <v>5</v>
      </c>
      <c r="F178" s="321" t="s">
        <v>1732</v>
      </c>
      <c r="G178" s="322"/>
      <c r="H178" s="322"/>
      <c r="I178" s="322"/>
      <c r="J178" s="210"/>
      <c r="K178" s="212">
        <v>93.555</v>
      </c>
      <c r="L178" s="210"/>
      <c r="M178" s="210"/>
      <c r="N178" s="210"/>
      <c r="O178" s="210"/>
      <c r="P178" s="210"/>
      <c r="Q178" s="210"/>
      <c r="R178" s="213"/>
      <c r="T178" s="164"/>
      <c r="U178" s="160"/>
      <c r="V178" s="160"/>
      <c r="W178" s="160"/>
      <c r="X178" s="160"/>
      <c r="Y178" s="160"/>
      <c r="Z178" s="160"/>
      <c r="AA178" s="165"/>
      <c r="AT178" s="166" t="s">
        <v>179</v>
      </c>
      <c r="AU178" s="166" t="s">
        <v>135</v>
      </c>
      <c r="AV178" s="11" t="s">
        <v>135</v>
      </c>
      <c r="AW178" s="11" t="s">
        <v>35</v>
      </c>
      <c r="AX178" s="11" t="s">
        <v>78</v>
      </c>
      <c r="AY178" s="166" t="s">
        <v>167</v>
      </c>
    </row>
    <row r="179" spans="2:51" s="11" customFormat="1" ht="22.5" customHeight="1">
      <c r="B179" s="159"/>
      <c r="C179" s="210"/>
      <c r="D179" s="210"/>
      <c r="E179" s="211" t="s">
        <v>5</v>
      </c>
      <c r="F179" s="321" t="s">
        <v>1733</v>
      </c>
      <c r="G179" s="322"/>
      <c r="H179" s="322"/>
      <c r="I179" s="322"/>
      <c r="J179" s="210"/>
      <c r="K179" s="212">
        <v>33.605</v>
      </c>
      <c r="L179" s="210"/>
      <c r="M179" s="210"/>
      <c r="N179" s="210"/>
      <c r="O179" s="210"/>
      <c r="P179" s="210"/>
      <c r="Q179" s="210"/>
      <c r="R179" s="213"/>
      <c r="T179" s="164"/>
      <c r="U179" s="160"/>
      <c r="V179" s="160"/>
      <c r="W179" s="160"/>
      <c r="X179" s="160"/>
      <c r="Y179" s="160"/>
      <c r="Z179" s="160"/>
      <c r="AA179" s="165"/>
      <c r="AT179" s="166" t="s">
        <v>179</v>
      </c>
      <c r="AU179" s="166" t="s">
        <v>135</v>
      </c>
      <c r="AV179" s="11" t="s">
        <v>135</v>
      </c>
      <c r="AW179" s="11" t="s">
        <v>35</v>
      </c>
      <c r="AX179" s="11" t="s">
        <v>78</v>
      </c>
      <c r="AY179" s="166" t="s">
        <v>167</v>
      </c>
    </row>
    <row r="180" spans="2:51" s="11" customFormat="1" ht="22.5" customHeight="1">
      <c r="B180" s="159"/>
      <c r="C180" s="210"/>
      <c r="D180" s="210"/>
      <c r="E180" s="211" t="s">
        <v>5</v>
      </c>
      <c r="F180" s="321" t="s">
        <v>1734</v>
      </c>
      <c r="G180" s="322"/>
      <c r="H180" s="322"/>
      <c r="I180" s="322"/>
      <c r="J180" s="210"/>
      <c r="K180" s="212">
        <v>53.528</v>
      </c>
      <c r="L180" s="210"/>
      <c r="M180" s="210"/>
      <c r="N180" s="210"/>
      <c r="O180" s="210"/>
      <c r="P180" s="210"/>
      <c r="Q180" s="210"/>
      <c r="R180" s="213"/>
      <c r="T180" s="164"/>
      <c r="U180" s="160"/>
      <c r="V180" s="160"/>
      <c r="W180" s="160"/>
      <c r="X180" s="160"/>
      <c r="Y180" s="160"/>
      <c r="Z180" s="160"/>
      <c r="AA180" s="165"/>
      <c r="AT180" s="166" t="s">
        <v>179</v>
      </c>
      <c r="AU180" s="166" t="s">
        <v>135</v>
      </c>
      <c r="AV180" s="11" t="s">
        <v>135</v>
      </c>
      <c r="AW180" s="11" t="s">
        <v>35</v>
      </c>
      <c r="AX180" s="11" t="s">
        <v>78</v>
      </c>
      <c r="AY180" s="166" t="s">
        <v>167</v>
      </c>
    </row>
    <row r="181" spans="2:51" s="11" customFormat="1" ht="22.5" customHeight="1">
      <c r="B181" s="159"/>
      <c r="C181" s="210"/>
      <c r="D181" s="210"/>
      <c r="E181" s="211" t="s">
        <v>5</v>
      </c>
      <c r="F181" s="321" t="s">
        <v>1735</v>
      </c>
      <c r="G181" s="322"/>
      <c r="H181" s="322"/>
      <c r="I181" s="322"/>
      <c r="J181" s="210"/>
      <c r="K181" s="212">
        <v>98.683</v>
      </c>
      <c r="L181" s="210"/>
      <c r="M181" s="210"/>
      <c r="N181" s="210"/>
      <c r="O181" s="210"/>
      <c r="P181" s="210"/>
      <c r="Q181" s="210"/>
      <c r="R181" s="213"/>
      <c r="T181" s="164"/>
      <c r="U181" s="160"/>
      <c r="V181" s="160"/>
      <c r="W181" s="160"/>
      <c r="X181" s="160"/>
      <c r="Y181" s="160"/>
      <c r="Z181" s="160"/>
      <c r="AA181" s="165"/>
      <c r="AT181" s="166" t="s">
        <v>179</v>
      </c>
      <c r="AU181" s="166" t="s">
        <v>135</v>
      </c>
      <c r="AV181" s="11" t="s">
        <v>135</v>
      </c>
      <c r="AW181" s="11" t="s">
        <v>35</v>
      </c>
      <c r="AX181" s="11" t="s">
        <v>78</v>
      </c>
      <c r="AY181" s="166" t="s">
        <v>167</v>
      </c>
    </row>
    <row r="182" spans="2:51" s="11" customFormat="1" ht="22.5" customHeight="1">
      <c r="B182" s="159"/>
      <c r="C182" s="210"/>
      <c r="D182" s="210"/>
      <c r="E182" s="211" t="s">
        <v>5</v>
      </c>
      <c r="F182" s="321" t="s">
        <v>1736</v>
      </c>
      <c r="G182" s="322"/>
      <c r="H182" s="322"/>
      <c r="I182" s="322"/>
      <c r="J182" s="210"/>
      <c r="K182" s="212">
        <v>41.58</v>
      </c>
      <c r="L182" s="210"/>
      <c r="M182" s="210"/>
      <c r="N182" s="210"/>
      <c r="O182" s="210"/>
      <c r="P182" s="210"/>
      <c r="Q182" s="210"/>
      <c r="R182" s="213"/>
      <c r="T182" s="164"/>
      <c r="U182" s="160"/>
      <c r="V182" s="160"/>
      <c r="W182" s="160"/>
      <c r="X182" s="160"/>
      <c r="Y182" s="160"/>
      <c r="Z182" s="160"/>
      <c r="AA182" s="165"/>
      <c r="AT182" s="166" t="s">
        <v>179</v>
      </c>
      <c r="AU182" s="166" t="s">
        <v>135</v>
      </c>
      <c r="AV182" s="11" t="s">
        <v>135</v>
      </c>
      <c r="AW182" s="11" t="s">
        <v>35</v>
      </c>
      <c r="AX182" s="11" t="s">
        <v>78</v>
      </c>
      <c r="AY182" s="166" t="s">
        <v>167</v>
      </c>
    </row>
    <row r="183" spans="2:51" s="11" customFormat="1" ht="22.5" customHeight="1">
      <c r="B183" s="159"/>
      <c r="C183" s="210"/>
      <c r="D183" s="210"/>
      <c r="E183" s="211" t="s">
        <v>5</v>
      </c>
      <c r="F183" s="321" t="s">
        <v>1737</v>
      </c>
      <c r="G183" s="322"/>
      <c r="H183" s="322"/>
      <c r="I183" s="322"/>
      <c r="J183" s="210"/>
      <c r="K183" s="212">
        <v>41.828</v>
      </c>
      <c r="L183" s="210"/>
      <c r="M183" s="210"/>
      <c r="N183" s="210"/>
      <c r="O183" s="210"/>
      <c r="P183" s="210"/>
      <c r="Q183" s="210"/>
      <c r="R183" s="213"/>
      <c r="T183" s="164"/>
      <c r="U183" s="160"/>
      <c r="V183" s="160"/>
      <c r="W183" s="160"/>
      <c r="X183" s="160"/>
      <c r="Y183" s="160"/>
      <c r="Z183" s="160"/>
      <c r="AA183" s="165"/>
      <c r="AT183" s="166" t="s">
        <v>179</v>
      </c>
      <c r="AU183" s="166" t="s">
        <v>135</v>
      </c>
      <c r="AV183" s="11" t="s">
        <v>135</v>
      </c>
      <c r="AW183" s="11" t="s">
        <v>35</v>
      </c>
      <c r="AX183" s="11" t="s">
        <v>78</v>
      </c>
      <c r="AY183" s="166" t="s">
        <v>167</v>
      </c>
    </row>
    <row r="184" spans="2:51" s="11" customFormat="1" ht="22.5" customHeight="1">
      <c r="B184" s="159"/>
      <c r="C184" s="210"/>
      <c r="D184" s="210"/>
      <c r="E184" s="211" t="s">
        <v>5</v>
      </c>
      <c r="F184" s="321" t="s">
        <v>1738</v>
      </c>
      <c r="G184" s="322"/>
      <c r="H184" s="322"/>
      <c r="I184" s="322"/>
      <c r="J184" s="210"/>
      <c r="K184" s="212">
        <v>137.5</v>
      </c>
      <c r="L184" s="210"/>
      <c r="M184" s="210"/>
      <c r="N184" s="210"/>
      <c r="O184" s="210"/>
      <c r="P184" s="210"/>
      <c r="Q184" s="210"/>
      <c r="R184" s="213"/>
      <c r="T184" s="164"/>
      <c r="U184" s="160"/>
      <c r="V184" s="160"/>
      <c r="W184" s="160"/>
      <c r="X184" s="160"/>
      <c r="Y184" s="160"/>
      <c r="Z184" s="160"/>
      <c r="AA184" s="165"/>
      <c r="AT184" s="166" t="s">
        <v>179</v>
      </c>
      <c r="AU184" s="166" t="s">
        <v>135</v>
      </c>
      <c r="AV184" s="11" t="s">
        <v>135</v>
      </c>
      <c r="AW184" s="11" t="s">
        <v>35</v>
      </c>
      <c r="AX184" s="11" t="s">
        <v>78</v>
      </c>
      <c r="AY184" s="166" t="s">
        <v>167</v>
      </c>
    </row>
    <row r="185" spans="2:51" s="11" customFormat="1" ht="22.5" customHeight="1">
      <c r="B185" s="159"/>
      <c r="C185" s="210"/>
      <c r="D185" s="210"/>
      <c r="E185" s="211" t="s">
        <v>5</v>
      </c>
      <c r="F185" s="321" t="s">
        <v>1739</v>
      </c>
      <c r="G185" s="322"/>
      <c r="H185" s="322"/>
      <c r="I185" s="322"/>
      <c r="J185" s="210"/>
      <c r="K185" s="212">
        <v>47.23</v>
      </c>
      <c r="L185" s="210"/>
      <c r="M185" s="210"/>
      <c r="N185" s="210"/>
      <c r="O185" s="210"/>
      <c r="P185" s="210"/>
      <c r="Q185" s="210"/>
      <c r="R185" s="213"/>
      <c r="T185" s="164"/>
      <c r="U185" s="160"/>
      <c r="V185" s="160"/>
      <c r="W185" s="160"/>
      <c r="X185" s="160"/>
      <c r="Y185" s="160"/>
      <c r="Z185" s="160"/>
      <c r="AA185" s="165"/>
      <c r="AT185" s="166" t="s">
        <v>179</v>
      </c>
      <c r="AU185" s="166" t="s">
        <v>135</v>
      </c>
      <c r="AV185" s="11" t="s">
        <v>135</v>
      </c>
      <c r="AW185" s="11" t="s">
        <v>35</v>
      </c>
      <c r="AX185" s="11" t="s">
        <v>78</v>
      </c>
      <c r="AY185" s="166" t="s">
        <v>167</v>
      </c>
    </row>
    <row r="186" spans="2:51" s="11" customFormat="1" ht="22.5" customHeight="1">
      <c r="B186" s="159"/>
      <c r="C186" s="210"/>
      <c r="D186" s="210"/>
      <c r="E186" s="211" t="s">
        <v>5</v>
      </c>
      <c r="F186" s="321" t="s">
        <v>1740</v>
      </c>
      <c r="G186" s="322"/>
      <c r="H186" s="322"/>
      <c r="I186" s="322"/>
      <c r="J186" s="210"/>
      <c r="K186" s="212">
        <v>81.213</v>
      </c>
      <c r="L186" s="210"/>
      <c r="M186" s="210"/>
      <c r="N186" s="210"/>
      <c r="O186" s="210"/>
      <c r="P186" s="210"/>
      <c r="Q186" s="210"/>
      <c r="R186" s="213"/>
      <c r="T186" s="164"/>
      <c r="U186" s="160"/>
      <c r="V186" s="160"/>
      <c r="W186" s="160"/>
      <c r="X186" s="160"/>
      <c r="Y186" s="160"/>
      <c r="Z186" s="160"/>
      <c r="AA186" s="165"/>
      <c r="AT186" s="166" t="s">
        <v>179</v>
      </c>
      <c r="AU186" s="166" t="s">
        <v>135</v>
      </c>
      <c r="AV186" s="11" t="s">
        <v>135</v>
      </c>
      <c r="AW186" s="11" t="s">
        <v>35</v>
      </c>
      <c r="AX186" s="11" t="s">
        <v>78</v>
      </c>
      <c r="AY186" s="166" t="s">
        <v>167</v>
      </c>
    </row>
    <row r="187" spans="2:51" s="11" customFormat="1" ht="22.5" customHeight="1">
      <c r="B187" s="159"/>
      <c r="C187" s="210"/>
      <c r="D187" s="210"/>
      <c r="E187" s="211" t="s">
        <v>5</v>
      </c>
      <c r="F187" s="321" t="s">
        <v>1741</v>
      </c>
      <c r="G187" s="322"/>
      <c r="H187" s="322"/>
      <c r="I187" s="322"/>
      <c r="J187" s="210"/>
      <c r="K187" s="212">
        <v>143</v>
      </c>
      <c r="L187" s="210"/>
      <c r="M187" s="210"/>
      <c r="N187" s="210"/>
      <c r="O187" s="210"/>
      <c r="P187" s="210"/>
      <c r="Q187" s="210"/>
      <c r="R187" s="213"/>
      <c r="T187" s="164"/>
      <c r="U187" s="160"/>
      <c r="V187" s="160"/>
      <c r="W187" s="160"/>
      <c r="X187" s="160"/>
      <c r="Y187" s="160"/>
      <c r="Z187" s="160"/>
      <c r="AA187" s="165"/>
      <c r="AT187" s="166" t="s">
        <v>179</v>
      </c>
      <c r="AU187" s="166" t="s">
        <v>135</v>
      </c>
      <c r="AV187" s="11" t="s">
        <v>135</v>
      </c>
      <c r="AW187" s="11" t="s">
        <v>35</v>
      </c>
      <c r="AX187" s="11" t="s">
        <v>78</v>
      </c>
      <c r="AY187" s="166" t="s">
        <v>167</v>
      </c>
    </row>
    <row r="188" spans="2:51" s="11" customFormat="1" ht="22.5" customHeight="1">
      <c r="B188" s="159"/>
      <c r="C188" s="210"/>
      <c r="D188" s="210"/>
      <c r="E188" s="211" t="s">
        <v>5</v>
      </c>
      <c r="F188" s="321" t="s">
        <v>1742</v>
      </c>
      <c r="G188" s="322"/>
      <c r="H188" s="322"/>
      <c r="I188" s="322"/>
      <c r="J188" s="210"/>
      <c r="K188" s="212">
        <v>170.5</v>
      </c>
      <c r="L188" s="210"/>
      <c r="M188" s="210"/>
      <c r="N188" s="210"/>
      <c r="O188" s="210"/>
      <c r="P188" s="210"/>
      <c r="Q188" s="210"/>
      <c r="R188" s="213"/>
      <c r="T188" s="164"/>
      <c r="U188" s="160"/>
      <c r="V188" s="160"/>
      <c r="W188" s="160"/>
      <c r="X188" s="160"/>
      <c r="Y188" s="160"/>
      <c r="Z188" s="160"/>
      <c r="AA188" s="165"/>
      <c r="AT188" s="166" t="s">
        <v>179</v>
      </c>
      <c r="AU188" s="166" t="s">
        <v>135</v>
      </c>
      <c r="AV188" s="11" t="s">
        <v>135</v>
      </c>
      <c r="AW188" s="11" t="s">
        <v>35</v>
      </c>
      <c r="AX188" s="11" t="s">
        <v>78</v>
      </c>
      <c r="AY188" s="166" t="s">
        <v>167</v>
      </c>
    </row>
    <row r="189" spans="2:51" s="11" customFormat="1" ht="22.5" customHeight="1">
      <c r="B189" s="159"/>
      <c r="C189" s="210"/>
      <c r="D189" s="210"/>
      <c r="E189" s="211" t="s">
        <v>5</v>
      </c>
      <c r="F189" s="321" t="s">
        <v>1743</v>
      </c>
      <c r="G189" s="322"/>
      <c r="H189" s="322"/>
      <c r="I189" s="322"/>
      <c r="J189" s="210"/>
      <c r="K189" s="212">
        <v>149.739</v>
      </c>
      <c r="L189" s="210"/>
      <c r="M189" s="210"/>
      <c r="N189" s="210"/>
      <c r="O189" s="210"/>
      <c r="P189" s="210"/>
      <c r="Q189" s="210"/>
      <c r="R189" s="213"/>
      <c r="T189" s="164"/>
      <c r="U189" s="160"/>
      <c r="V189" s="160"/>
      <c r="W189" s="160"/>
      <c r="X189" s="160"/>
      <c r="Y189" s="160"/>
      <c r="Z189" s="160"/>
      <c r="AA189" s="165"/>
      <c r="AT189" s="166" t="s">
        <v>179</v>
      </c>
      <c r="AU189" s="166" t="s">
        <v>135</v>
      </c>
      <c r="AV189" s="11" t="s">
        <v>135</v>
      </c>
      <c r="AW189" s="11" t="s">
        <v>35</v>
      </c>
      <c r="AX189" s="11" t="s">
        <v>78</v>
      </c>
      <c r="AY189" s="166" t="s">
        <v>167</v>
      </c>
    </row>
    <row r="190" spans="2:51" s="11" customFormat="1" ht="22.5" customHeight="1">
      <c r="B190" s="159"/>
      <c r="C190" s="210"/>
      <c r="D190" s="210"/>
      <c r="E190" s="211" t="s">
        <v>5</v>
      </c>
      <c r="F190" s="321" t="s">
        <v>1744</v>
      </c>
      <c r="G190" s="322"/>
      <c r="H190" s="322"/>
      <c r="I190" s="322"/>
      <c r="J190" s="210"/>
      <c r="K190" s="212">
        <v>47.083</v>
      </c>
      <c r="L190" s="210"/>
      <c r="M190" s="210"/>
      <c r="N190" s="210"/>
      <c r="O190" s="210"/>
      <c r="P190" s="210"/>
      <c r="Q190" s="210"/>
      <c r="R190" s="213"/>
      <c r="T190" s="164"/>
      <c r="U190" s="160"/>
      <c r="V190" s="160"/>
      <c r="W190" s="160"/>
      <c r="X190" s="160"/>
      <c r="Y190" s="160"/>
      <c r="Z190" s="160"/>
      <c r="AA190" s="165"/>
      <c r="AT190" s="166" t="s">
        <v>179</v>
      </c>
      <c r="AU190" s="166" t="s">
        <v>135</v>
      </c>
      <c r="AV190" s="11" t="s">
        <v>135</v>
      </c>
      <c r="AW190" s="11" t="s">
        <v>35</v>
      </c>
      <c r="AX190" s="11" t="s">
        <v>78</v>
      </c>
      <c r="AY190" s="166" t="s">
        <v>167</v>
      </c>
    </row>
    <row r="191" spans="2:51" s="11" customFormat="1" ht="22.5" customHeight="1">
      <c r="B191" s="159"/>
      <c r="C191" s="210"/>
      <c r="D191" s="210"/>
      <c r="E191" s="211" t="s">
        <v>5</v>
      </c>
      <c r="F191" s="321" t="s">
        <v>1745</v>
      </c>
      <c r="G191" s="322"/>
      <c r="H191" s="322"/>
      <c r="I191" s="322"/>
      <c r="J191" s="210"/>
      <c r="K191" s="212">
        <v>24.728</v>
      </c>
      <c r="L191" s="210"/>
      <c r="M191" s="210"/>
      <c r="N191" s="210"/>
      <c r="O191" s="210"/>
      <c r="P191" s="210"/>
      <c r="Q191" s="210"/>
      <c r="R191" s="213"/>
      <c r="T191" s="164"/>
      <c r="U191" s="160"/>
      <c r="V191" s="160"/>
      <c r="W191" s="160"/>
      <c r="X191" s="160"/>
      <c r="Y191" s="160"/>
      <c r="Z191" s="160"/>
      <c r="AA191" s="165"/>
      <c r="AT191" s="166" t="s">
        <v>179</v>
      </c>
      <c r="AU191" s="166" t="s">
        <v>135</v>
      </c>
      <c r="AV191" s="11" t="s">
        <v>135</v>
      </c>
      <c r="AW191" s="11" t="s">
        <v>35</v>
      </c>
      <c r="AX191" s="11" t="s">
        <v>78</v>
      </c>
      <c r="AY191" s="166" t="s">
        <v>167</v>
      </c>
    </row>
    <row r="192" spans="2:51" s="11" customFormat="1" ht="22.5" customHeight="1">
      <c r="B192" s="159"/>
      <c r="C192" s="210"/>
      <c r="D192" s="210"/>
      <c r="E192" s="211" t="s">
        <v>5</v>
      </c>
      <c r="F192" s="321" t="s">
        <v>1746</v>
      </c>
      <c r="G192" s="322"/>
      <c r="H192" s="322"/>
      <c r="I192" s="322"/>
      <c r="J192" s="210"/>
      <c r="K192" s="212">
        <v>35.486</v>
      </c>
      <c r="L192" s="210"/>
      <c r="M192" s="210"/>
      <c r="N192" s="210"/>
      <c r="O192" s="210"/>
      <c r="P192" s="210"/>
      <c r="Q192" s="210"/>
      <c r="R192" s="213"/>
      <c r="T192" s="164"/>
      <c r="U192" s="160"/>
      <c r="V192" s="160"/>
      <c r="W192" s="160"/>
      <c r="X192" s="160"/>
      <c r="Y192" s="160"/>
      <c r="Z192" s="160"/>
      <c r="AA192" s="165"/>
      <c r="AT192" s="166" t="s">
        <v>179</v>
      </c>
      <c r="AU192" s="166" t="s">
        <v>135</v>
      </c>
      <c r="AV192" s="11" t="s">
        <v>135</v>
      </c>
      <c r="AW192" s="11" t="s">
        <v>35</v>
      </c>
      <c r="AX192" s="11" t="s">
        <v>78</v>
      </c>
      <c r="AY192" s="166" t="s">
        <v>167</v>
      </c>
    </row>
    <row r="193" spans="2:51" s="11" customFormat="1" ht="22.5" customHeight="1">
      <c r="B193" s="159"/>
      <c r="C193" s="210"/>
      <c r="D193" s="210"/>
      <c r="E193" s="211" t="s">
        <v>5</v>
      </c>
      <c r="F193" s="321" t="s">
        <v>1747</v>
      </c>
      <c r="G193" s="322"/>
      <c r="H193" s="322"/>
      <c r="I193" s="322"/>
      <c r="J193" s="210"/>
      <c r="K193" s="212">
        <v>54.955</v>
      </c>
      <c r="L193" s="210"/>
      <c r="M193" s="210"/>
      <c r="N193" s="210"/>
      <c r="O193" s="210"/>
      <c r="P193" s="210"/>
      <c r="Q193" s="210"/>
      <c r="R193" s="213"/>
      <c r="T193" s="164"/>
      <c r="U193" s="160"/>
      <c r="V193" s="160"/>
      <c r="W193" s="160"/>
      <c r="X193" s="160"/>
      <c r="Y193" s="160"/>
      <c r="Z193" s="160"/>
      <c r="AA193" s="165"/>
      <c r="AT193" s="166" t="s">
        <v>179</v>
      </c>
      <c r="AU193" s="166" t="s">
        <v>135</v>
      </c>
      <c r="AV193" s="11" t="s">
        <v>135</v>
      </c>
      <c r="AW193" s="11" t="s">
        <v>35</v>
      </c>
      <c r="AX193" s="11" t="s">
        <v>78</v>
      </c>
      <c r="AY193" s="166" t="s">
        <v>167</v>
      </c>
    </row>
    <row r="194" spans="2:51" s="13" customFormat="1" ht="22.5" customHeight="1">
      <c r="B194" s="186"/>
      <c r="C194" s="214"/>
      <c r="D194" s="214"/>
      <c r="E194" s="215" t="s">
        <v>5</v>
      </c>
      <c r="F194" s="323" t="s">
        <v>1278</v>
      </c>
      <c r="G194" s="324"/>
      <c r="H194" s="324"/>
      <c r="I194" s="324"/>
      <c r="J194" s="214"/>
      <c r="K194" s="216">
        <v>1648.778</v>
      </c>
      <c r="L194" s="214"/>
      <c r="M194" s="214"/>
      <c r="N194" s="214"/>
      <c r="O194" s="214"/>
      <c r="P194" s="214"/>
      <c r="Q194" s="214"/>
      <c r="R194" s="217"/>
      <c r="T194" s="191"/>
      <c r="U194" s="187"/>
      <c r="V194" s="187"/>
      <c r="W194" s="187"/>
      <c r="X194" s="187"/>
      <c r="Y194" s="187"/>
      <c r="Z194" s="187"/>
      <c r="AA194" s="192"/>
      <c r="AT194" s="193" t="s">
        <v>179</v>
      </c>
      <c r="AU194" s="193" t="s">
        <v>135</v>
      </c>
      <c r="AV194" s="13" t="s">
        <v>184</v>
      </c>
      <c r="AW194" s="13" t="s">
        <v>35</v>
      </c>
      <c r="AX194" s="13" t="s">
        <v>78</v>
      </c>
      <c r="AY194" s="193" t="s">
        <v>167</v>
      </c>
    </row>
    <row r="195" spans="2:51" s="10" customFormat="1" ht="22.5" customHeight="1">
      <c r="B195" s="151"/>
      <c r="C195" s="206"/>
      <c r="D195" s="206"/>
      <c r="E195" s="207" t="s">
        <v>5</v>
      </c>
      <c r="F195" s="325" t="s">
        <v>1748</v>
      </c>
      <c r="G195" s="326"/>
      <c r="H195" s="326"/>
      <c r="I195" s="326"/>
      <c r="J195" s="206"/>
      <c r="K195" s="208" t="s">
        <v>5</v>
      </c>
      <c r="L195" s="206"/>
      <c r="M195" s="206"/>
      <c r="N195" s="206"/>
      <c r="O195" s="206"/>
      <c r="P195" s="206"/>
      <c r="Q195" s="206"/>
      <c r="R195" s="209"/>
      <c r="T195" s="156"/>
      <c r="U195" s="152"/>
      <c r="V195" s="152"/>
      <c r="W195" s="152"/>
      <c r="X195" s="152"/>
      <c r="Y195" s="152"/>
      <c r="Z195" s="152"/>
      <c r="AA195" s="157"/>
      <c r="AT195" s="158" t="s">
        <v>179</v>
      </c>
      <c r="AU195" s="158" t="s">
        <v>135</v>
      </c>
      <c r="AV195" s="10" t="s">
        <v>21</v>
      </c>
      <c r="AW195" s="10" t="s">
        <v>35</v>
      </c>
      <c r="AX195" s="10" t="s">
        <v>78</v>
      </c>
      <c r="AY195" s="158" t="s">
        <v>167</v>
      </c>
    </row>
    <row r="196" spans="2:51" s="11" customFormat="1" ht="22.5" customHeight="1">
      <c r="B196" s="159"/>
      <c r="C196" s="210"/>
      <c r="D196" s="210"/>
      <c r="E196" s="211" t="s">
        <v>5</v>
      </c>
      <c r="F196" s="321" t="s">
        <v>1749</v>
      </c>
      <c r="G196" s="322"/>
      <c r="H196" s="322"/>
      <c r="I196" s="322"/>
      <c r="J196" s="210"/>
      <c r="K196" s="212">
        <v>169.752</v>
      </c>
      <c r="L196" s="210"/>
      <c r="M196" s="210"/>
      <c r="N196" s="210"/>
      <c r="O196" s="210"/>
      <c r="P196" s="210"/>
      <c r="Q196" s="210"/>
      <c r="R196" s="213"/>
      <c r="T196" s="164"/>
      <c r="U196" s="160"/>
      <c r="V196" s="160"/>
      <c r="W196" s="160"/>
      <c r="X196" s="160"/>
      <c r="Y196" s="160"/>
      <c r="Z196" s="160"/>
      <c r="AA196" s="165"/>
      <c r="AT196" s="166" t="s">
        <v>179</v>
      </c>
      <c r="AU196" s="166" t="s">
        <v>135</v>
      </c>
      <c r="AV196" s="11" t="s">
        <v>135</v>
      </c>
      <c r="AW196" s="11" t="s">
        <v>35</v>
      </c>
      <c r="AX196" s="11" t="s">
        <v>78</v>
      </c>
      <c r="AY196" s="166" t="s">
        <v>167</v>
      </c>
    </row>
    <row r="197" spans="2:51" s="11" customFormat="1" ht="22.5" customHeight="1">
      <c r="B197" s="159"/>
      <c r="C197" s="210"/>
      <c r="D197" s="210"/>
      <c r="E197" s="211" t="s">
        <v>5</v>
      </c>
      <c r="F197" s="321" t="s">
        <v>1321</v>
      </c>
      <c r="G197" s="322"/>
      <c r="H197" s="322"/>
      <c r="I197" s="322"/>
      <c r="J197" s="210"/>
      <c r="K197" s="212">
        <v>128.7</v>
      </c>
      <c r="L197" s="210"/>
      <c r="M197" s="210"/>
      <c r="N197" s="210"/>
      <c r="O197" s="210"/>
      <c r="P197" s="210"/>
      <c r="Q197" s="210"/>
      <c r="R197" s="213"/>
      <c r="T197" s="164"/>
      <c r="U197" s="160"/>
      <c r="V197" s="160"/>
      <c r="W197" s="160"/>
      <c r="X197" s="160"/>
      <c r="Y197" s="160"/>
      <c r="Z197" s="160"/>
      <c r="AA197" s="165"/>
      <c r="AT197" s="166" t="s">
        <v>179</v>
      </c>
      <c r="AU197" s="166" t="s">
        <v>135</v>
      </c>
      <c r="AV197" s="11" t="s">
        <v>135</v>
      </c>
      <c r="AW197" s="11" t="s">
        <v>35</v>
      </c>
      <c r="AX197" s="11" t="s">
        <v>78</v>
      </c>
      <c r="AY197" s="166" t="s">
        <v>167</v>
      </c>
    </row>
    <row r="198" spans="2:51" s="11" customFormat="1" ht="22.5" customHeight="1">
      <c r="B198" s="159"/>
      <c r="C198" s="210"/>
      <c r="D198" s="210"/>
      <c r="E198" s="211" t="s">
        <v>5</v>
      </c>
      <c r="F198" s="321" t="s">
        <v>1750</v>
      </c>
      <c r="G198" s="322"/>
      <c r="H198" s="322"/>
      <c r="I198" s="322"/>
      <c r="J198" s="210"/>
      <c r="K198" s="212">
        <v>123.75</v>
      </c>
      <c r="L198" s="210"/>
      <c r="M198" s="210"/>
      <c r="N198" s="210"/>
      <c r="O198" s="210"/>
      <c r="P198" s="210"/>
      <c r="Q198" s="210"/>
      <c r="R198" s="213"/>
      <c r="T198" s="164"/>
      <c r="U198" s="160"/>
      <c r="V198" s="160"/>
      <c r="W198" s="160"/>
      <c r="X198" s="160"/>
      <c r="Y198" s="160"/>
      <c r="Z198" s="160"/>
      <c r="AA198" s="165"/>
      <c r="AT198" s="166" t="s">
        <v>179</v>
      </c>
      <c r="AU198" s="166" t="s">
        <v>135</v>
      </c>
      <c r="AV198" s="11" t="s">
        <v>135</v>
      </c>
      <c r="AW198" s="11" t="s">
        <v>35</v>
      </c>
      <c r="AX198" s="11" t="s">
        <v>78</v>
      </c>
      <c r="AY198" s="166" t="s">
        <v>167</v>
      </c>
    </row>
    <row r="199" spans="2:51" s="11" customFormat="1" ht="22.5" customHeight="1">
      <c r="B199" s="159"/>
      <c r="C199" s="210"/>
      <c r="D199" s="210"/>
      <c r="E199" s="211" t="s">
        <v>5</v>
      </c>
      <c r="F199" s="321" t="s">
        <v>1751</v>
      </c>
      <c r="G199" s="322"/>
      <c r="H199" s="322"/>
      <c r="I199" s="322"/>
      <c r="J199" s="210"/>
      <c r="K199" s="212">
        <v>118.774</v>
      </c>
      <c r="L199" s="210"/>
      <c r="M199" s="210"/>
      <c r="N199" s="210"/>
      <c r="O199" s="210"/>
      <c r="P199" s="210"/>
      <c r="Q199" s="210"/>
      <c r="R199" s="213"/>
      <c r="T199" s="164"/>
      <c r="U199" s="160"/>
      <c r="V199" s="160"/>
      <c r="W199" s="160"/>
      <c r="X199" s="160"/>
      <c r="Y199" s="160"/>
      <c r="Z199" s="160"/>
      <c r="AA199" s="165"/>
      <c r="AT199" s="166" t="s">
        <v>179</v>
      </c>
      <c r="AU199" s="166" t="s">
        <v>135</v>
      </c>
      <c r="AV199" s="11" t="s">
        <v>135</v>
      </c>
      <c r="AW199" s="11" t="s">
        <v>35</v>
      </c>
      <c r="AX199" s="11" t="s">
        <v>78</v>
      </c>
      <c r="AY199" s="166" t="s">
        <v>167</v>
      </c>
    </row>
    <row r="200" spans="2:51" s="11" customFormat="1" ht="22.5" customHeight="1">
      <c r="B200" s="159"/>
      <c r="C200" s="210"/>
      <c r="D200" s="210"/>
      <c r="E200" s="211" t="s">
        <v>5</v>
      </c>
      <c r="F200" s="321" t="s">
        <v>1752</v>
      </c>
      <c r="G200" s="322"/>
      <c r="H200" s="322"/>
      <c r="I200" s="322"/>
      <c r="J200" s="210"/>
      <c r="K200" s="212">
        <v>187.802</v>
      </c>
      <c r="L200" s="210"/>
      <c r="M200" s="210"/>
      <c r="N200" s="210"/>
      <c r="O200" s="210"/>
      <c r="P200" s="210"/>
      <c r="Q200" s="210"/>
      <c r="R200" s="213"/>
      <c r="T200" s="164"/>
      <c r="U200" s="160"/>
      <c r="V200" s="160"/>
      <c r="W200" s="160"/>
      <c r="X200" s="160"/>
      <c r="Y200" s="160"/>
      <c r="Z200" s="160"/>
      <c r="AA200" s="165"/>
      <c r="AT200" s="166" t="s">
        <v>179</v>
      </c>
      <c r="AU200" s="166" t="s">
        <v>135</v>
      </c>
      <c r="AV200" s="11" t="s">
        <v>135</v>
      </c>
      <c r="AW200" s="11" t="s">
        <v>35</v>
      </c>
      <c r="AX200" s="11" t="s">
        <v>78</v>
      </c>
      <c r="AY200" s="166" t="s">
        <v>167</v>
      </c>
    </row>
    <row r="201" spans="2:51" s="13" customFormat="1" ht="22.5" customHeight="1">
      <c r="B201" s="186"/>
      <c r="C201" s="214"/>
      <c r="D201" s="214"/>
      <c r="E201" s="215" t="s">
        <v>5</v>
      </c>
      <c r="F201" s="323" t="s">
        <v>1278</v>
      </c>
      <c r="G201" s="324"/>
      <c r="H201" s="324"/>
      <c r="I201" s="324"/>
      <c r="J201" s="214"/>
      <c r="K201" s="216">
        <v>728.778</v>
      </c>
      <c r="L201" s="214"/>
      <c r="M201" s="214"/>
      <c r="N201" s="214"/>
      <c r="O201" s="214"/>
      <c r="P201" s="214"/>
      <c r="Q201" s="214"/>
      <c r="R201" s="217"/>
      <c r="T201" s="191"/>
      <c r="U201" s="187"/>
      <c r="V201" s="187"/>
      <c r="W201" s="187"/>
      <c r="X201" s="187"/>
      <c r="Y201" s="187"/>
      <c r="Z201" s="187"/>
      <c r="AA201" s="192"/>
      <c r="AT201" s="193" t="s">
        <v>179</v>
      </c>
      <c r="AU201" s="193" t="s">
        <v>135</v>
      </c>
      <c r="AV201" s="13" t="s">
        <v>184</v>
      </c>
      <c r="AW201" s="13" t="s">
        <v>35</v>
      </c>
      <c r="AX201" s="13" t="s">
        <v>78</v>
      </c>
      <c r="AY201" s="193" t="s">
        <v>167</v>
      </c>
    </row>
    <row r="202" spans="2:51" s="10" customFormat="1" ht="22.5" customHeight="1">
      <c r="B202" s="151"/>
      <c r="C202" s="206"/>
      <c r="D202" s="206"/>
      <c r="E202" s="207" t="s">
        <v>5</v>
      </c>
      <c r="F202" s="325" t="s">
        <v>1753</v>
      </c>
      <c r="G202" s="326"/>
      <c r="H202" s="326"/>
      <c r="I202" s="326"/>
      <c r="J202" s="206"/>
      <c r="K202" s="208" t="s">
        <v>5</v>
      </c>
      <c r="L202" s="206"/>
      <c r="M202" s="206"/>
      <c r="N202" s="206"/>
      <c r="O202" s="206"/>
      <c r="P202" s="206"/>
      <c r="Q202" s="206"/>
      <c r="R202" s="209"/>
      <c r="T202" s="156"/>
      <c r="U202" s="152"/>
      <c r="V202" s="152"/>
      <c r="W202" s="152"/>
      <c r="X202" s="152"/>
      <c r="Y202" s="152"/>
      <c r="Z202" s="152"/>
      <c r="AA202" s="157"/>
      <c r="AT202" s="158" t="s">
        <v>179</v>
      </c>
      <c r="AU202" s="158" t="s">
        <v>135</v>
      </c>
      <c r="AV202" s="10" t="s">
        <v>21</v>
      </c>
      <c r="AW202" s="10" t="s">
        <v>35</v>
      </c>
      <c r="AX202" s="10" t="s">
        <v>78</v>
      </c>
      <c r="AY202" s="158" t="s">
        <v>167</v>
      </c>
    </row>
    <row r="203" spans="2:51" s="11" customFormat="1" ht="22.5" customHeight="1">
      <c r="B203" s="159"/>
      <c r="C203" s="210"/>
      <c r="D203" s="210"/>
      <c r="E203" s="211" t="s">
        <v>5</v>
      </c>
      <c r="F203" s="321">
        <v>0</v>
      </c>
      <c r="G203" s="322"/>
      <c r="H203" s="322"/>
      <c r="I203" s="322"/>
      <c r="J203" s="210"/>
      <c r="K203" s="212">
        <v>0</v>
      </c>
      <c r="L203" s="210"/>
      <c r="M203" s="210"/>
      <c r="N203" s="210"/>
      <c r="O203" s="210"/>
      <c r="P203" s="210"/>
      <c r="Q203" s="210"/>
      <c r="R203" s="213"/>
      <c r="T203" s="164"/>
      <c r="U203" s="160"/>
      <c r="V203" s="160"/>
      <c r="W203" s="160"/>
      <c r="X203" s="160"/>
      <c r="Y203" s="160"/>
      <c r="Z203" s="160"/>
      <c r="AA203" s="165"/>
      <c r="AT203" s="166" t="s">
        <v>179</v>
      </c>
      <c r="AU203" s="166" t="s">
        <v>135</v>
      </c>
      <c r="AV203" s="11" t="s">
        <v>135</v>
      </c>
      <c r="AW203" s="11" t="s">
        <v>35</v>
      </c>
      <c r="AX203" s="11" t="s">
        <v>78</v>
      </c>
      <c r="AY203" s="166" t="s">
        <v>167</v>
      </c>
    </row>
    <row r="204" spans="2:51" s="11" customFormat="1" ht="22.5" customHeight="1">
      <c r="B204" s="159"/>
      <c r="C204" s="210"/>
      <c r="D204" s="210"/>
      <c r="E204" s="211" t="s">
        <v>5</v>
      </c>
      <c r="F204" s="321">
        <v>0</v>
      </c>
      <c r="G204" s="322"/>
      <c r="H204" s="322"/>
      <c r="I204" s="322"/>
      <c r="J204" s="210"/>
      <c r="K204" s="212">
        <v>0</v>
      </c>
      <c r="L204" s="210"/>
      <c r="M204" s="210"/>
      <c r="N204" s="210"/>
      <c r="O204" s="210"/>
      <c r="P204" s="210"/>
      <c r="Q204" s="210"/>
      <c r="R204" s="213"/>
      <c r="T204" s="164"/>
      <c r="U204" s="160"/>
      <c r="V204" s="160"/>
      <c r="W204" s="160"/>
      <c r="X204" s="160"/>
      <c r="Y204" s="160"/>
      <c r="Z204" s="160"/>
      <c r="AA204" s="165"/>
      <c r="AT204" s="166" t="s">
        <v>179</v>
      </c>
      <c r="AU204" s="166" t="s">
        <v>135</v>
      </c>
      <c r="AV204" s="11" t="s">
        <v>135</v>
      </c>
      <c r="AW204" s="11" t="s">
        <v>35</v>
      </c>
      <c r="AX204" s="11" t="s">
        <v>78</v>
      </c>
      <c r="AY204" s="166" t="s">
        <v>167</v>
      </c>
    </row>
    <row r="205" spans="2:51" s="13" customFormat="1" ht="22.5" customHeight="1">
      <c r="B205" s="186"/>
      <c r="C205" s="214"/>
      <c r="D205" s="214"/>
      <c r="E205" s="215" t="s">
        <v>5</v>
      </c>
      <c r="F205" s="323" t="s">
        <v>1278</v>
      </c>
      <c r="G205" s="324"/>
      <c r="H205" s="324"/>
      <c r="I205" s="324"/>
      <c r="J205" s="214"/>
      <c r="K205" s="216">
        <v>0</v>
      </c>
      <c r="L205" s="214"/>
      <c r="M205" s="214"/>
      <c r="N205" s="214"/>
      <c r="O205" s="214"/>
      <c r="P205" s="214"/>
      <c r="Q205" s="214"/>
      <c r="R205" s="217"/>
      <c r="T205" s="191"/>
      <c r="U205" s="187"/>
      <c r="V205" s="187"/>
      <c r="W205" s="187"/>
      <c r="X205" s="187"/>
      <c r="Y205" s="187"/>
      <c r="Z205" s="187"/>
      <c r="AA205" s="192"/>
      <c r="AT205" s="193" t="s">
        <v>179</v>
      </c>
      <c r="AU205" s="193" t="s">
        <v>135</v>
      </c>
      <c r="AV205" s="13" t="s">
        <v>184</v>
      </c>
      <c r="AW205" s="13" t="s">
        <v>35</v>
      </c>
      <c r="AX205" s="13" t="s">
        <v>78</v>
      </c>
      <c r="AY205" s="193" t="s">
        <v>167</v>
      </c>
    </row>
    <row r="206" spans="2:51" s="10" customFormat="1" ht="22.5" customHeight="1">
      <c r="B206" s="151"/>
      <c r="C206" s="206"/>
      <c r="D206" s="206"/>
      <c r="E206" s="207" t="s">
        <v>5</v>
      </c>
      <c r="F206" s="325" t="s">
        <v>1754</v>
      </c>
      <c r="G206" s="326"/>
      <c r="H206" s="326"/>
      <c r="I206" s="326"/>
      <c r="J206" s="206"/>
      <c r="K206" s="208" t="s">
        <v>5</v>
      </c>
      <c r="L206" s="206"/>
      <c r="M206" s="206"/>
      <c r="N206" s="206"/>
      <c r="O206" s="206"/>
      <c r="P206" s="206"/>
      <c r="Q206" s="206"/>
      <c r="R206" s="209"/>
      <c r="T206" s="156"/>
      <c r="U206" s="152"/>
      <c r="V206" s="152"/>
      <c r="W206" s="152"/>
      <c r="X206" s="152"/>
      <c r="Y206" s="152"/>
      <c r="Z206" s="152"/>
      <c r="AA206" s="157"/>
      <c r="AT206" s="158" t="s">
        <v>179</v>
      </c>
      <c r="AU206" s="158" t="s">
        <v>135</v>
      </c>
      <c r="AV206" s="10" t="s">
        <v>21</v>
      </c>
      <c r="AW206" s="10" t="s">
        <v>35</v>
      </c>
      <c r="AX206" s="10" t="s">
        <v>78</v>
      </c>
      <c r="AY206" s="158" t="s">
        <v>167</v>
      </c>
    </row>
    <row r="207" spans="2:51" s="11" customFormat="1" ht="22.5" customHeight="1">
      <c r="B207" s="159"/>
      <c r="C207" s="210"/>
      <c r="D207" s="210"/>
      <c r="E207" s="211" t="s">
        <v>5</v>
      </c>
      <c r="F207" s="321" t="s">
        <v>1755</v>
      </c>
      <c r="G207" s="322"/>
      <c r="H207" s="322"/>
      <c r="I207" s="322"/>
      <c r="J207" s="210"/>
      <c r="K207" s="212">
        <v>607.2</v>
      </c>
      <c r="L207" s="210"/>
      <c r="M207" s="210"/>
      <c r="N207" s="210"/>
      <c r="O207" s="210"/>
      <c r="P207" s="210"/>
      <c r="Q207" s="210"/>
      <c r="R207" s="213"/>
      <c r="T207" s="164"/>
      <c r="U207" s="160"/>
      <c r="V207" s="160"/>
      <c r="W207" s="160"/>
      <c r="X207" s="160"/>
      <c r="Y207" s="160"/>
      <c r="Z207" s="160"/>
      <c r="AA207" s="165"/>
      <c r="AT207" s="166" t="s">
        <v>179</v>
      </c>
      <c r="AU207" s="166" t="s">
        <v>135</v>
      </c>
      <c r="AV207" s="11" t="s">
        <v>135</v>
      </c>
      <c r="AW207" s="11" t="s">
        <v>35</v>
      </c>
      <c r="AX207" s="11" t="s">
        <v>78</v>
      </c>
      <c r="AY207" s="166" t="s">
        <v>167</v>
      </c>
    </row>
    <row r="208" spans="2:51" s="13" customFormat="1" ht="22.5" customHeight="1">
      <c r="B208" s="186"/>
      <c r="C208" s="214"/>
      <c r="D208" s="214"/>
      <c r="E208" s="215" t="s">
        <v>5</v>
      </c>
      <c r="F208" s="323" t="s">
        <v>1278</v>
      </c>
      <c r="G208" s="324"/>
      <c r="H208" s="324"/>
      <c r="I208" s="324"/>
      <c r="J208" s="214"/>
      <c r="K208" s="216">
        <v>607.2</v>
      </c>
      <c r="L208" s="214"/>
      <c r="M208" s="214"/>
      <c r="N208" s="214"/>
      <c r="O208" s="214"/>
      <c r="P208" s="214"/>
      <c r="Q208" s="214"/>
      <c r="R208" s="217"/>
      <c r="T208" s="191"/>
      <c r="U208" s="187"/>
      <c r="V208" s="187"/>
      <c r="W208" s="187"/>
      <c r="X208" s="187"/>
      <c r="Y208" s="187"/>
      <c r="Z208" s="187"/>
      <c r="AA208" s="192"/>
      <c r="AT208" s="193" t="s">
        <v>179</v>
      </c>
      <c r="AU208" s="193" t="s">
        <v>135</v>
      </c>
      <c r="AV208" s="13" t="s">
        <v>184</v>
      </c>
      <c r="AW208" s="13" t="s">
        <v>35</v>
      </c>
      <c r="AX208" s="13" t="s">
        <v>78</v>
      </c>
      <c r="AY208" s="193" t="s">
        <v>167</v>
      </c>
    </row>
    <row r="209" spans="2:51" s="12" customFormat="1" ht="22.5" customHeight="1">
      <c r="B209" s="167"/>
      <c r="C209" s="218"/>
      <c r="D209" s="218"/>
      <c r="E209" s="219" t="s">
        <v>5</v>
      </c>
      <c r="F209" s="327" t="s">
        <v>183</v>
      </c>
      <c r="G209" s="328"/>
      <c r="H209" s="328"/>
      <c r="I209" s="328"/>
      <c r="J209" s="218"/>
      <c r="K209" s="220">
        <f>+K208+K205+K201+K194+K170+K167</f>
        <v>5124.577</v>
      </c>
      <c r="L209" s="218"/>
      <c r="M209" s="218"/>
      <c r="N209" s="218"/>
      <c r="O209" s="218"/>
      <c r="P209" s="218"/>
      <c r="Q209" s="218"/>
      <c r="R209" s="221"/>
      <c r="T209" s="172"/>
      <c r="U209" s="168"/>
      <c r="V209" s="168"/>
      <c r="W209" s="168"/>
      <c r="X209" s="168"/>
      <c r="Y209" s="168"/>
      <c r="Z209" s="168"/>
      <c r="AA209" s="173"/>
      <c r="AT209" s="174" t="s">
        <v>179</v>
      </c>
      <c r="AU209" s="174" t="s">
        <v>135</v>
      </c>
      <c r="AV209" s="12" t="s">
        <v>172</v>
      </c>
      <c r="AW209" s="12" t="s">
        <v>35</v>
      </c>
      <c r="AX209" s="12" t="s">
        <v>21</v>
      </c>
      <c r="AY209" s="174" t="s">
        <v>167</v>
      </c>
    </row>
    <row r="210" spans="2:65" s="1" customFormat="1" ht="22.5" customHeight="1">
      <c r="B210" s="141"/>
      <c r="C210" s="201" t="s">
        <v>184</v>
      </c>
      <c r="D210" s="201" t="s">
        <v>168</v>
      </c>
      <c r="E210" s="202" t="s">
        <v>1329</v>
      </c>
      <c r="F210" s="317" t="s">
        <v>1330</v>
      </c>
      <c r="G210" s="317"/>
      <c r="H210" s="317"/>
      <c r="I210" s="317"/>
      <c r="J210" s="203" t="s">
        <v>176</v>
      </c>
      <c r="K210" s="204">
        <f>+K267</f>
        <v>141.504</v>
      </c>
      <c r="L210" s="318">
        <v>0</v>
      </c>
      <c r="M210" s="318"/>
      <c r="N210" s="318">
        <f>ROUND(L210*K210,2)</f>
        <v>0</v>
      </c>
      <c r="O210" s="318"/>
      <c r="P210" s="318"/>
      <c r="Q210" s="318"/>
      <c r="R210" s="205"/>
      <c r="T210" s="147" t="s">
        <v>5</v>
      </c>
      <c r="U210" s="44" t="s">
        <v>43</v>
      </c>
      <c r="V210" s="148">
        <v>0.44</v>
      </c>
      <c r="W210" s="148">
        <f>V210*K210</f>
        <v>62.261759999999995</v>
      </c>
      <c r="X210" s="148">
        <v>0</v>
      </c>
      <c r="Y210" s="148">
        <f>X210*K210</f>
        <v>0</v>
      </c>
      <c r="Z210" s="148">
        <v>0</v>
      </c>
      <c r="AA210" s="149">
        <f>Z210*K210</f>
        <v>0</v>
      </c>
      <c r="AR210" s="21" t="s">
        <v>172</v>
      </c>
      <c r="AT210" s="21" t="s">
        <v>168</v>
      </c>
      <c r="AU210" s="21" t="s">
        <v>135</v>
      </c>
      <c r="AY210" s="21" t="s">
        <v>167</v>
      </c>
      <c r="BE210" s="150">
        <f>IF(U210="základní",N210,0)</f>
        <v>0</v>
      </c>
      <c r="BF210" s="150">
        <f>IF(U210="snížená",N210,0)</f>
        <v>0</v>
      </c>
      <c r="BG210" s="150">
        <f>IF(U210="zákl. přenesená",N210,0)</f>
        <v>0</v>
      </c>
      <c r="BH210" s="150">
        <f>IF(U210="sníž. přenesená",N210,0)</f>
        <v>0</v>
      </c>
      <c r="BI210" s="150">
        <f>IF(U210="nulová",N210,0)</f>
        <v>0</v>
      </c>
      <c r="BJ210" s="21" t="s">
        <v>21</v>
      </c>
      <c r="BK210" s="150">
        <f>ROUND(L210*K210,2)</f>
        <v>0</v>
      </c>
      <c r="BL210" s="21" t="s">
        <v>172</v>
      </c>
      <c r="BM210" s="21" t="s">
        <v>1331</v>
      </c>
    </row>
    <row r="211" spans="2:51" s="10" customFormat="1" ht="22.5" customHeight="1">
      <c r="B211" s="151"/>
      <c r="C211" s="206"/>
      <c r="D211" s="206"/>
      <c r="E211" s="207" t="s">
        <v>5</v>
      </c>
      <c r="F211" s="319" t="s">
        <v>1756</v>
      </c>
      <c r="G211" s="320"/>
      <c r="H211" s="320"/>
      <c r="I211" s="320"/>
      <c r="J211" s="206"/>
      <c r="K211" s="208" t="s">
        <v>5</v>
      </c>
      <c r="L211" s="206"/>
      <c r="M211" s="206"/>
      <c r="N211" s="206"/>
      <c r="O211" s="206"/>
      <c r="P211" s="206"/>
      <c r="Q211" s="206"/>
      <c r="R211" s="209"/>
      <c r="T211" s="156"/>
      <c r="U211" s="152"/>
      <c r="V211" s="152"/>
      <c r="W211" s="152"/>
      <c r="X211" s="152"/>
      <c r="Y211" s="152"/>
      <c r="Z211" s="152"/>
      <c r="AA211" s="157"/>
      <c r="AT211" s="158" t="s">
        <v>179</v>
      </c>
      <c r="AU211" s="158" t="s">
        <v>135</v>
      </c>
      <c r="AV211" s="10" t="s">
        <v>21</v>
      </c>
      <c r="AW211" s="10" t="s">
        <v>35</v>
      </c>
      <c r="AX211" s="10" t="s">
        <v>78</v>
      </c>
      <c r="AY211" s="158" t="s">
        <v>167</v>
      </c>
    </row>
    <row r="212" spans="2:51" s="11" customFormat="1" ht="22.5" customHeight="1">
      <c r="B212" s="159"/>
      <c r="C212" s="210"/>
      <c r="D212" s="210"/>
      <c r="E212" s="211" t="s">
        <v>5</v>
      </c>
      <c r="F212" s="321" t="s">
        <v>1348</v>
      </c>
      <c r="G212" s="322"/>
      <c r="H212" s="322"/>
      <c r="I212" s="322"/>
      <c r="J212" s="210"/>
      <c r="K212" s="212">
        <v>2.304</v>
      </c>
      <c r="L212" s="210"/>
      <c r="M212" s="210"/>
      <c r="N212" s="210"/>
      <c r="O212" s="210"/>
      <c r="P212" s="210"/>
      <c r="Q212" s="210"/>
      <c r="R212" s="213"/>
      <c r="T212" s="164"/>
      <c r="U212" s="160"/>
      <c r="V212" s="160"/>
      <c r="W212" s="160"/>
      <c r="X212" s="160"/>
      <c r="Y212" s="160"/>
      <c r="Z212" s="160"/>
      <c r="AA212" s="165"/>
      <c r="AT212" s="166" t="s">
        <v>179</v>
      </c>
      <c r="AU212" s="166" t="s">
        <v>135</v>
      </c>
      <c r="AV212" s="11" t="s">
        <v>135</v>
      </c>
      <c r="AW212" s="11" t="s">
        <v>35</v>
      </c>
      <c r="AX212" s="11" t="s">
        <v>78</v>
      </c>
      <c r="AY212" s="166" t="s">
        <v>167</v>
      </c>
    </row>
    <row r="213" spans="2:51" s="11" customFormat="1" ht="22.5" customHeight="1">
      <c r="B213" s="159"/>
      <c r="C213" s="210"/>
      <c r="D213" s="210"/>
      <c r="E213" s="211" t="s">
        <v>5</v>
      </c>
      <c r="F213" s="321" t="s">
        <v>1332</v>
      </c>
      <c r="G213" s="322"/>
      <c r="H213" s="322"/>
      <c r="I213" s="322"/>
      <c r="J213" s="210"/>
      <c r="K213" s="212">
        <v>2.496</v>
      </c>
      <c r="L213" s="210"/>
      <c r="M213" s="210"/>
      <c r="N213" s="210"/>
      <c r="O213" s="210"/>
      <c r="P213" s="210"/>
      <c r="Q213" s="210"/>
      <c r="R213" s="213"/>
      <c r="T213" s="164"/>
      <c r="U213" s="160"/>
      <c r="V213" s="160"/>
      <c r="W213" s="160"/>
      <c r="X213" s="160"/>
      <c r="Y213" s="160"/>
      <c r="Z213" s="160"/>
      <c r="AA213" s="165"/>
      <c r="AT213" s="166" t="s">
        <v>179</v>
      </c>
      <c r="AU213" s="166" t="s">
        <v>135</v>
      </c>
      <c r="AV213" s="11" t="s">
        <v>135</v>
      </c>
      <c r="AW213" s="11" t="s">
        <v>35</v>
      </c>
      <c r="AX213" s="11" t="s">
        <v>78</v>
      </c>
      <c r="AY213" s="166" t="s">
        <v>167</v>
      </c>
    </row>
    <row r="214" spans="2:51" s="11" customFormat="1" ht="22.5" customHeight="1">
      <c r="B214" s="159"/>
      <c r="C214" s="210"/>
      <c r="D214" s="210"/>
      <c r="E214" s="211" t="s">
        <v>5</v>
      </c>
      <c r="F214" s="321" t="s">
        <v>1347</v>
      </c>
      <c r="G214" s="322"/>
      <c r="H214" s="322"/>
      <c r="I214" s="322"/>
      <c r="J214" s="210"/>
      <c r="K214" s="212">
        <v>3.072</v>
      </c>
      <c r="L214" s="210"/>
      <c r="M214" s="210"/>
      <c r="N214" s="210"/>
      <c r="O214" s="210"/>
      <c r="P214" s="210"/>
      <c r="Q214" s="210"/>
      <c r="R214" s="213"/>
      <c r="T214" s="164"/>
      <c r="U214" s="160"/>
      <c r="V214" s="160"/>
      <c r="W214" s="160"/>
      <c r="X214" s="160"/>
      <c r="Y214" s="160"/>
      <c r="Z214" s="160"/>
      <c r="AA214" s="165"/>
      <c r="AT214" s="166" t="s">
        <v>179</v>
      </c>
      <c r="AU214" s="166" t="s">
        <v>135</v>
      </c>
      <c r="AV214" s="11" t="s">
        <v>135</v>
      </c>
      <c r="AW214" s="11" t="s">
        <v>35</v>
      </c>
      <c r="AX214" s="11" t="s">
        <v>78</v>
      </c>
      <c r="AY214" s="166" t="s">
        <v>167</v>
      </c>
    </row>
    <row r="215" spans="2:51" s="11" customFormat="1" ht="22.5" customHeight="1">
      <c r="B215" s="159"/>
      <c r="C215" s="210"/>
      <c r="D215" s="210"/>
      <c r="E215" s="211" t="s">
        <v>5</v>
      </c>
      <c r="F215" s="321" t="s">
        <v>1757</v>
      </c>
      <c r="G215" s="322"/>
      <c r="H215" s="322"/>
      <c r="I215" s="322"/>
      <c r="J215" s="210"/>
      <c r="K215" s="212">
        <v>3.552</v>
      </c>
      <c r="L215" s="210"/>
      <c r="M215" s="210"/>
      <c r="N215" s="210"/>
      <c r="O215" s="210"/>
      <c r="P215" s="210"/>
      <c r="Q215" s="210"/>
      <c r="R215" s="213"/>
      <c r="T215" s="164"/>
      <c r="U215" s="160"/>
      <c r="V215" s="160"/>
      <c r="W215" s="160"/>
      <c r="X215" s="160"/>
      <c r="Y215" s="160"/>
      <c r="Z215" s="160"/>
      <c r="AA215" s="165"/>
      <c r="AT215" s="166" t="s">
        <v>179</v>
      </c>
      <c r="AU215" s="166" t="s">
        <v>135</v>
      </c>
      <c r="AV215" s="11" t="s">
        <v>135</v>
      </c>
      <c r="AW215" s="11" t="s">
        <v>35</v>
      </c>
      <c r="AX215" s="11" t="s">
        <v>78</v>
      </c>
      <c r="AY215" s="166" t="s">
        <v>167</v>
      </c>
    </row>
    <row r="216" spans="2:51" s="11" customFormat="1" ht="22.5" customHeight="1">
      <c r="B216" s="159"/>
      <c r="C216" s="210"/>
      <c r="D216" s="210"/>
      <c r="E216" s="211" t="s">
        <v>5</v>
      </c>
      <c r="F216" s="321" t="s">
        <v>1333</v>
      </c>
      <c r="G216" s="322"/>
      <c r="H216" s="322"/>
      <c r="I216" s="322"/>
      <c r="J216" s="210"/>
      <c r="K216" s="212">
        <v>2.112</v>
      </c>
      <c r="L216" s="210"/>
      <c r="M216" s="210"/>
      <c r="N216" s="210"/>
      <c r="O216" s="210"/>
      <c r="P216" s="210"/>
      <c r="Q216" s="210"/>
      <c r="R216" s="213"/>
      <c r="T216" s="164"/>
      <c r="U216" s="160"/>
      <c r="V216" s="160"/>
      <c r="W216" s="160"/>
      <c r="X216" s="160"/>
      <c r="Y216" s="160"/>
      <c r="Z216" s="160"/>
      <c r="AA216" s="165"/>
      <c r="AT216" s="166" t="s">
        <v>179</v>
      </c>
      <c r="AU216" s="166" t="s">
        <v>135</v>
      </c>
      <c r="AV216" s="11" t="s">
        <v>135</v>
      </c>
      <c r="AW216" s="11" t="s">
        <v>35</v>
      </c>
      <c r="AX216" s="11" t="s">
        <v>78</v>
      </c>
      <c r="AY216" s="166" t="s">
        <v>167</v>
      </c>
    </row>
    <row r="217" spans="2:51" s="11" customFormat="1" ht="22.5" customHeight="1">
      <c r="B217" s="159"/>
      <c r="C217" s="210"/>
      <c r="D217" s="210"/>
      <c r="E217" s="211" t="s">
        <v>5</v>
      </c>
      <c r="F217" s="321" t="s">
        <v>1758</v>
      </c>
      <c r="G217" s="322"/>
      <c r="H217" s="322"/>
      <c r="I217" s="322"/>
      <c r="J217" s="210"/>
      <c r="K217" s="212">
        <v>2.784</v>
      </c>
      <c r="L217" s="210"/>
      <c r="M217" s="210"/>
      <c r="N217" s="210"/>
      <c r="O217" s="210"/>
      <c r="P217" s="210"/>
      <c r="Q217" s="210"/>
      <c r="R217" s="213"/>
      <c r="T217" s="164"/>
      <c r="U217" s="160"/>
      <c r="V217" s="160"/>
      <c r="W217" s="160"/>
      <c r="X217" s="160"/>
      <c r="Y217" s="160"/>
      <c r="Z217" s="160"/>
      <c r="AA217" s="165"/>
      <c r="AT217" s="166" t="s">
        <v>179</v>
      </c>
      <c r="AU217" s="166" t="s">
        <v>135</v>
      </c>
      <c r="AV217" s="11" t="s">
        <v>135</v>
      </c>
      <c r="AW217" s="11" t="s">
        <v>35</v>
      </c>
      <c r="AX217" s="11" t="s">
        <v>78</v>
      </c>
      <c r="AY217" s="166" t="s">
        <v>167</v>
      </c>
    </row>
    <row r="218" spans="2:51" s="11" customFormat="1" ht="22.5" customHeight="1">
      <c r="B218" s="159"/>
      <c r="C218" s="210"/>
      <c r="D218" s="210"/>
      <c r="E218" s="211" t="s">
        <v>5</v>
      </c>
      <c r="F218" s="321" t="s">
        <v>1347</v>
      </c>
      <c r="G218" s="322"/>
      <c r="H218" s="322"/>
      <c r="I218" s="322"/>
      <c r="J218" s="210"/>
      <c r="K218" s="212">
        <v>3.072</v>
      </c>
      <c r="L218" s="210"/>
      <c r="M218" s="210"/>
      <c r="N218" s="210"/>
      <c r="O218" s="210"/>
      <c r="P218" s="210"/>
      <c r="Q218" s="210"/>
      <c r="R218" s="213"/>
      <c r="T218" s="164"/>
      <c r="U218" s="160"/>
      <c r="V218" s="160"/>
      <c r="W218" s="160"/>
      <c r="X218" s="160"/>
      <c r="Y218" s="160"/>
      <c r="Z218" s="160"/>
      <c r="AA218" s="165"/>
      <c r="AT218" s="166" t="s">
        <v>179</v>
      </c>
      <c r="AU218" s="166" t="s">
        <v>135</v>
      </c>
      <c r="AV218" s="11" t="s">
        <v>135</v>
      </c>
      <c r="AW218" s="11" t="s">
        <v>35</v>
      </c>
      <c r="AX218" s="11" t="s">
        <v>78</v>
      </c>
      <c r="AY218" s="166" t="s">
        <v>167</v>
      </c>
    </row>
    <row r="219" spans="2:51" s="11" customFormat="1" ht="22.5" customHeight="1">
      <c r="B219" s="159"/>
      <c r="C219" s="210"/>
      <c r="D219" s="210"/>
      <c r="E219" s="211" t="s">
        <v>5</v>
      </c>
      <c r="F219" s="321" t="s">
        <v>1759</v>
      </c>
      <c r="G219" s="322"/>
      <c r="H219" s="322"/>
      <c r="I219" s="322"/>
      <c r="J219" s="210"/>
      <c r="K219" s="212">
        <v>8.256</v>
      </c>
      <c r="L219" s="210"/>
      <c r="M219" s="210"/>
      <c r="N219" s="210"/>
      <c r="O219" s="210"/>
      <c r="P219" s="210"/>
      <c r="Q219" s="210"/>
      <c r="R219" s="213"/>
      <c r="T219" s="164"/>
      <c r="U219" s="160"/>
      <c r="V219" s="160"/>
      <c r="W219" s="160"/>
      <c r="X219" s="160"/>
      <c r="Y219" s="160"/>
      <c r="Z219" s="160"/>
      <c r="AA219" s="165"/>
      <c r="AT219" s="166" t="s">
        <v>179</v>
      </c>
      <c r="AU219" s="166" t="s">
        <v>135</v>
      </c>
      <c r="AV219" s="11" t="s">
        <v>135</v>
      </c>
      <c r="AW219" s="11" t="s">
        <v>35</v>
      </c>
      <c r="AX219" s="11" t="s">
        <v>78</v>
      </c>
      <c r="AY219" s="166" t="s">
        <v>167</v>
      </c>
    </row>
    <row r="220" spans="2:51" s="11" customFormat="1" ht="22.5" customHeight="1">
      <c r="B220" s="159"/>
      <c r="C220" s="210"/>
      <c r="D220" s="210"/>
      <c r="E220" s="211" t="s">
        <v>5</v>
      </c>
      <c r="F220" s="321" t="s">
        <v>1760</v>
      </c>
      <c r="G220" s="322"/>
      <c r="H220" s="322"/>
      <c r="I220" s="322"/>
      <c r="J220" s="210"/>
      <c r="K220" s="212">
        <v>3.648</v>
      </c>
      <c r="L220" s="210"/>
      <c r="M220" s="210"/>
      <c r="N220" s="210"/>
      <c r="O220" s="210"/>
      <c r="P220" s="210"/>
      <c r="Q220" s="210"/>
      <c r="R220" s="213"/>
      <c r="T220" s="164"/>
      <c r="U220" s="160"/>
      <c r="V220" s="160"/>
      <c r="W220" s="160"/>
      <c r="X220" s="160"/>
      <c r="Y220" s="160"/>
      <c r="Z220" s="160"/>
      <c r="AA220" s="165"/>
      <c r="AT220" s="166" t="s">
        <v>179</v>
      </c>
      <c r="AU220" s="166" t="s">
        <v>135</v>
      </c>
      <c r="AV220" s="11" t="s">
        <v>135</v>
      </c>
      <c r="AW220" s="11" t="s">
        <v>35</v>
      </c>
      <c r="AX220" s="11" t="s">
        <v>78</v>
      </c>
      <c r="AY220" s="166" t="s">
        <v>167</v>
      </c>
    </row>
    <row r="221" spans="2:51" s="11" customFormat="1" ht="22.5" customHeight="1">
      <c r="B221" s="159"/>
      <c r="C221" s="210"/>
      <c r="D221" s="210"/>
      <c r="E221" s="211" t="s">
        <v>5</v>
      </c>
      <c r="F221" s="321" t="s">
        <v>1347</v>
      </c>
      <c r="G221" s="322"/>
      <c r="H221" s="322"/>
      <c r="I221" s="322"/>
      <c r="J221" s="210"/>
      <c r="K221" s="212">
        <v>3.072</v>
      </c>
      <c r="L221" s="210"/>
      <c r="M221" s="210"/>
      <c r="N221" s="210"/>
      <c r="O221" s="210"/>
      <c r="P221" s="210"/>
      <c r="Q221" s="210"/>
      <c r="R221" s="213"/>
      <c r="T221" s="164"/>
      <c r="U221" s="160"/>
      <c r="V221" s="160"/>
      <c r="W221" s="160"/>
      <c r="X221" s="160"/>
      <c r="Y221" s="160"/>
      <c r="Z221" s="160"/>
      <c r="AA221" s="165"/>
      <c r="AT221" s="166" t="s">
        <v>179</v>
      </c>
      <c r="AU221" s="166" t="s">
        <v>135</v>
      </c>
      <c r="AV221" s="11" t="s">
        <v>135</v>
      </c>
      <c r="AW221" s="11" t="s">
        <v>35</v>
      </c>
      <c r="AX221" s="11" t="s">
        <v>78</v>
      </c>
      <c r="AY221" s="166" t="s">
        <v>167</v>
      </c>
    </row>
    <row r="222" spans="2:51" s="11" customFormat="1" ht="22.5" customHeight="1">
      <c r="B222" s="159"/>
      <c r="C222" s="210"/>
      <c r="D222" s="210"/>
      <c r="E222" s="211" t="s">
        <v>5</v>
      </c>
      <c r="F222" s="321" t="s">
        <v>1346</v>
      </c>
      <c r="G222" s="322"/>
      <c r="H222" s="322"/>
      <c r="I222" s="322"/>
      <c r="J222" s="210"/>
      <c r="K222" s="212">
        <v>2.208</v>
      </c>
      <c r="L222" s="210"/>
      <c r="M222" s="210"/>
      <c r="N222" s="210"/>
      <c r="O222" s="210"/>
      <c r="P222" s="210"/>
      <c r="Q222" s="210"/>
      <c r="R222" s="213"/>
      <c r="T222" s="164"/>
      <c r="U222" s="160"/>
      <c r="V222" s="160"/>
      <c r="W222" s="160"/>
      <c r="X222" s="160"/>
      <c r="Y222" s="160"/>
      <c r="Z222" s="160"/>
      <c r="AA222" s="165"/>
      <c r="AT222" s="166" t="s">
        <v>179</v>
      </c>
      <c r="AU222" s="166" t="s">
        <v>135</v>
      </c>
      <c r="AV222" s="11" t="s">
        <v>135</v>
      </c>
      <c r="AW222" s="11" t="s">
        <v>35</v>
      </c>
      <c r="AX222" s="11" t="s">
        <v>78</v>
      </c>
      <c r="AY222" s="166" t="s">
        <v>167</v>
      </c>
    </row>
    <row r="223" spans="2:51" s="11" customFormat="1" ht="22.5" customHeight="1">
      <c r="B223" s="159"/>
      <c r="C223" s="210"/>
      <c r="D223" s="210"/>
      <c r="E223" s="211" t="s">
        <v>5</v>
      </c>
      <c r="F223" s="321" t="s">
        <v>1761</v>
      </c>
      <c r="G223" s="322"/>
      <c r="H223" s="322"/>
      <c r="I223" s="322"/>
      <c r="J223" s="210"/>
      <c r="K223" s="212">
        <v>2.976</v>
      </c>
      <c r="L223" s="210"/>
      <c r="M223" s="210"/>
      <c r="N223" s="210"/>
      <c r="O223" s="210"/>
      <c r="P223" s="210"/>
      <c r="Q223" s="210"/>
      <c r="R223" s="213"/>
      <c r="T223" s="164"/>
      <c r="U223" s="160"/>
      <c r="V223" s="160"/>
      <c r="W223" s="160"/>
      <c r="X223" s="160"/>
      <c r="Y223" s="160"/>
      <c r="Z223" s="160"/>
      <c r="AA223" s="165"/>
      <c r="AT223" s="166" t="s">
        <v>179</v>
      </c>
      <c r="AU223" s="166" t="s">
        <v>135</v>
      </c>
      <c r="AV223" s="11" t="s">
        <v>135</v>
      </c>
      <c r="AW223" s="11" t="s">
        <v>35</v>
      </c>
      <c r="AX223" s="11" t="s">
        <v>78</v>
      </c>
      <c r="AY223" s="166" t="s">
        <v>167</v>
      </c>
    </row>
    <row r="224" spans="2:51" s="11" customFormat="1" ht="22.5" customHeight="1">
      <c r="B224" s="159"/>
      <c r="C224" s="210"/>
      <c r="D224" s="210"/>
      <c r="E224" s="211" t="s">
        <v>5</v>
      </c>
      <c r="F224" s="321" t="s">
        <v>1762</v>
      </c>
      <c r="G224" s="322"/>
      <c r="H224" s="322"/>
      <c r="I224" s="322"/>
      <c r="J224" s="210"/>
      <c r="K224" s="212">
        <v>3.168</v>
      </c>
      <c r="L224" s="210"/>
      <c r="M224" s="210"/>
      <c r="N224" s="210"/>
      <c r="O224" s="210"/>
      <c r="P224" s="210"/>
      <c r="Q224" s="210"/>
      <c r="R224" s="213"/>
      <c r="T224" s="164"/>
      <c r="U224" s="160"/>
      <c r="V224" s="160"/>
      <c r="W224" s="160"/>
      <c r="X224" s="160"/>
      <c r="Y224" s="160"/>
      <c r="Z224" s="160"/>
      <c r="AA224" s="165"/>
      <c r="AT224" s="166" t="s">
        <v>179</v>
      </c>
      <c r="AU224" s="166" t="s">
        <v>135</v>
      </c>
      <c r="AV224" s="11" t="s">
        <v>135</v>
      </c>
      <c r="AW224" s="11" t="s">
        <v>35</v>
      </c>
      <c r="AX224" s="11" t="s">
        <v>78</v>
      </c>
      <c r="AY224" s="166" t="s">
        <v>167</v>
      </c>
    </row>
    <row r="225" spans="2:51" s="11" customFormat="1" ht="22.5" customHeight="1">
      <c r="B225" s="159"/>
      <c r="C225" s="210"/>
      <c r="D225" s="210"/>
      <c r="E225" s="211" t="s">
        <v>5</v>
      </c>
      <c r="F225" s="321" t="s">
        <v>1763</v>
      </c>
      <c r="G225" s="322"/>
      <c r="H225" s="322"/>
      <c r="I225" s="322"/>
      <c r="J225" s="210"/>
      <c r="K225" s="212">
        <v>3.456</v>
      </c>
      <c r="L225" s="210"/>
      <c r="M225" s="210"/>
      <c r="N225" s="210"/>
      <c r="O225" s="210"/>
      <c r="P225" s="210"/>
      <c r="Q225" s="210"/>
      <c r="R225" s="213"/>
      <c r="T225" s="164"/>
      <c r="U225" s="160"/>
      <c r="V225" s="160"/>
      <c r="W225" s="160"/>
      <c r="X225" s="160"/>
      <c r="Y225" s="160"/>
      <c r="Z225" s="160"/>
      <c r="AA225" s="165"/>
      <c r="AT225" s="166" t="s">
        <v>179</v>
      </c>
      <c r="AU225" s="166" t="s">
        <v>135</v>
      </c>
      <c r="AV225" s="11" t="s">
        <v>135</v>
      </c>
      <c r="AW225" s="11" t="s">
        <v>35</v>
      </c>
      <c r="AX225" s="11" t="s">
        <v>78</v>
      </c>
      <c r="AY225" s="166" t="s">
        <v>167</v>
      </c>
    </row>
    <row r="226" spans="2:51" s="11" customFormat="1" ht="22.5" customHeight="1">
      <c r="B226" s="159"/>
      <c r="C226" s="210"/>
      <c r="D226" s="210"/>
      <c r="E226" s="211" t="s">
        <v>5</v>
      </c>
      <c r="F226" s="321" t="s">
        <v>1757</v>
      </c>
      <c r="G226" s="322"/>
      <c r="H226" s="322"/>
      <c r="I226" s="322"/>
      <c r="J226" s="210"/>
      <c r="K226" s="212">
        <v>3.552</v>
      </c>
      <c r="L226" s="210"/>
      <c r="M226" s="210"/>
      <c r="N226" s="210"/>
      <c r="O226" s="210"/>
      <c r="P226" s="210"/>
      <c r="Q226" s="210"/>
      <c r="R226" s="213"/>
      <c r="T226" s="164"/>
      <c r="U226" s="160"/>
      <c r="V226" s="160"/>
      <c r="W226" s="160"/>
      <c r="X226" s="160"/>
      <c r="Y226" s="160"/>
      <c r="Z226" s="160"/>
      <c r="AA226" s="165"/>
      <c r="AT226" s="166" t="s">
        <v>179</v>
      </c>
      <c r="AU226" s="166" t="s">
        <v>135</v>
      </c>
      <c r="AV226" s="11" t="s">
        <v>135</v>
      </c>
      <c r="AW226" s="11" t="s">
        <v>35</v>
      </c>
      <c r="AX226" s="11" t="s">
        <v>78</v>
      </c>
      <c r="AY226" s="166" t="s">
        <v>167</v>
      </c>
    </row>
    <row r="227" spans="2:51" s="11" customFormat="1" ht="22.5" customHeight="1">
      <c r="B227" s="159"/>
      <c r="C227" s="210"/>
      <c r="D227" s="210"/>
      <c r="E227" s="211" t="s">
        <v>5</v>
      </c>
      <c r="F227" s="321" t="s">
        <v>1764</v>
      </c>
      <c r="G227" s="322"/>
      <c r="H227" s="322"/>
      <c r="I227" s="322"/>
      <c r="J227" s="210"/>
      <c r="K227" s="212">
        <v>3.36</v>
      </c>
      <c r="L227" s="210"/>
      <c r="M227" s="210"/>
      <c r="N227" s="210"/>
      <c r="O227" s="210"/>
      <c r="P227" s="210"/>
      <c r="Q227" s="210"/>
      <c r="R227" s="213"/>
      <c r="T227" s="164"/>
      <c r="U227" s="160"/>
      <c r="V227" s="160"/>
      <c r="W227" s="160"/>
      <c r="X227" s="160"/>
      <c r="Y227" s="160"/>
      <c r="Z227" s="160"/>
      <c r="AA227" s="165"/>
      <c r="AT227" s="166" t="s">
        <v>179</v>
      </c>
      <c r="AU227" s="166" t="s">
        <v>135</v>
      </c>
      <c r="AV227" s="11" t="s">
        <v>135</v>
      </c>
      <c r="AW227" s="11" t="s">
        <v>35</v>
      </c>
      <c r="AX227" s="11" t="s">
        <v>78</v>
      </c>
      <c r="AY227" s="166" t="s">
        <v>167</v>
      </c>
    </row>
    <row r="228" spans="2:51" s="11" customFormat="1" ht="22.5" customHeight="1">
      <c r="B228" s="159"/>
      <c r="C228" s="210"/>
      <c r="D228" s="210"/>
      <c r="E228" s="211" t="s">
        <v>5</v>
      </c>
      <c r="F228" s="321" t="s">
        <v>1765</v>
      </c>
      <c r="G228" s="322"/>
      <c r="H228" s="322"/>
      <c r="I228" s="322"/>
      <c r="J228" s="210"/>
      <c r="K228" s="212">
        <v>2.4</v>
      </c>
      <c r="L228" s="210"/>
      <c r="M228" s="210"/>
      <c r="N228" s="210"/>
      <c r="O228" s="210"/>
      <c r="P228" s="210"/>
      <c r="Q228" s="210"/>
      <c r="R228" s="213"/>
      <c r="T228" s="164"/>
      <c r="U228" s="160"/>
      <c r="V228" s="160"/>
      <c r="W228" s="160"/>
      <c r="X228" s="160"/>
      <c r="Y228" s="160"/>
      <c r="Z228" s="160"/>
      <c r="AA228" s="165"/>
      <c r="AT228" s="166" t="s">
        <v>179</v>
      </c>
      <c r="AU228" s="166" t="s">
        <v>135</v>
      </c>
      <c r="AV228" s="11" t="s">
        <v>135</v>
      </c>
      <c r="AW228" s="11" t="s">
        <v>35</v>
      </c>
      <c r="AX228" s="11" t="s">
        <v>78</v>
      </c>
      <c r="AY228" s="166" t="s">
        <v>167</v>
      </c>
    </row>
    <row r="229" spans="2:51" s="11" customFormat="1" ht="22.5" customHeight="1">
      <c r="B229" s="159"/>
      <c r="C229" s="210"/>
      <c r="D229" s="210"/>
      <c r="E229" s="211" t="s">
        <v>5</v>
      </c>
      <c r="F229" s="321" t="s">
        <v>1344</v>
      </c>
      <c r="G229" s="322"/>
      <c r="H229" s="322"/>
      <c r="I229" s="322"/>
      <c r="J229" s="210"/>
      <c r="K229" s="212">
        <v>1.92</v>
      </c>
      <c r="L229" s="210"/>
      <c r="M229" s="210"/>
      <c r="N229" s="210"/>
      <c r="O229" s="210"/>
      <c r="P229" s="210"/>
      <c r="Q229" s="210"/>
      <c r="R229" s="213"/>
      <c r="T229" s="164"/>
      <c r="U229" s="160"/>
      <c r="V229" s="160"/>
      <c r="W229" s="160"/>
      <c r="X229" s="160"/>
      <c r="Y229" s="160"/>
      <c r="Z229" s="160"/>
      <c r="AA229" s="165"/>
      <c r="AT229" s="166" t="s">
        <v>179</v>
      </c>
      <c r="AU229" s="166" t="s">
        <v>135</v>
      </c>
      <c r="AV229" s="11" t="s">
        <v>135</v>
      </c>
      <c r="AW229" s="11" t="s">
        <v>35</v>
      </c>
      <c r="AX229" s="11" t="s">
        <v>78</v>
      </c>
      <c r="AY229" s="166" t="s">
        <v>167</v>
      </c>
    </row>
    <row r="230" spans="2:51" s="13" customFormat="1" ht="22.5" customHeight="1">
      <c r="B230" s="186"/>
      <c r="C230" s="214"/>
      <c r="D230" s="214"/>
      <c r="E230" s="215" t="s">
        <v>5</v>
      </c>
      <c r="F230" s="323" t="s">
        <v>1278</v>
      </c>
      <c r="G230" s="324"/>
      <c r="H230" s="324"/>
      <c r="I230" s="324"/>
      <c r="J230" s="214"/>
      <c r="K230" s="216">
        <v>57.408</v>
      </c>
      <c r="L230" s="214"/>
      <c r="M230" s="214"/>
      <c r="N230" s="214"/>
      <c r="O230" s="214"/>
      <c r="P230" s="214"/>
      <c r="Q230" s="214"/>
      <c r="R230" s="217"/>
      <c r="T230" s="191"/>
      <c r="U230" s="187"/>
      <c r="V230" s="187"/>
      <c r="W230" s="187"/>
      <c r="X230" s="187"/>
      <c r="Y230" s="187"/>
      <c r="Z230" s="187"/>
      <c r="AA230" s="192"/>
      <c r="AT230" s="193" t="s">
        <v>179</v>
      </c>
      <c r="AU230" s="193" t="s">
        <v>135</v>
      </c>
      <c r="AV230" s="13" t="s">
        <v>184</v>
      </c>
      <c r="AW230" s="13" t="s">
        <v>35</v>
      </c>
      <c r="AX230" s="13" t="s">
        <v>78</v>
      </c>
      <c r="AY230" s="193" t="s">
        <v>167</v>
      </c>
    </row>
    <row r="231" spans="2:51" s="10" customFormat="1" ht="22.5" customHeight="1">
      <c r="B231" s="151"/>
      <c r="C231" s="206"/>
      <c r="D231" s="206"/>
      <c r="E231" s="207" t="s">
        <v>5</v>
      </c>
      <c r="F231" s="325" t="s">
        <v>1723</v>
      </c>
      <c r="G231" s="326"/>
      <c r="H231" s="326"/>
      <c r="I231" s="326"/>
      <c r="J231" s="206"/>
      <c r="K231" s="208" t="s">
        <v>5</v>
      </c>
      <c r="L231" s="206"/>
      <c r="M231" s="206"/>
      <c r="N231" s="206"/>
      <c r="O231" s="206"/>
      <c r="P231" s="206"/>
      <c r="Q231" s="206"/>
      <c r="R231" s="209"/>
      <c r="T231" s="156"/>
      <c r="U231" s="152"/>
      <c r="V231" s="152"/>
      <c r="W231" s="152"/>
      <c r="X231" s="152"/>
      <c r="Y231" s="152"/>
      <c r="Z231" s="152"/>
      <c r="AA231" s="157"/>
      <c r="AT231" s="158" t="s">
        <v>179</v>
      </c>
      <c r="AU231" s="158" t="s">
        <v>135</v>
      </c>
      <c r="AV231" s="10" t="s">
        <v>21</v>
      </c>
      <c r="AW231" s="10" t="s">
        <v>35</v>
      </c>
      <c r="AX231" s="10" t="s">
        <v>78</v>
      </c>
      <c r="AY231" s="158" t="s">
        <v>167</v>
      </c>
    </row>
    <row r="232" spans="2:51" s="11" customFormat="1" ht="22.5" customHeight="1">
      <c r="B232" s="159"/>
      <c r="C232" s="210"/>
      <c r="D232" s="210"/>
      <c r="E232" s="211" t="s">
        <v>5</v>
      </c>
      <c r="F232" s="321" t="s">
        <v>1766</v>
      </c>
      <c r="G232" s="322"/>
      <c r="H232" s="322"/>
      <c r="I232" s="322"/>
      <c r="J232" s="210"/>
      <c r="K232" s="212">
        <v>6.336</v>
      </c>
      <c r="L232" s="210"/>
      <c r="M232" s="210"/>
      <c r="N232" s="210"/>
      <c r="O232" s="210"/>
      <c r="P232" s="210"/>
      <c r="Q232" s="210"/>
      <c r="R232" s="213"/>
      <c r="T232" s="164"/>
      <c r="U232" s="160"/>
      <c r="V232" s="160"/>
      <c r="W232" s="160"/>
      <c r="X232" s="160"/>
      <c r="Y232" s="160"/>
      <c r="Z232" s="160"/>
      <c r="AA232" s="165"/>
      <c r="AT232" s="166" t="s">
        <v>179</v>
      </c>
      <c r="AU232" s="166" t="s">
        <v>135</v>
      </c>
      <c r="AV232" s="11" t="s">
        <v>135</v>
      </c>
      <c r="AW232" s="11" t="s">
        <v>35</v>
      </c>
      <c r="AX232" s="11" t="s">
        <v>78</v>
      </c>
      <c r="AY232" s="166" t="s">
        <v>167</v>
      </c>
    </row>
    <row r="233" spans="2:51" s="13" customFormat="1" ht="22.5" customHeight="1">
      <c r="B233" s="186"/>
      <c r="C233" s="214"/>
      <c r="D233" s="214"/>
      <c r="E233" s="215" t="s">
        <v>5</v>
      </c>
      <c r="F233" s="323" t="s">
        <v>1278</v>
      </c>
      <c r="G233" s="324"/>
      <c r="H233" s="324"/>
      <c r="I233" s="324"/>
      <c r="J233" s="214"/>
      <c r="K233" s="216">
        <v>6.336</v>
      </c>
      <c r="L233" s="214"/>
      <c r="M233" s="214"/>
      <c r="N233" s="214"/>
      <c r="O233" s="214"/>
      <c r="P233" s="214"/>
      <c r="Q233" s="214"/>
      <c r="R233" s="217"/>
      <c r="T233" s="191"/>
      <c r="U233" s="187"/>
      <c r="V233" s="187"/>
      <c r="W233" s="187"/>
      <c r="X233" s="187"/>
      <c r="Y233" s="187"/>
      <c r="Z233" s="187"/>
      <c r="AA233" s="192"/>
      <c r="AT233" s="193" t="s">
        <v>179</v>
      </c>
      <c r="AU233" s="193" t="s">
        <v>135</v>
      </c>
      <c r="AV233" s="13" t="s">
        <v>184</v>
      </c>
      <c r="AW233" s="13" t="s">
        <v>35</v>
      </c>
      <c r="AX233" s="13" t="s">
        <v>78</v>
      </c>
      <c r="AY233" s="193" t="s">
        <v>167</v>
      </c>
    </row>
    <row r="234" spans="2:51" s="10" customFormat="1" ht="22.5" customHeight="1">
      <c r="B234" s="151"/>
      <c r="C234" s="206"/>
      <c r="D234" s="206"/>
      <c r="E234" s="207" t="s">
        <v>5</v>
      </c>
      <c r="F234" s="325" t="s">
        <v>1725</v>
      </c>
      <c r="G234" s="326"/>
      <c r="H234" s="326"/>
      <c r="I234" s="326"/>
      <c r="J234" s="206"/>
      <c r="K234" s="208" t="s">
        <v>5</v>
      </c>
      <c r="L234" s="206"/>
      <c r="M234" s="206"/>
      <c r="N234" s="206"/>
      <c r="O234" s="206"/>
      <c r="P234" s="206"/>
      <c r="Q234" s="206"/>
      <c r="R234" s="209"/>
      <c r="T234" s="156"/>
      <c r="U234" s="152"/>
      <c r="V234" s="152"/>
      <c r="W234" s="152"/>
      <c r="X234" s="152"/>
      <c r="Y234" s="152"/>
      <c r="Z234" s="152"/>
      <c r="AA234" s="157"/>
      <c r="AT234" s="158" t="s">
        <v>179</v>
      </c>
      <c r="AU234" s="158" t="s">
        <v>135</v>
      </c>
      <c r="AV234" s="10" t="s">
        <v>21</v>
      </c>
      <c r="AW234" s="10" t="s">
        <v>35</v>
      </c>
      <c r="AX234" s="10" t="s">
        <v>78</v>
      </c>
      <c r="AY234" s="158" t="s">
        <v>167</v>
      </c>
    </row>
    <row r="235" spans="2:51" s="11" customFormat="1" ht="22.5" customHeight="1">
      <c r="B235" s="159"/>
      <c r="C235" s="210"/>
      <c r="D235" s="210"/>
      <c r="E235" s="211" t="s">
        <v>5</v>
      </c>
      <c r="F235" s="321" t="s">
        <v>1767</v>
      </c>
      <c r="G235" s="322"/>
      <c r="H235" s="322"/>
      <c r="I235" s="322"/>
      <c r="J235" s="210"/>
      <c r="K235" s="212">
        <v>5.472</v>
      </c>
      <c r="L235" s="210"/>
      <c r="M235" s="210"/>
      <c r="N235" s="210"/>
      <c r="O235" s="210"/>
      <c r="P235" s="210"/>
      <c r="Q235" s="210"/>
      <c r="R235" s="213"/>
      <c r="T235" s="164"/>
      <c r="U235" s="160"/>
      <c r="V235" s="160"/>
      <c r="W235" s="160"/>
      <c r="X235" s="160"/>
      <c r="Y235" s="160"/>
      <c r="Z235" s="160"/>
      <c r="AA235" s="165"/>
      <c r="AT235" s="166" t="s">
        <v>179</v>
      </c>
      <c r="AU235" s="166" t="s">
        <v>135</v>
      </c>
      <c r="AV235" s="11" t="s">
        <v>135</v>
      </c>
      <c r="AW235" s="11" t="s">
        <v>35</v>
      </c>
      <c r="AX235" s="11" t="s">
        <v>78</v>
      </c>
      <c r="AY235" s="166" t="s">
        <v>167</v>
      </c>
    </row>
    <row r="236" spans="2:51" s="11" customFormat="1" ht="22.5" customHeight="1">
      <c r="B236" s="159"/>
      <c r="C236" s="210"/>
      <c r="D236" s="210"/>
      <c r="E236" s="211" t="s">
        <v>5</v>
      </c>
      <c r="F236" s="321" t="s">
        <v>1768</v>
      </c>
      <c r="G236" s="322"/>
      <c r="H236" s="322"/>
      <c r="I236" s="322"/>
      <c r="J236" s="210"/>
      <c r="K236" s="212">
        <v>4.224</v>
      </c>
      <c r="L236" s="210"/>
      <c r="M236" s="210"/>
      <c r="N236" s="210"/>
      <c r="O236" s="210"/>
      <c r="P236" s="210"/>
      <c r="Q236" s="210"/>
      <c r="R236" s="213"/>
      <c r="T236" s="164"/>
      <c r="U236" s="160"/>
      <c r="V236" s="160"/>
      <c r="W236" s="160"/>
      <c r="X236" s="160"/>
      <c r="Y236" s="160"/>
      <c r="Z236" s="160"/>
      <c r="AA236" s="165"/>
      <c r="AT236" s="166" t="s">
        <v>179</v>
      </c>
      <c r="AU236" s="166" t="s">
        <v>135</v>
      </c>
      <c r="AV236" s="11" t="s">
        <v>135</v>
      </c>
      <c r="AW236" s="11" t="s">
        <v>35</v>
      </c>
      <c r="AX236" s="11" t="s">
        <v>78</v>
      </c>
      <c r="AY236" s="166" t="s">
        <v>167</v>
      </c>
    </row>
    <row r="237" spans="2:51" s="11" customFormat="1" ht="22.5" customHeight="1">
      <c r="B237" s="159"/>
      <c r="C237" s="210"/>
      <c r="D237" s="210"/>
      <c r="E237" s="211" t="s">
        <v>5</v>
      </c>
      <c r="F237" s="321" t="s">
        <v>1763</v>
      </c>
      <c r="G237" s="322"/>
      <c r="H237" s="322"/>
      <c r="I237" s="322"/>
      <c r="J237" s="210"/>
      <c r="K237" s="212">
        <v>3.456</v>
      </c>
      <c r="L237" s="210"/>
      <c r="M237" s="210"/>
      <c r="N237" s="210"/>
      <c r="O237" s="210"/>
      <c r="P237" s="210"/>
      <c r="Q237" s="210"/>
      <c r="R237" s="213"/>
      <c r="T237" s="164"/>
      <c r="U237" s="160"/>
      <c r="V237" s="160"/>
      <c r="W237" s="160"/>
      <c r="X237" s="160"/>
      <c r="Y237" s="160"/>
      <c r="Z237" s="160"/>
      <c r="AA237" s="165"/>
      <c r="AT237" s="166" t="s">
        <v>179</v>
      </c>
      <c r="AU237" s="166" t="s">
        <v>135</v>
      </c>
      <c r="AV237" s="11" t="s">
        <v>135</v>
      </c>
      <c r="AW237" s="11" t="s">
        <v>35</v>
      </c>
      <c r="AX237" s="11" t="s">
        <v>78</v>
      </c>
      <c r="AY237" s="166" t="s">
        <v>167</v>
      </c>
    </row>
    <row r="238" spans="2:51" s="11" customFormat="1" ht="22.5" customHeight="1">
      <c r="B238" s="159"/>
      <c r="C238" s="210"/>
      <c r="D238" s="210"/>
      <c r="E238" s="211" t="s">
        <v>5</v>
      </c>
      <c r="F238" s="321" t="s">
        <v>1762</v>
      </c>
      <c r="G238" s="322"/>
      <c r="H238" s="322"/>
      <c r="I238" s="322"/>
      <c r="J238" s="210"/>
      <c r="K238" s="212">
        <v>3.168</v>
      </c>
      <c r="L238" s="210"/>
      <c r="M238" s="210"/>
      <c r="N238" s="210"/>
      <c r="O238" s="210"/>
      <c r="P238" s="210"/>
      <c r="Q238" s="210"/>
      <c r="R238" s="213"/>
      <c r="T238" s="164"/>
      <c r="U238" s="160"/>
      <c r="V238" s="160"/>
      <c r="W238" s="160"/>
      <c r="X238" s="160"/>
      <c r="Y238" s="160"/>
      <c r="Z238" s="160"/>
      <c r="AA238" s="165"/>
      <c r="AT238" s="166" t="s">
        <v>179</v>
      </c>
      <c r="AU238" s="166" t="s">
        <v>135</v>
      </c>
      <c r="AV238" s="11" t="s">
        <v>135</v>
      </c>
      <c r="AW238" s="11" t="s">
        <v>35</v>
      </c>
      <c r="AX238" s="11" t="s">
        <v>78</v>
      </c>
      <c r="AY238" s="166" t="s">
        <v>167</v>
      </c>
    </row>
    <row r="239" spans="2:51" s="11" customFormat="1" ht="22.5" customHeight="1">
      <c r="B239" s="159"/>
      <c r="C239" s="210"/>
      <c r="D239" s="210"/>
      <c r="E239" s="211" t="s">
        <v>5</v>
      </c>
      <c r="F239" s="321" t="s">
        <v>1337</v>
      </c>
      <c r="G239" s="322"/>
      <c r="H239" s="322"/>
      <c r="I239" s="322"/>
      <c r="J239" s="210"/>
      <c r="K239" s="212">
        <v>2.88</v>
      </c>
      <c r="L239" s="210"/>
      <c r="M239" s="210"/>
      <c r="N239" s="210"/>
      <c r="O239" s="210"/>
      <c r="P239" s="210"/>
      <c r="Q239" s="210"/>
      <c r="R239" s="213"/>
      <c r="T239" s="164"/>
      <c r="U239" s="160"/>
      <c r="V239" s="160"/>
      <c r="W239" s="160"/>
      <c r="X239" s="160"/>
      <c r="Y239" s="160"/>
      <c r="Z239" s="160"/>
      <c r="AA239" s="165"/>
      <c r="AT239" s="166" t="s">
        <v>179</v>
      </c>
      <c r="AU239" s="166" t="s">
        <v>135</v>
      </c>
      <c r="AV239" s="11" t="s">
        <v>135</v>
      </c>
      <c r="AW239" s="11" t="s">
        <v>35</v>
      </c>
      <c r="AX239" s="11" t="s">
        <v>78</v>
      </c>
      <c r="AY239" s="166" t="s">
        <v>167</v>
      </c>
    </row>
    <row r="240" spans="2:51" s="11" customFormat="1" ht="22.5" customHeight="1">
      <c r="B240" s="159"/>
      <c r="C240" s="210"/>
      <c r="D240" s="210"/>
      <c r="E240" s="211" t="s">
        <v>5</v>
      </c>
      <c r="F240" s="321" t="s">
        <v>1769</v>
      </c>
      <c r="G240" s="322"/>
      <c r="H240" s="322"/>
      <c r="I240" s="322"/>
      <c r="J240" s="210"/>
      <c r="K240" s="212">
        <v>2.592</v>
      </c>
      <c r="L240" s="210"/>
      <c r="M240" s="210"/>
      <c r="N240" s="210"/>
      <c r="O240" s="210"/>
      <c r="P240" s="210"/>
      <c r="Q240" s="210"/>
      <c r="R240" s="213"/>
      <c r="T240" s="164"/>
      <c r="U240" s="160"/>
      <c r="V240" s="160"/>
      <c r="W240" s="160"/>
      <c r="X240" s="160"/>
      <c r="Y240" s="160"/>
      <c r="Z240" s="160"/>
      <c r="AA240" s="165"/>
      <c r="AT240" s="166" t="s">
        <v>179</v>
      </c>
      <c r="AU240" s="166" t="s">
        <v>135</v>
      </c>
      <c r="AV240" s="11" t="s">
        <v>135</v>
      </c>
      <c r="AW240" s="11" t="s">
        <v>35</v>
      </c>
      <c r="AX240" s="11" t="s">
        <v>78</v>
      </c>
      <c r="AY240" s="166" t="s">
        <v>167</v>
      </c>
    </row>
    <row r="241" spans="2:51" s="11" customFormat="1" ht="22.5" customHeight="1">
      <c r="B241" s="159"/>
      <c r="C241" s="210"/>
      <c r="D241" s="210"/>
      <c r="E241" s="211" t="s">
        <v>5</v>
      </c>
      <c r="F241" s="321" t="s">
        <v>1765</v>
      </c>
      <c r="G241" s="322"/>
      <c r="H241" s="322"/>
      <c r="I241" s="322"/>
      <c r="J241" s="210"/>
      <c r="K241" s="212">
        <v>2.4</v>
      </c>
      <c r="L241" s="210"/>
      <c r="M241" s="210"/>
      <c r="N241" s="210"/>
      <c r="O241" s="210"/>
      <c r="P241" s="210"/>
      <c r="Q241" s="210"/>
      <c r="R241" s="213"/>
      <c r="T241" s="164"/>
      <c r="U241" s="160"/>
      <c r="V241" s="160"/>
      <c r="W241" s="160"/>
      <c r="X241" s="160"/>
      <c r="Y241" s="160"/>
      <c r="Z241" s="160"/>
      <c r="AA241" s="165"/>
      <c r="AT241" s="166" t="s">
        <v>179</v>
      </c>
      <c r="AU241" s="166" t="s">
        <v>135</v>
      </c>
      <c r="AV241" s="11" t="s">
        <v>135</v>
      </c>
      <c r="AW241" s="11" t="s">
        <v>35</v>
      </c>
      <c r="AX241" s="11" t="s">
        <v>78</v>
      </c>
      <c r="AY241" s="166" t="s">
        <v>167</v>
      </c>
    </row>
    <row r="242" spans="2:51" s="11" customFormat="1" ht="22.5" customHeight="1">
      <c r="B242" s="159"/>
      <c r="C242" s="210"/>
      <c r="D242" s="210"/>
      <c r="E242" s="211" t="s">
        <v>5</v>
      </c>
      <c r="F242" s="321" t="s">
        <v>1769</v>
      </c>
      <c r="G242" s="322"/>
      <c r="H242" s="322"/>
      <c r="I242" s="322"/>
      <c r="J242" s="210"/>
      <c r="K242" s="212">
        <v>2.592</v>
      </c>
      <c r="L242" s="210"/>
      <c r="M242" s="210"/>
      <c r="N242" s="210"/>
      <c r="O242" s="210"/>
      <c r="P242" s="210"/>
      <c r="Q242" s="210"/>
      <c r="R242" s="213"/>
      <c r="T242" s="164"/>
      <c r="U242" s="160"/>
      <c r="V242" s="160"/>
      <c r="W242" s="160"/>
      <c r="X242" s="160"/>
      <c r="Y242" s="160"/>
      <c r="Z242" s="160"/>
      <c r="AA242" s="165"/>
      <c r="AT242" s="166" t="s">
        <v>179</v>
      </c>
      <c r="AU242" s="166" t="s">
        <v>135</v>
      </c>
      <c r="AV242" s="11" t="s">
        <v>135</v>
      </c>
      <c r="AW242" s="11" t="s">
        <v>35</v>
      </c>
      <c r="AX242" s="11" t="s">
        <v>78</v>
      </c>
      <c r="AY242" s="166" t="s">
        <v>167</v>
      </c>
    </row>
    <row r="243" spans="2:51" s="11" customFormat="1" ht="22.5" customHeight="1">
      <c r="B243" s="159"/>
      <c r="C243" s="210"/>
      <c r="D243" s="210"/>
      <c r="E243" s="211" t="s">
        <v>5</v>
      </c>
      <c r="F243" s="321" t="s">
        <v>1761</v>
      </c>
      <c r="G243" s="322"/>
      <c r="H243" s="322"/>
      <c r="I243" s="322"/>
      <c r="J243" s="210"/>
      <c r="K243" s="212">
        <v>2.976</v>
      </c>
      <c r="L243" s="210"/>
      <c r="M243" s="210"/>
      <c r="N243" s="210"/>
      <c r="O243" s="210"/>
      <c r="P243" s="210"/>
      <c r="Q243" s="210"/>
      <c r="R243" s="213"/>
      <c r="T243" s="164"/>
      <c r="U243" s="160"/>
      <c r="V243" s="160"/>
      <c r="W243" s="160"/>
      <c r="X243" s="160"/>
      <c r="Y243" s="160"/>
      <c r="Z243" s="160"/>
      <c r="AA243" s="165"/>
      <c r="AT243" s="166" t="s">
        <v>179</v>
      </c>
      <c r="AU243" s="166" t="s">
        <v>135</v>
      </c>
      <c r="AV243" s="11" t="s">
        <v>135</v>
      </c>
      <c r="AW243" s="11" t="s">
        <v>35</v>
      </c>
      <c r="AX243" s="11" t="s">
        <v>78</v>
      </c>
      <c r="AY243" s="166" t="s">
        <v>167</v>
      </c>
    </row>
    <row r="244" spans="2:51" s="11" customFormat="1" ht="22.5" customHeight="1">
      <c r="B244" s="159"/>
      <c r="C244" s="210"/>
      <c r="D244" s="210"/>
      <c r="E244" s="211" t="s">
        <v>5</v>
      </c>
      <c r="F244" s="321" t="s">
        <v>1332</v>
      </c>
      <c r="G244" s="322"/>
      <c r="H244" s="322"/>
      <c r="I244" s="322"/>
      <c r="J244" s="210"/>
      <c r="K244" s="212">
        <v>2.496</v>
      </c>
      <c r="L244" s="210"/>
      <c r="M244" s="210"/>
      <c r="N244" s="210"/>
      <c r="O244" s="210"/>
      <c r="P244" s="210"/>
      <c r="Q244" s="210"/>
      <c r="R244" s="213"/>
      <c r="T244" s="164"/>
      <c r="U244" s="160"/>
      <c r="V244" s="160"/>
      <c r="W244" s="160"/>
      <c r="X244" s="160"/>
      <c r="Y244" s="160"/>
      <c r="Z244" s="160"/>
      <c r="AA244" s="165"/>
      <c r="AT244" s="166" t="s">
        <v>179</v>
      </c>
      <c r="AU244" s="166" t="s">
        <v>135</v>
      </c>
      <c r="AV244" s="11" t="s">
        <v>135</v>
      </c>
      <c r="AW244" s="11" t="s">
        <v>35</v>
      </c>
      <c r="AX244" s="11" t="s">
        <v>78</v>
      </c>
      <c r="AY244" s="166" t="s">
        <v>167</v>
      </c>
    </row>
    <row r="245" spans="2:51" s="11" customFormat="1" ht="22.5" customHeight="1">
      <c r="B245" s="159"/>
      <c r="C245" s="210"/>
      <c r="D245" s="210"/>
      <c r="E245" s="211" t="s">
        <v>5</v>
      </c>
      <c r="F245" s="321" t="s">
        <v>1348</v>
      </c>
      <c r="G245" s="322"/>
      <c r="H245" s="322"/>
      <c r="I245" s="322"/>
      <c r="J245" s="210"/>
      <c r="K245" s="212">
        <v>2.304</v>
      </c>
      <c r="L245" s="210"/>
      <c r="M245" s="210"/>
      <c r="N245" s="210"/>
      <c r="O245" s="210"/>
      <c r="P245" s="210"/>
      <c r="Q245" s="210"/>
      <c r="R245" s="213"/>
      <c r="T245" s="164"/>
      <c r="U245" s="160"/>
      <c r="V245" s="160"/>
      <c r="W245" s="160"/>
      <c r="X245" s="160"/>
      <c r="Y245" s="160"/>
      <c r="Z245" s="160"/>
      <c r="AA245" s="165"/>
      <c r="AT245" s="166" t="s">
        <v>179</v>
      </c>
      <c r="AU245" s="166" t="s">
        <v>135</v>
      </c>
      <c r="AV245" s="11" t="s">
        <v>135</v>
      </c>
      <c r="AW245" s="11" t="s">
        <v>35</v>
      </c>
      <c r="AX245" s="11" t="s">
        <v>78</v>
      </c>
      <c r="AY245" s="166" t="s">
        <v>167</v>
      </c>
    </row>
    <row r="246" spans="2:51" s="11" customFormat="1" ht="22.5" customHeight="1">
      <c r="B246" s="159"/>
      <c r="C246" s="210"/>
      <c r="D246" s="210"/>
      <c r="E246" s="211" t="s">
        <v>5</v>
      </c>
      <c r="F246" s="321" t="s">
        <v>1332</v>
      </c>
      <c r="G246" s="322"/>
      <c r="H246" s="322"/>
      <c r="I246" s="322"/>
      <c r="J246" s="210"/>
      <c r="K246" s="212">
        <v>2.496</v>
      </c>
      <c r="L246" s="210"/>
      <c r="M246" s="210"/>
      <c r="N246" s="210"/>
      <c r="O246" s="210"/>
      <c r="P246" s="210"/>
      <c r="Q246" s="210"/>
      <c r="R246" s="213"/>
      <c r="T246" s="164"/>
      <c r="U246" s="160"/>
      <c r="V246" s="160"/>
      <c r="W246" s="160"/>
      <c r="X246" s="160"/>
      <c r="Y246" s="160"/>
      <c r="Z246" s="160"/>
      <c r="AA246" s="165"/>
      <c r="AT246" s="166" t="s">
        <v>179</v>
      </c>
      <c r="AU246" s="166" t="s">
        <v>135</v>
      </c>
      <c r="AV246" s="11" t="s">
        <v>135</v>
      </c>
      <c r="AW246" s="11" t="s">
        <v>35</v>
      </c>
      <c r="AX246" s="11" t="s">
        <v>78</v>
      </c>
      <c r="AY246" s="166" t="s">
        <v>167</v>
      </c>
    </row>
    <row r="247" spans="2:51" s="11" customFormat="1" ht="22.5" customHeight="1">
      <c r="B247" s="159"/>
      <c r="C247" s="210"/>
      <c r="D247" s="210"/>
      <c r="E247" s="211" t="s">
        <v>5</v>
      </c>
      <c r="F247" s="321" t="s">
        <v>1765</v>
      </c>
      <c r="G247" s="322"/>
      <c r="H247" s="322"/>
      <c r="I247" s="322"/>
      <c r="J247" s="210"/>
      <c r="K247" s="212">
        <v>2.4</v>
      </c>
      <c r="L247" s="210"/>
      <c r="M247" s="210"/>
      <c r="N247" s="210"/>
      <c r="O247" s="210"/>
      <c r="P247" s="210"/>
      <c r="Q247" s="210"/>
      <c r="R247" s="213"/>
      <c r="T247" s="164"/>
      <c r="U247" s="160"/>
      <c r="V247" s="160"/>
      <c r="W247" s="160"/>
      <c r="X247" s="160"/>
      <c r="Y247" s="160"/>
      <c r="Z247" s="160"/>
      <c r="AA247" s="165"/>
      <c r="AT247" s="166" t="s">
        <v>179</v>
      </c>
      <c r="AU247" s="166" t="s">
        <v>135</v>
      </c>
      <c r="AV247" s="11" t="s">
        <v>135</v>
      </c>
      <c r="AW247" s="11" t="s">
        <v>35</v>
      </c>
      <c r="AX247" s="11" t="s">
        <v>78</v>
      </c>
      <c r="AY247" s="166" t="s">
        <v>167</v>
      </c>
    </row>
    <row r="248" spans="2:51" s="11" customFormat="1" ht="22.5" customHeight="1">
      <c r="B248" s="159"/>
      <c r="C248" s="210"/>
      <c r="D248" s="210"/>
      <c r="E248" s="211" t="s">
        <v>5</v>
      </c>
      <c r="F248" s="321" t="s">
        <v>1348</v>
      </c>
      <c r="G248" s="322"/>
      <c r="H248" s="322"/>
      <c r="I248" s="322"/>
      <c r="J248" s="210"/>
      <c r="K248" s="212">
        <v>2.304</v>
      </c>
      <c r="L248" s="210"/>
      <c r="M248" s="210"/>
      <c r="N248" s="210"/>
      <c r="O248" s="210"/>
      <c r="P248" s="210"/>
      <c r="Q248" s="210"/>
      <c r="R248" s="213"/>
      <c r="T248" s="164"/>
      <c r="U248" s="160"/>
      <c r="V248" s="160"/>
      <c r="W248" s="160"/>
      <c r="X248" s="160"/>
      <c r="Y248" s="160"/>
      <c r="Z248" s="160"/>
      <c r="AA248" s="165"/>
      <c r="AT248" s="166" t="s">
        <v>179</v>
      </c>
      <c r="AU248" s="166" t="s">
        <v>135</v>
      </c>
      <c r="AV248" s="11" t="s">
        <v>135</v>
      </c>
      <c r="AW248" s="11" t="s">
        <v>35</v>
      </c>
      <c r="AX248" s="11" t="s">
        <v>78</v>
      </c>
      <c r="AY248" s="166" t="s">
        <v>167</v>
      </c>
    </row>
    <row r="249" spans="2:51" s="11" customFormat="1" ht="22.5" customHeight="1">
      <c r="B249" s="159"/>
      <c r="C249" s="210"/>
      <c r="D249" s="210"/>
      <c r="E249" s="211" t="s">
        <v>5</v>
      </c>
      <c r="F249" s="321" t="s">
        <v>1333</v>
      </c>
      <c r="G249" s="322"/>
      <c r="H249" s="322"/>
      <c r="I249" s="322"/>
      <c r="J249" s="210"/>
      <c r="K249" s="212">
        <v>2.112</v>
      </c>
      <c r="L249" s="210"/>
      <c r="M249" s="210"/>
      <c r="N249" s="210"/>
      <c r="O249" s="210"/>
      <c r="P249" s="210"/>
      <c r="Q249" s="210"/>
      <c r="R249" s="213"/>
      <c r="T249" s="164"/>
      <c r="U249" s="160"/>
      <c r="V249" s="160"/>
      <c r="W249" s="160"/>
      <c r="X249" s="160"/>
      <c r="Y249" s="160"/>
      <c r="Z249" s="160"/>
      <c r="AA249" s="165"/>
      <c r="AT249" s="166" t="s">
        <v>179</v>
      </c>
      <c r="AU249" s="166" t="s">
        <v>135</v>
      </c>
      <c r="AV249" s="11" t="s">
        <v>135</v>
      </c>
      <c r="AW249" s="11" t="s">
        <v>35</v>
      </c>
      <c r="AX249" s="11" t="s">
        <v>78</v>
      </c>
      <c r="AY249" s="166" t="s">
        <v>167</v>
      </c>
    </row>
    <row r="250" spans="2:51" s="11" customFormat="1" ht="22.5" customHeight="1">
      <c r="B250" s="159"/>
      <c r="C250" s="210"/>
      <c r="D250" s="210"/>
      <c r="E250" s="211" t="s">
        <v>5</v>
      </c>
      <c r="F250" s="321" t="s">
        <v>1758</v>
      </c>
      <c r="G250" s="322"/>
      <c r="H250" s="322"/>
      <c r="I250" s="322"/>
      <c r="J250" s="210"/>
      <c r="K250" s="212">
        <v>2.784</v>
      </c>
      <c r="L250" s="210"/>
      <c r="M250" s="210"/>
      <c r="N250" s="210"/>
      <c r="O250" s="210"/>
      <c r="P250" s="210"/>
      <c r="Q250" s="210"/>
      <c r="R250" s="213"/>
      <c r="T250" s="164"/>
      <c r="U250" s="160"/>
      <c r="V250" s="160"/>
      <c r="W250" s="160"/>
      <c r="X250" s="160"/>
      <c r="Y250" s="160"/>
      <c r="Z250" s="160"/>
      <c r="AA250" s="165"/>
      <c r="AT250" s="166" t="s">
        <v>179</v>
      </c>
      <c r="AU250" s="166" t="s">
        <v>135</v>
      </c>
      <c r="AV250" s="11" t="s">
        <v>135</v>
      </c>
      <c r="AW250" s="11" t="s">
        <v>35</v>
      </c>
      <c r="AX250" s="11" t="s">
        <v>78</v>
      </c>
      <c r="AY250" s="166" t="s">
        <v>167</v>
      </c>
    </row>
    <row r="251" spans="2:51" s="11" customFormat="1" ht="22.5" customHeight="1">
      <c r="B251" s="159"/>
      <c r="C251" s="210"/>
      <c r="D251" s="210"/>
      <c r="E251" s="211" t="s">
        <v>5</v>
      </c>
      <c r="F251" s="321" t="s">
        <v>1336</v>
      </c>
      <c r="G251" s="322"/>
      <c r="H251" s="322"/>
      <c r="I251" s="322"/>
      <c r="J251" s="210"/>
      <c r="K251" s="212">
        <v>3.264</v>
      </c>
      <c r="L251" s="210"/>
      <c r="M251" s="210"/>
      <c r="N251" s="210"/>
      <c r="O251" s="210"/>
      <c r="P251" s="210"/>
      <c r="Q251" s="210"/>
      <c r="R251" s="213"/>
      <c r="T251" s="164"/>
      <c r="U251" s="160"/>
      <c r="V251" s="160"/>
      <c r="W251" s="160"/>
      <c r="X251" s="160"/>
      <c r="Y251" s="160"/>
      <c r="Z251" s="160"/>
      <c r="AA251" s="165"/>
      <c r="AT251" s="166" t="s">
        <v>179</v>
      </c>
      <c r="AU251" s="166" t="s">
        <v>135</v>
      </c>
      <c r="AV251" s="11" t="s">
        <v>135</v>
      </c>
      <c r="AW251" s="11" t="s">
        <v>35</v>
      </c>
      <c r="AX251" s="11" t="s">
        <v>78</v>
      </c>
      <c r="AY251" s="166" t="s">
        <v>167</v>
      </c>
    </row>
    <row r="252" spans="2:51" s="11" customFormat="1" ht="22.5" customHeight="1">
      <c r="B252" s="159"/>
      <c r="C252" s="210"/>
      <c r="D252" s="210"/>
      <c r="E252" s="211" t="s">
        <v>5</v>
      </c>
      <c r="F252" s="321" t="s">
        <v>1348</v>
      </c>
      <c r="G252" s="322"/>
      <c r="H252" s="322"/>
      <c r="I252" s="322"/>
      <c r="J252" s="210"/>
      <c r="K252" s="212">
        <v>2.304</v>
      </c>
      <c r="L252" s="210"/>
      <c r="M252" s="210"/>
      <c r="N252" s="210"/>
      <c r="O252" s="210"/>
      <c r="P252" s="210"/>
      <c r="Q252" s="210"/>
      <c r="R252" s="213"/>
      <c r="T252" s="164"/>
      <c r="U252" s="160"/>
      <c r="V252" s="160"/>
      <c r="W252" s="160"/>
      <c r="X252" s="160"/>
      <c r="Y252" s="160"/>
      <c r="Z252" s="160"/>
      <c r="AA252" s="165"/>
      <c r="AT252" s="166" t="s">
        <v>179</v>
      </c>
      <c r="AU252" s="166" t="s">
        <v>135</v>
      </c>
      <c r="AV252" s="11" t="s">
        <v>135</v>
      </c>
      <c r="AW252" s="11" t="s">
        <v>35</v>
      </c>
      <c r="AX252" s="11" t="s">
        <v>78</v>
      </c>
      <c r="AY252" s="166" t="s">
        <v>167</v>
      </c>
    </row>
    <row r="253" spans="2:51" s="11" customFormat="1" ht="22.5" customHeight="1">
      <c r="B253" s="159"/>
      <c r="C253" s="210"/>
      <c r="D253" s="210"/>
      <c r="E253" s="211" t="s">
        <v>5</v>
      </c>
      <c r="F253" s="321" t="s">
        <v>1770</v>
      </c>
      <c r="G253" s="322"/>
      <c r="H253" s="322"/>
      <c r="I253" s="322"/>
      <c r="J253" s="210"/>
      <c r="K253" s="212">
        <v>2.016</v>
      </c>
      <c r="L253" s="210"/>
      <c r="M253" s="210"/>
      <c r="N253" s="210"/>
      <c r="O253" s="210"/>
      <c r="P253" s="210"/>
      <c r="Q253" s="210"/>
      <c r="R253" s="213"/>
      <c r="T253" s="164"/>
      <c r="U253" s="160"/>
      <c r="V253" s="160"/>
      <c r="W253" s="160"/>
      <c r="X253" s="160"/>
      <c r="Y253" s="160"/>
      <c r="Z253" s="160"/>
      <c r="AA253" s="165"/>
      <c r="AT253" s="166" t="s">
        <v>179</v>
      </c>
      <c r="AU253" s="166" t="s">
        <v>135</v>
      </c>
      <c r="AV253" s="11" t="s">
        <v>135</v>
      </c>
      <c r="AW253" s="11" t="s">
        <v>35</v>
      </c>
      <c r="AX253" s="11" t="s">
        <v>78</v>
      </c>
      <c r="AY253" s="166" t="s">
        <v>167</v>
      </c>
    </row>
    <row r="254" spans="2:51" s="11" customFormat="1" ht="22.5" customHeight="1">
      <c r="B254" s="159"/>
      <c r="C254" s="210"/>
      <c r="D254" s="210"/>
      <c r="E254" s="211" t="s">
        <v>5</v>
      </c>
      <c r="F254" s="321" t="s">
        <v>1344</v>
      </c>
      <c r="G254" s="322"/>
      <c r="H254" s="322"/>
      <c r="I254" s="322"/>
      <c r="J254" s="210"/>
      <c r="K254" s="212">
        <v>1.92</v>
      </c>
      <c r="L254" s="210"/>
      <c r="M254" s="210"/>
      <c r="N254" s="210"/>
      <c r="O254" s="210"/>
      <c r="P254" s="210"/>
      <c r="Q254" s="210"/>
      <c r="R254" s="213"/>
      <c r="T254" s="164"/>
      <c r="U254" s="160"/>
      <c r="V254" s="160"/>
      <c r="W254" s="160"/>
      <c r="X254" s="160"/>
      <c r="Y254" s="160"/>
      <c r="Z254" s="160"/>
      <c r="AA254" s="165"/>
      <c r="AT254" s="166" t="s">
        <v>179</v>
      </c>
      <c r="AU254" s="166" t="s">
        <v>135</v>
      </c>
      <c r="AV254" s="11" t="s">
        <v>135</v>
      </c>
      <c r="AW254" s="11" t="s">
        <v>35</v>
      </c>
      <c r="AX254" s="11" t="s">
        <v>78</v>
      </c>
      <c r="AY254" s="166" t="s">
        <v>167</v>
      </c>
    </row>
    <row r="255" spans="2:51" s="11" customFormat="1" ht="22.5" customHeight="1">
      <c r="B255" s="159"/>
      <c r="C255" s="210"/>
      <c r="D255" s="210"/>
      <c r="E255" s="211" t="s">
        <v>5</v>
      </c>
      <c r="F255" s="321" t="s">
        <v>1344</v>
      </c>
      <c r="G255" s="322"/>
      <c r="H255" s="322"/>
      <c r="I255" s="322"/>
      <c r="J255" s="210"/>
      <c r="K255" s="212">
        <v>1.92</v>
      </c>
      <c r="L255" s="210"/>
      <c r="M255" s="210"/>
      <c r="N255" s="210"/>
      <c r="O255" s="210"/>
      <c r="P255" s="210"/>
      <c r="Q255" s="210"/>
      <c r="R255" s="213"/>
      <c r="T255" s="164"/>
      <c r="U255" s="160"/>
      <c r="V255" s="160"/>
      <c r="W255" s="160"/>
      <c r="X255" s="160"/>
      <c r="Y255" s="160"/>
      <c r="Z255" s="160"/>
      <c r="AA255" s="165"/>
      <c r="AT255" s="166" t="s">
        <v>179</v>
      </c>
      <c r="AU255" s="166" t="s">
        <v>135</v>
      </c>
      <c r="AV255" s="11" t="s">
        <v>135</v>
      </c>
      <c r="AW255" s="11" t="s">
        <v>35</v>
      </c>
      <c r="AX255" s="11" t="s">
        <v>78</v>
      </c>
      <c r="AY255" s="166" t="s">
        <v>167</v>
      </c>
    </row>
    <row r="256" spans="2:51" s="11" customFormat="1" ht="22.5" customHeight="1">
      <c r="B256" s="159"/>
      <c r="C256" s="210"/>
      <c r="D256" s="210"/>
      <c r="E256" s="211" t="s">
        <v>5</v>
      </c>
      <c r="F256" s="321" t="s">
        <v>1346</v>
      </c>
      <c r="G256" s="322"/>
      <c r="H256" s="322"/>
      <c r="I256" s="322"/>
      <c r="J256" s="210"/>
      <c r="K256" s="212">
        <v>2.208</v>
      </c>
      <c r="L256" s="210"/>
      <c r="M256" s="210"/>
      <c r="N256" s="210"/>
      <c r="O256" s="210"/>
      <c r="P256" s="210"/>
      <c r="Q256" s="210"/>
      <c r="R256" s="213"/>
      <c r="T256" s="164"/>
      <c r="U256" s="160"/>
      <c r="V256" s="160"/>
      <c r="W256" s="160"/>
      <c r="X256" s="160"/>
      <c r="Y256" s="160"/>
      <c r="Z256" s="160"/>
      <c r="AA256" s="165"/>
      <c r="AT256" s="166" t="s">
        <v>179</v>
      </c>
      <c r="AU256" s="166" t="s">
        <v>135</v>
      </c>
      <c r="AV256" s="11" t="s">
        <v>135</v>
      </c>
      <c r="AW256" s="11" t="s">
        <v>35</v>
      </c>
      <c r="AX256" s="11" t="s">
        <v>78</v>
      </c>
      <c r="AY256" s="166" t="s">
        <v>167</v>
      </c>
    </row>
    <row r="257" spans="2:51" s="13" customFormat="1" ht="22.5" customHeight="1">
      <c r="B257" s="186"/>
      <c r="C257" s="214"/>
      <c r="D257" s="214"/>
      <c r="E257" s="215" t="s">
        <v>5</v>
      </c>
      <c r="F257" s="323" t="s">
        <v>1278</v>
      </c>
      <c r="G257" s="324"/>
      <c r="H257" s="324"/>
      <c r="I257" s="324"/>
      <c r="J257" s="214"/>
      <c r="K257" s="216">
        <v>60.288</v>
      </c>
      <c r="L257" s="214"/>
      <c r="M257" s="214"/>
      <c r="N257" s="214"/>
      <c r="O257" s="214"/>
      <c r="P257" s="214"/>
      <c r="Q257" s="214"/>
      <c r="R257" s="217"/>
      <c r="T257" s="191"/>
      <c r="U257" s="187"/>
      <c r="V257" s="187"/>
      <c r="W257" s="187"/>
      <c r="X257" s="187"/>
      <c r="Y257" s="187"/>
      <c r="Z257" s="187"/>
      <c r="AA257" s="192"/>
      <c r="AT257" s="193" t="s">
        <v>179</v>
      </c>
      <c r="AU257" s="193" t="s">
        <v>135</v>
      </c>
      <c r="AV257" s="13" t="s">
        <v>184</v>
      </c>
      <c r="AW257" s="13" t="s">
        <v>35</v>
      </c>
      <c r="AX257" s="13" t="s">
        <v>78</v>
      </c>
      <c r="AY257" s="193" t="s">
        <v>167</v>
      </c>
    </row>
    <row r="258" spans="2:51" s="10" customFormat="1" ht="22.5" customHeight="1">
      <c r="B258" s="151"/>
      <c r="C258" s="206"/>
      <c r="D258" s="206"/>
      <c r="E258" s="207" t="s">
        <v>5</v>
      </c>
      <c r="F258" s="325" t="s">
        <v>1748</v>
      </c>
      <c r="G258" s="326"/>
      <c r="H258" s="326"/>
      <c r="I258" s="326"/>
      <c r="J258" s="206"/>
      <c r="K258" s="208" t="s">
        <v>5</v>
      </c>
      <c r="L258" s="206"/>
      <c r="M258" s="206"/>
      <c r="N258" s="206"/>
      <c r="O258" s="206"/>
      <c r="P258" s="206"/>
      <c r="Q258" s="206"/>
      <c r="R258" s="209"/>
      <c r="T258" s="156"/>
      <c r="U258" s="152"/>
      <c r="V258" s="152"/>
      <c r="W258" s="152"/>
      <c r="X258" s="152"/>
      <c r="Y258" s="152"/>
      <c r="Z258" s="152"/>
      <c r="AA258" s="157"/>
      <c r="AT258" s="158" t="s">
        <v>179</v>
      </c>
      <c r="AU258" s="158" t="s">
        <v>135</v>
      </c>
      <c r="AV258" s="10" t="s">
        <v>21</v>
      </c>
      <c r="AW258" s="10" t="s">
        <v>35</v>
      </c>
      <c r="AX258" s="10" t="s">
        <v>78</v>
      </c>
      <c r="AY258" s="158" t="s">
        <v>167</v>
      </c>
    </row>
    <row r="259" spans="2:51" s="11" customFormat="1" ht="22.5" customHeight="1">
      <c r="B259" s="159"/>
      <c r="C259" s="210"/>
      <c r="D259" s="210"/>
      <c r="E259" s="211" t="s">
        <v>5</v>
      </c>
      <c r="F259" s="321" t="s">
        <v>1347</v>
      </c>
      <c r="G259" s="322"/>
      <c r="H259" s="322"/>
      <c r="I259" s="322"/>
      <c r="J259" s="210"/>
      <c r="K259" s="212">
        <v>3.072</v>
      </c>
      <c r="L259" s="210"/>
      <c r="M259" s="210"/>
      <c r="N259" s="210"/>
      <c r="O259" s="210"/>
      <c r="P259" s="210"/>
      <c r="Q259" s="210"/>
      <c r="R259" s="213"/>
      <c r="T259" s="164"/>
      <c r="U259" s="160"/>
      <c r="V259" s="160"/>
      <c r="W259" s="160"/>
      <c r="X259" s="160"/>
      <c r="Y259" s="160"/>
      <c r="Z259" s="160"/>
      <c r="AA259" s="165"/>
      <c r="AT259" s="166" t="s">
        <v>179</v>
      </c>
      <c r="AU259" s="166" t="s">
        <v>135</v>
      </c>
      <c r="AV259" s="11" t="s">
        <v>135</v>
      </c>
      <c r="AW259" s="11" t="s">
        <v>35</v>
      </c>
      <c r="AX259" s="11" t="s">
        <v>78</v>
      </c>
      <c r="AY259" s="166" t="s">
        <v>167</v>
      </c>
    </row>
    <row r="260" spans="2:51" s="11" customFormat="1" ht="22.5" customHeight="1">
      <c r="B260" s="159"/>
      <c r="C260" s="210"/>
      <c r="D260" s="210"/>
      <c r="E260" s="211" t="s">
        <v>5</v>
      </c>
      <c r="F260" s="321" t="s">
        <v>1351</v>
      </c>
      <c r="G260" s="322"/>
      <c r="H260" s="322"/>
      <c r="I260" s="322"/>
      <c r="J260" s="210"/>
      <c r="K260" s="212">
        <v>2.688</v>
      </c>
      <c r="L260" s="210"/>
      <c r="M260" s="210"/>
      <c r="N260" s="210"/>
      <c r="O260" s="210"/>
      <c r="P260" s="210"/>
      <c r="Q260" s="210"/>
      <c r="R260" s="213"/>
      <c r="T260" s="164"/>
      <c r="U260" s="160"/>
      <c r="V260" s="160"/>
      <c r="W260" s="160"/>
      <c r="X260" s="160"/>
      <c r="Y260" s="160"/>
      <c r="Z260" s="160"/>
      <c r="AA260" s="165"/>
      <c r="AT260" s="166" t="s">
        <v>179</v>
      </c>
      <c r="AU260" s="166" t="s">
        <v>135</v>
      </c>
      <c r="AV260" s="11" t="s">
        <v>135</v>
      </c>
      <c r="AW260" s="11" t="s">
        <v>35</v>
      </c>
      <c r="AX260" s="11" t="s">
        <v>78</v>
      </c>
      <c r="AY260" s="166" t="s">
        <v>167</v>
      </c>
    </row>
    <row r="261" spans="2:51" s="11" customFormat="1" ht="22.5" customHeight="1">
      <c r="B261" s="159"/>
      <c r="C261" s="210"/>
      <c r="D261" s="210"/>
      <c r="E261" s="211" t="s">
        <v>5</v>
      </c>
      <c r="F261" s="321" t="s">
        <v>1343</v>
      </c>
      <c r="G261" s="322"/>
      <c r="H261" s="322"/>
      <c r="I261" s="322"/>
      <c r="J261" s="210"/>
      <c r="K261" s="212">
        <v>4.8</v>
      </c>
      <c r="L261" s="210"/>
      <c r="M261" s="210"/>
      <c r="N261" s="210"/>
      <c r="O261" s="210"/>
      <c r="P261" s="210"/>
      <c r="Q261" s="210"/>
      <c r="R261" s="213"/>
      <c r="T261" s="164"/>
      <c r="U261" s="160"/>
      <c r="V261" s="160"/>
      <c r="W261" s="160"/>
      <c r="X261" s="160"/>
      <c r="Y261" s="160"/>
      <c r="Z261" s="160"/>
      <c r="AA261" s="165"/>
      <c r="AT261" s="166" t="s">
        <v>179</v>
      </c>
      <c r="AU261" s="166" t="s">
        <v>135</v>
      </c>
      <c r="AV261" s="11" t="s">
        <v>135</v>
      </c>
      <c r="AW261" s="11" t="s">
        <v>35</v>
      </c>
      <c r="AX261" s="11" t="s">
        <v>78</v>
      </c>
      <c r="AY261" s="166" t="s">
        <v>167</v>
      </c>
    </row>
    <row r="262" spans="2:51" s="11" customFormat="1" ht="22.5" customHeight="1">
      <c r="B262" s="159"/>
      <c r="C262" s="210"/>
      <c r="D262" s="210"/>
      <c r="E262" s="211" t="s">
        <v>5</v>
      </c>
      <c r="F262" s="321" t="s">
        <v>1771</v>
      </c>
      <c r="G262" s="322"/>
      <c r="H262" s="322"/>
      <c r="I262" s="322"/>
      <c r="J262" s="210"/>
      <c r="K262" s="212">
        <v>6.912</v>
      </c>
      <c r="L262" s="210"/>
      <c r="M262" s="210"/>
      <c r="N262" s="210"/>
      <c r="O262" s="210"/>
      <c r="P262" s="210"/>
      <c r="Q262" s="210"/>
      <c r="R262" s="213"/>
      <c r="T262" s="164"/>
      <c r="U262" s="160"/>
      <c r="V262" s="160"/>
      <c r="W262" s="160"/>
      <c r="X262" s="160"/>
      <c r="Y262" s="160"/>
      <c r="Z262" s="160"/>
      <c r="AA262" s="165"/>
      <c r="AT262" s="166" t="s">
        <v>179</v>
      </c>
      <c r="AU262" s="166" t="s">
        <v>135</v>
      </c>
      <c r="AV262" s="11" t="s">
        <v>135</v>
      </c>
      <c r="AW262" s="11" t="s">
        <v>35</v>
      </c>
      <c r="AX262" s="11" t="s">
        <v>78</v>
      </c>
      <c r="AY262" s="166" t="s">
        <v>167</v>
      </c>
    </row>
    <row r="263" spans="2:51" s="13" customFormat="1" ht="22.5" customHeight="1">
      <c r="B263" s="186"/>
      <c r="C263" s="214"/>
      <c r="D263" s="214"/>
      <c r="E263" s="215" t="s">
        <v>5</v>
      </c>
      <c r="F263" s="323" t="s">
        <v>1278</v>
      </c>
      <c r="G263" s="324"/>
      <c r="H263" s="324"/>
      <c r="I263" s="324"/>
      <c r="J263" s="214"/>
      <c r="K263" s="216">
        <v>17.472</v>
      </c>
      <c r="L263" s="214"/>
      <c r="M263" s="214"/>
      <c r="N263" s="214"/>
      <c r="O263" s="214"/>
      <c r="P263" s="214"/>
      <c r="Q263" s="214"/>
      <c r="R263" s="217"/>
      <c r="T263" s="191"/>
      <c r="U263" s="187"/>
      <c r="V263" s="187"/>
      <c r="W263" s="187"/>
      <c r="X263" s="187"/>
      <c r="Y263" s="187"/>
      <c r="Z263" s="187"/>
      <c r="AA263" s="192"/>
      <c r="AT263" s="193" t="s">
        <v>179</v>
      </c>
      <c r="AU263" s="193" t="s">
        <v>135</v>
      </c>
      <c r="AV263" s="13" t="s">
        <v>184</v>
      </c>
      <c r="AW263" s="13" t="s">
        <v>35</v>
      </c>
      <c r="AX263" s="13" t="s">
        <v>78</v>
      </c>
      <c r="AY263" s="193" t="s">
        <v>167</v>
      </c>
    </row>
    <row r="264" spans="2:51" s="10" customFormat="1" ht="22.5" customHeight="1">
      <c r="B264" s="151"/>
      <c r="C264" s="206"/>
      <c r="D264" s="206"/>
      <c r="E264" s="207" t="s">
        <v>5</v>
      </c>
      <c r="F264" s="325" t="s">
        <v>1772</v>
      </c>
      <c r="G264" s="326"/>
      <c r="H264" s="326"/>
      <c r="I264" s="326"/>
      <c r="J264" s="206"/>
      <c r="K264" s="208" t="s">
        <v>5</v>
      </c>
      <c r="L264" s="206"/>
      <c r="M264" s="206"/>
      <c r="N264" s="206"/>
      <c r="O264" s="206"/>
      <c r="P264" s="206"/>
      <c r="Q264" s="206"/>
      <c r="R264" s="209"/>
      <c r="T264" s="156"/>
      <c r="U264" s="152"/>
      <c r="V264" s="152"/>
      <c r="W264" s="152"/>
      <c r="X264" s="152"/>
      <c r="Y264" s="152"/>
      <c r="Z264" s="152"/>
      <c r="AA264" s="157"/>
      <c r="AT264" s="158" t="s">
        <v>179</v>
      </c>
      <c r="AU264" s="158" t="s">
        <v>135</v>
      </c>
      <c r="AV264" s="10" t="s">
        <v>21</v>
      </c>
      <c r="AW264" s="10" t="s">
        <v>35</v>
      </c>
      <c r="AX264" s="10" t="s">
        <v>78</v>
      </c>
      <c r="AY264" s="158" t="s">
        <v>167</v>
      </c>
    </row>
    <row r="265" spans="2:51" s="11" customFormat="1" ht="22.5" customHeight="1">
      <c r="B265" s="159"/>
      <c r="C265" s="210"/>
      <c r="D265" s="210"/>
      <c r="E265" s="211" t="s">
        <v>5</v>
      </c>
      <c r="F265" s="321">
        <v>0</v>
      </c>
      <c r="G265" s="322"/>
      <c r="H265" s="322"/>
      <c r="I265" s="322"/>
      <c r="J265" s="210"/>
      <c r="K265" s="212">
        <v>0</v>
      </c>
      <c r="L265" s="210"/>
      <c r="M265" s="210"/>
      <c r="N265" s="210"/>
      <c r="O265" s="210"/>
      <c r="P265" s="210"/>
      <c r="Q265" s="210"/>
      <c r="R265" s="213"/>
      <c r="T265" s="164"/>
      <c r="U265" s="160"/>
      <c r="V265" s="160"/>
      <c r="W265" s="160"/>
      <c r="X265" s="160"/>
      <c r="Y265" s="160"/>
      <c r="Z265" s="160"/>
      <c r="AA265" s="165"/>
      <c r="AT265" s="166" t="s">
        <v>179</v>
      </c>
      <c r="AU265" s="166" t="s">
        <v>135</v>
      </c>
      <c r="AV265" s="11" t="s">
        <v>135</v>
      </c>
      <c r="AW265" s="11" t="s">
        <v>35</v>
      </c>
      <c r="AX265" s="11" t="s">
        <v>78</v>
      </c>
      <c r="AY265" s="166" t="s">
        <v>167</v>
      </c>
    </row>
    <row r="266" spans="2:51" s="13" customFormat="1" ht="22.5" customHeight="1">
      <c r="B266" s="186"/>
      <c r="C266" s="214"/>
      <c r="D266" s="214"/>
      <c r="E266" s="215" t="s">
        <v>5</v>
      </c>
      <c r="F266" s="323" t="s">
        <v>1278</v>
      </c>
      <c r="G266" s="324"/>
      <c r="H266" s="324"/>
      <c r="I266" s="324"/>
      <c r="J266" s="214"/>
      <c r="K266" s="216">
        <f>+K265</f>
        <v>0</v>
      </c>
      <c r="L266" s="214"/>
      <c r="M266" s="214"/>
      <c r="N266" s="214"/>
      <c r="O266" s="214"/>
      <c r="P266" s="214"/>
      <c r="Q266" s="214"/>
      <c r="R266" s="217"/>
      <c r="T266" s="191"/>
      <c r="U266" s="187"/>
      <c r="V266" s="187"/>
      <c r="W266" s="187"/>
      <c r="X266" s="187"/>
      <c r="Y266" s="187"/>
      <c r="Z266" s="187"/>
      <c r="AA266" s="192"/>
      <c r="AT266" s="193" t="s">
        <v>179</v>
      </c>
      <c r="AU266" s="193" t="s">
        <v>135</v>
      </c>
      <c r="AV266" s="13" t="s">
        <v>184</v>
      </c>
      <c r="AW266" s="13" t="s">
        <v>35</v>
      </c>
      <c r="AX266" s="13" t="s">
        <v>78</v>
      </c>
      <c r="AY266" s="193" t="s">
        <v>167</v>
      </c>
    </row>
    <row r="267" spans="2:51" s="12" customFormat="1" ht="22.5" customHeight="1">
      <c r="B267" s="167"/>
      <c r="C267" s="218"/>
      <c r="D267" s="218"/>
      <c r="E267" s="219" t="s">
        <v>5</v>
      </c>
      <c r="F267" s="327" t="s">
        <v>183</v>
      </c>
      <c r="G267" s="328"/>
      <c r="H267" s="328"/>
      <c r="I267" s="328"/>
      <c r="J267" s="218"/>
      <c r="K267" s="220">
        <f>+K266+K263+K257+K233+K230</f>
        <v>141.504</v>
      </c>
      <c r="L267" s="218"/>
      <c r="M267" s="218"/>
      <c r="N267" s="218"/>
      <c r="O267" s="218"/>
      <c r="P267" s="218"/>
      <c r="Q267" s="218"/>
      <c r="R267" s="221"/>
      <c r="T267" s="172"/>
      <c r="U267" s="168"/>
      <c r="V267" s="168"/>
      <c r="W267" s="168"/>
      <c r="X267" s="168"/>
      <c r="Y267" s="168"/>
      <c r="Z267" s="168"/>
      <c r="AA267" s="173"/>
      <c r="AT267" s="174" t="s">
        <v>179</v>
      </c>
      <c r="AU267" s="174" t="s">
        <v>135</v>
      </c>
      <c r="AV267" s="12" t="s">
        <v>172</v>
      </c>
      <c r="AW267" s="12" t="s">
        <v>35</v>
      </c>
      <c r="AX267" s="12" t="s">
        <v>21</v>
      </c>
      <c r="AY267" s="174" t="s">
        <v>167</v>
      </c>
    </row>
    <row r="268" spans="2:65" s="1" customFormat="1" ht="22.5" customHeight="1">
      <c r="B268" s="141"/>
      <c r="C268" s="201" t="s">
        <v>172</v>
      </c>
      <c r="D268" s="201" t="s">
        <v>168</v>
      </c>
      <c r="E268" s="202" t="s">
        <v>1354</v>
      </c>
      <c r="F268" s="317" t="s">
        <v>1355</v>
      </c>
      <c r="G268" s="317"/>
      <c r="H268" s="317"/>
      <c r="I268" s="317"/>
      <c r="J268" s="203" t="s">
        <v>259</v>
      </c>
      <c r="K268" s="204">
        <f>+K279</f>
        <v>1698.9700000000003</v>
      </c>
      <c r="L268" s="318">
        <v>0</v>
      </c>
      <c r="M268" s="318"/>
      <c r="N268" s="318">
        <f>ROUND(L268*K268,2)</f>
        <v>0</v>
      </c>
      <c r="O268" s="318"/>
      <c r="P268" s="318"/>
      <c r="Q268" s="318"/>
      <c r="R268" s="205"/>
      <c r="T268" s="147" t="s">
        <v>5</v>
      </c>
      <c r="U268" s="44" t="s">
        <v>43</v>
      </c>
      <c r="V268" s="148">
        <v>0.44</v>
      </c>
      <c r="W268" s="148">
        <f>V268*K268</f>
        <v>747.5468000000001</v>
      </c>
      <c r="X268" s="148">
        <v>0</v>
      </c>
      <c r="Y268" s="148">
        <f>X268*K268</f>
        <v>0</v>
      </c>
      <c r="Z268" s="148">
        <v>0</v>
      </c>
      <c r="AA268" s="149">
        <f>Z268*K268</f>
        <v>0</v>
      </c>
      <c r="AR268" s="21" t="s">
        <v>172</v>
      </c>
      <c r="AT268" s="21" t="s">
        <v>168</v>
      </c>
      <c r="AU268" s="21" t="s">
        <v>135</v>
      </c>
      <c r="AY268" s="21" t="s">
        <v>167</v>
      </c>
      <c r="BE268" s="150">
        <f>IF(U268="základní",N268,0)</f>
        <v>0</v>
      </c>
      <c r="BF268" s="150">
        <f>IF(U268="snížená",N268,0)</f>
        <v>0</v>
      </c>
      <c r="BG268" s="150">
        <f>IF(U268="zákl. přenesená",N268,0)</f>
        <v>0</v>
      </c>
      <c r="BH268" s="150">
        <f>IF(U268="sníž. přenesená",N268,0)</f>
        <v>0</v>
      </c>
      <c r="BI268" s="150">
        <f>IF(U268="nulová",N268,0)</f>
        <v>0</v>
      </c>
      <c r="BJ268" s="21" t="s">
        <v>21</v>
      </c>
      <c r="BK268" s="150">
        <f>ROUND(L268*K268,2)</f>
        <v>0</v>
      </c>
      <c r="BL268" s="21" t="s">
        <v>172</v>
      </c>
      <c r="BM268" s="21" t="s">
        <v>1356</v>
      </c>
    </row>
    <row r="269" spans="2:51" s="10" customFormat="1" ht="22.5" customHeight="1">
      <c r="B269" s="151"/>
      <c r="C269" s="206"/>
      <c r="D269" s="206"/>
      <c r="E269" s="207" t="s">
        <v>5</v>
      </c>
      <c r="F269" s="319" t="s">
        <v>1357</v>
      </c>
      <c r="G269" s="320"/>
      <c r="H269" s="320"/>
      <c r="I269" s="320"/>
      <c r="J269" s="206"/>
      <c r="K269" s="208" t="s">
        <v>5</v>
      </c>
      <c r="L269" s="206"/>
      <c r="M269" s="206"/>
      <c r="N269" s="206"/>
      <c r="O269" s="206"/>
      <c r="P269" s="206"/>
      <c r="Q269" s="206"/>
      <c r="R269" s="209"/>
      <c r="T269" s="156"/>
      <c r="U269" s="152"/>
      <c r="V269" s="152"/>
      <c r="W269" s="152"/>
      <c r="X269" s="152"/>
      <c r="Y269" s="152"/>
      <c r="Z269" s="152"/>
      <c r="AA269" s="157"/>
      <c r="AT269" s="158" t="s">
        <v>179</v>
      </c>
      <c r="AU269" s="158" t="s">
        <v>135</v>
      </c>
      <c r="AV269" s="10" t="s">
        <v>21</v>
      </c>
      <c r="AW269" s="10" t="s">
        <v>35</v>
      </c>
      <c r="AX269" s="10" t="s">
        <v>78</v>
      </c>
      <c r="AY269" s="158" t="s">
        <v>167</v>
      </c>
    </row>
    <row r="270" spans="2:51" s="11" customFormat="1" ht="22.5" customHeight="1">
      <c r="B270" s="159"/>
      <c r="C270" s="210"/>
      <c r="D270" s="210"/>
      <c r="E270" s="211" t="s">
        <v>5</v>
      </c>
      <c r="F270" s="321" t="s">
        <v>1689</v>
      </c>
      <c r="G270" s="322"/>
      <c r="H270" s="322"/>
      <c r="I270" s="322"/>
      <c r="J270" s="210"/>
      <c r="K270" s="212">
        <v>543.7</v>
      </c>
      <c r="L270" s="210"/>
      <c r="M270" s="210"/>
      <c r="N270" s="210"/>
      <c r="O270" s="210"/>
      <c r="P270" s="210"/>
      <c r="Q270" s="210"/>
      <c r="R270" s="213"/>
      <c r="T270" s="164"/>
      <c r="U270" s="160"/>
      <c r="V270" s="160"/>
      <c r="W270" s="160"/>
      <c r="X270" s="160"/>
      <c r="Y270" s="160"/>
      <c r="Z270" s="160"/>
      <c r="AA270" s="165"/>
      <c r="AT270" s="166" t="s">
        <v>179</v>
      </c>
      <c r="AU270" s="166" t="s">
        <v>135</v>
      </c>
      <c r="AV270" s="11" t="s">
        <v>135</v>
      </c>
      <c r="AW270" s="11" t="s">
        <v>35</v>
      </c>
      <c r="AX270" s="11" t="s">
        <v>78</v>
      </c>
      <c r="AY270" s="166" t="s">
        <v>167</v>
      </c>
    </row>
    <row r="271" spans="2:51" s="11" customFormat="1" ht="22.5" customHeight="1">
      <c r="B271" s="159"/>
      <c r="C271" s="210"/>
      <c r="D271" s="210"/>
      <c r="E271" s="211" t="s">
        <v>5</v>
      </c>
      <c r="F271" s="321" t="s">
        <v>1773</v>
      </c>
      <c r="G271" s="322"/>
      <c r="H271" s="322"/>
      <c r="I271" s="322"/>
      <c r="J271" s="210"/>
      <c r="K271" s="212">
        <v>92</v>
      </c>
      <c r="L271" s="210"/>
      <c r="M271" s="210"/>
      <c r="N271" s="210"/>
      <c r="O271" s="210"/>
      <c r="P271" s="210"/>
      <c r="Q271" s="210"/>
      <c r="R271" s="213"/>
      <c r="T271" s="164"/>
      <c r="U271" s="160"/>
      <c r="V271" s="160"/>
      <c r="W271" s="160"/>
      <c r="X271" s="160"/>
      <c r="Y271" s="160"/>
      <c r="Z271" s="160"/>
      <c r="AA271" s="165"/>
      <c r="AT271" s="166" t="s">
        <v>179</v>
      </c>
      <c r="AU271" s="166" t="s">
        <v>135</v>
      </c>
      <c r="AV271" s="11" t="s">
        <v>135</v>
      </c>
      <c r="AW271" s="11" t="s">
        <v>35</v>
      </c>
      <c r="AX271" s="11" t="s">
        <v>78</v>
      </c>
      <c r="AY271" s="166" t="s">
        <v>167</v>
      </c>
    </row>
    <row r="272" spans="2:51" s="11" customFormat="1" ht="22.5" customHeight="1">
      <c r="B272" s="159"/>
      <c r="C272" s="210"/>
      <c r="D272" s="210"/>
      <c r="E272" s="211" t="s">
        <v>5</v>
      </c>
      <c r="F272" s="321" t="s">
        <v>1774</v>
      </c>
      <c r="G272" s="322"/>
      <c r="H272" s="322"/>
      <c r="I272" s="322"/>
      <c r="J272" s="210"/>
      <c r="K272" s="212">
        <v>526.7</v>
      </c>
      <c r="L272" s="210"/>
      <c r="M272" s="210"/>
      <c r="N272" s="210"/>
      <c r="O272" s="210"/>
      <c r="P272" s="210"/>
      <c r="Q272" s="210"/>
      <c r="R272" s="213"/>
      <c r="T272" s="164"/>
      <c r="U272" s="160"/>
      <c r="V272" s="160"/>
      <c r="W272" s="160"/>
      <c r="X272" s="160"/>
      <c r="Y272" s="160"/>
      <c r="Z272" s="160"/>
      <c r="AA272" s="165"/>
      <c r="AT272" s="166" t="s">
        <v>179</v>
      </c>
      <c r="AU272" s="166" t="s">
        <v>135</v>
      </c>
      <c r="AV272" s="11" t="s">
        <v>135</v>
      </c>
      <c r="AW272" s="11" t="s">
        <v>35</v>
      </c>
      <c r="AX272" s="11" t="s">
        <v>78</v>
      </c>
      <c r="AY272" s="166" t="s">
        <v>167</v>
      </c>
    </row>
    <row r="273" spans="2:51" s="11" customFormat="1" ht="22.5" customHeight="1">
      <c r="B273" s="159"/>
      <c r="C273" s="210"/>
      <c r="D273" s="210"/>
      <c r="E273" s="211" t="s">
        <v>5</v>
      </c>
      <c r="F273" s="321" t="s">
        <v>1775</v>
      </c>
      <c r="G273" s="322"/>
      <c r="H273" s="322"/>
      <c r="I273" s="322"/>
      <c r="J273" s="210"/>
      <c r="K273" s="212">
        <v>260.66</v>
      </c>
      <c r="L273" s="210"/>
      <c r="M273" s="210"/>
      <c r="N273" s="210"/>
      <c r="O273" s="210"/>
      <c r="P273" s="210"/>
      <c r="Q273" s="210"/>
      <c r="R273" s="213"/>
      <c r="T273" s="164"/>
      <c r="U273" s="160"/>
      <c r="V273" s="160"/>
      <c r="W273" s="160"/>
      <c r="X273" s="160"/>
      <c r="Y273" s="160"/>
      <c r="Z273" s="160"/>
      <c r="AA273" s="165"/>
      <c r="AT273" s="166" t="s">
        <v>179</v>
      </c>
      <c r="AU273" s="166" t="s">
        <v>135</v>
      </c>
      <c r="AV273" s="11" t="s">
        <v>135</v>
      </c>
      <c r="AW273" s="11" t="s">
        <v>35</v>
      </c>
      <c r="AX273" s="11" t="s">
        <v>78</v>
      </c>
      <c r="AY273" s="166" t="s">
        <v>167</v>
      </c>
    </row>
    <row r="274" spans="2:51" s="11" customFormat="1" ht="22.5" customHeight="1">
      <c r="B274" s="159"/>
      <c r="C274" s="210"/>
      <c r="D274" s="210"/>
      <c r="E274" s="211" t="s">
        <v>5</v>
      </c>
      <c r="F274" s="321" t="s">
        <v>2171</v>
      </c>
      <c r="G274" s="322"/>
      <c r="H274" s="322"/>
      <c r="I274" s="322"/>
      <c r="J274" s="210"/>
      <c r="K274" s="212">
        <v>0</v>
      </c>
      <c r="L274" s="210"/>
      <c r="M274" s="210"/>
      <c r="N274" s="210"/>
      <c r="O274" s="210"/>
      <c r="P274" s="210"/>
      <c r="Q274" s="210"/>
      <c r="R274" s="213"/>
      <c r="T274" s="164"/>
      <c r="U274" s="160"/>
      <c r="V274" s="160"/>
      <c r="W274" s="160"/>
      <c r="X274" s="160"/>
      <c r="Y274" s="160"/>
      <c r="Z274" s="160"/>
      <c r="AA274" s="165"/>
      <c r="AT274" s="166" t="s">
        <v>179</v>
      </c>
      <c r="AU274" s="166" t="s">
        <v>135</v>
      </c>
      <c r="AV274" s="11" t="s">
        <v>135</v>
      </c>
      <c r="AW274" s="11" t="s">
        <v>35</v>
      </c>
      <c r="AX274" s="11" t="s">
        <v>78</v>
      </c>
      <c r="AY274" s="166" t="s">
        <v>167</v>
      </c>
    </row>
    <row r="275" spans="2:51" s="13" customFormat="1" ht="22.5" customHeight="1">
      <c r="B275" s="186"/>
      <c r="C275" s="214"/>
      <c r="D275" s="214"/>
      <c r="E275" s="215" t="s">
        <v>5</v>
      </c>
      <c r="F275" s="323" t="s">
        <v>1278</v>
      </c>
      <c r="G275" s="324"/>
      <c r="H275" s="324"/>
      <c r="I275" s="324"/>
      <c r="J275" s="214"/>
      <c r="K275" s="216">
        <f>SUM(K270:K274)</f>
        <v>1423.0600000000002</v>
      </c>
      <c r="L275" s="214"/>
      <c r="M275" s="214"/>
      <c r="N275" s="214"/>
      <c r="O275" s="214"/>
      <c r="P275" s="214"/>
      <c r="Q275" s="214"/>
      <c r="R275" s="217"/>
      <c r="T275" s="191"/>
      <c r="U275" s="187"/>
      <c r="V275" s="187"/>
      <c r="W275" s="187"/>
      <c r="X275" s="187"/>
      <c r="Y275" s="187"/>
      <c r="Z275" s="187"/>
      <c r="AA275" s="192"/>
      <c r="AT275" s="193" t="s">
        <v>179</v>
      </c>
      <c r="AU275" s="193" t="s">
        <v>135</v>
      </c>
      <c r="AV275" s="13" t="s">
        <v>184</v>
      </c>
      <c r="AW275" s="13" t="s">
        <v>35</v>
      </c>
      <c r="AX275" s="13" t="s">
        <v>78</v>
      </c>
      <c r="AY275" s="193" t="s">
        <v>167</v>
      </c>
    </row>
    <row r="276" spans="2:51" s="10" customFormat="1" ht="22.5" customHeight="1">
      <c r="B276" s="151"/>
      <c r="C276" s="206"/>
      <c r="D276" s="206"/>
      <c r="E276" s="207" t="s">
        <v>5</v>
      </c>
      <c r="F276" s="325" t="s">
        <v>1365</v>
      </c>
      <c r="G276" s="326"/>
      <c r="H276" s="326"/>
      <c r="I276" s="326"/>
      <c r="J276" s="206"/>
      <c r="K276" s="208" t="s">
        <v>5</v>
      </c>
      <c r="L276" s="206"/>
      <c r="M276" s="206"/>
      <c r="N276" s="206"/>
      <c r="O276" s="206"/>
      <c r="P276" s="206"/>
      <c r="Q276" s="206"/>
      <c r="R276" s="209"/>
      <c r="T276" s="156"/>
      <c r="U276" s="152"/>
      <c r="V276" s="152"/>
      <c r="W276" s="152"/>
      <c r="X276" s="152"/>
      <c r="Y276" s="152"/>
      <c r="Z276" s="152"/>
      <c r="AA276" s="157"/>
      <c r="AT276" s="158" t="s">
        <v>179</v>
      </c>
      <c r="AU276" s="158" t="s">
        <v>135</v>
      </c>
      <c r="AV276" s="10" t="s">
        <v>21</v>
      </c>
      <c r="AW276" s="10" t="s">
        <v>35</v>
      </c>
      <c r="AX276" s="10" t="s">
        <v>78</v>
      </c>
      <c r="AY276" s="158" t="s">
        <v>167</v>
      </c>
    </row>
    <row r="277" spans="2:51" s="11" customFormat="1" ht="22.5" customHeight="1">
      <c r="B277" s="159"/>
      <c r="C277" s="210"/>
      <c r="D277" s="210"/>
      <c r="E277" s="211" t="s">
        <v>5</v>
      </c>
      <c r="F277" s="321" t="s">
        <v>1776</v>
      </c>
      <c r="G277" s="322"/>
      <c r="H277" s="322"/>
      <c r="I277" s="322"/>
      <c r="J277" s="210"/>
      <c r="K277" s="212">
        <v>275.91</v>
      </c>
      <c r="L277" s="210"/>
      <c r="M277" s="210"/>
      <c r="N277" s="210"/>
      <c r="O277" s="210"/>
      <c r="P277" s="210"/>
      <c r="Q277" s="210"/>
      <c r="R277" s="213"/>
      <c r="T277" s="164"/>
      <c r="U277" s="160"/>
      <c r="V277" s="160"/>
      <c r="W277" s="160"/>
      <c r="X277" s="160"/>
      <c r="Y277" s="160"/>
      <c r="Z277" s="160"/>
      <c r="AA277" s="165"/>
      <c r="AT277" s="166" t="s">
        <v>179</v>
      </c>
      <c r="AU277" s="166" t="s">
        <v>135</v>
      </c>
      <c r="AV277" s="11" t="s">
        <v>135</v>
      </c>
      <c r="AW277" s="11" t="s">
        <v>35</v>
      </c>
      <c r="AX277" s="11" t="s">
        <v>78</v>
      </c>
      <c r="AY277" s="166" t="s">
        <v>167</v>
      </c>
    </row>
    <row r="278" spans="2:51" s="13" customFormat="1" ht="22.5" customHeight="1">
      <c r="B278" s="186"/>
      <c r="C278" s="214"/>
      <c r="D278" s="214"/>
      <c r="E278" s="215" t="s">
        <v>5</v>
      </c>
      <c r="F278" s="323" t="s">
        <v>1278</v>
      </c>
      <c r="G278" s="324"/>
      <c r="H278" s="324"/>
      <c r="I278" s="324"/>
      <c r="J278" s="214"/>
      <c r="K278" s="216">
        <v>275.91</v>
      </c>
      <c r="L278" s="214"/>
      <c r="M278" s="214"/>
      <c r="N278" s="214"/>
      <c r="O278" s="214"/>
      <c r="P278" s="214"/>
      <c r="Q278" s="214"/>
      <c r="R278" s="217"/>
      <c r="T278" s="191"/>
      <c r="U278" s="187"/>
      <c r="V278" s="187"/>
      <c r="W278" s="187"/>
      <c r="X278" s="187"/>
      <c r="Y278" s="187"/>
      <c r="Z278" s="187"/>
      <c r="AA278" s="192"/>
      <c r="AT278" s="193" t="s">
        <v>179</v>
      </c>
      <c r="AU278" s="193" t="s">
        <v>135</v>
      </c>
      <c r="AV278" s="13" t="s">
        <v>184</v>
      </c>
      <c r="AW278" s="13" t="s">
        <v>35</v>
      </c>
      <c r="AX278" s="13" t="s">
        <v>78</v>
      </c>
      <c r="AY278" s="193" t="s">
        <v>167</v>
      </c>
    </row>
    <row r="279" spans="2:51" s="12" customFormat="1" ht="22.5" customHeight="1">
      <c r="B279" s="167"/>
      <c r="C279" s="218"/>
      <c r="D279" s="218"/>
      <c r="E279" s="219" t="s">
        <v>5</v>
      </c>
      <c r="F279" s="327" t="s">
        <v>183</v>
      </c>
      <c r="G279" s="328"/>
      <c r="H279" s="328"/>
      <c r="I279" s="328"/>
      <c r="J279" s="218"/>
      <c r="K279" s="220">
        <f>+K278+K275</f>
        <v>1698.9700000000003</v>
      </c>
      <c r="L279" s="218"/>
      <c r="M279" s="218"/>
      <c r="N279" s="218"/>
      <c r="O279" s="218"/>
      <c r="P279" s="218"/>
      <c r="Q279" s="218"/>
      <c r="R279" s="221"/>
      <c r="T279" s="172"/>
      <c r="U279" s="168"/>
      <c r="V279" s="168"/>
      <c r="W279" s="168"/>
      <c r="X279" s="168"/>
      <c r="Y279" s="168"/>
      <c r="Z279" s="168"/>
      <c r="AA279" s="173"/>
      <c r="AT279" s="174" t="s">
        <v>179</v>
      </c>
      <c r="AU279" s="174" t="s">
        <v>135</v>
      </c>
      <c r="AV279" s="12" t="s">
        <v>172</v>
      </c>
      <c r="AW279" s="12" t="s">
        <v>35</v>
      </c>
      <c r="AX279" s="12" t="s">
        <v>21</v>
      </c>
      <c r="AY279" s="174" t="s">
        <v>167</v>
      </c>
    </row>
    <row r="280" spans="2:65" s="1" customFormat="1" ht="22.5" customHeight="1">
      <c r="B280" s="141"/>
      <c r="C280" s="201" t="s">
        <v>196</v>
      </c>
      <c r="D280" s="201" t="s">
        <v>168</v>
      </c>
      <c r="E280" s="202" t="s">
        <v>1367</v>
      </c>
      <c r="F280" s="317" t="s">
        <v>1368</v>
      </c>
      <c r="G280" s="317"/>
      <c r="H280" s="317"/>
      <c r="I280" s="317"/>
      <c r="J280" s="203" t="s">
        <v>595</v>
      </c>
      <c r="K280" s="204">
        <v>54</v>
      </c>
      <c r="L280" s="318">
        <v>0</v>
      </c>
      <c r="M280" s="318"/>
      <c r="N280" s="318">
        <f>ROUND(L280*K280,2)</f>
        <v>0</v>
      </c>
      <c r="O280" s="318"/>
      <c r="P280" s="318"/>
      <c r="Q280" s="318"/>
      <c r="R280" s="205"/>
      <c r="T280" s="147" t="s">
        <v>5</v>
      </c>
      <c r="U280" s="44" t="s">
        <v>43</v>
      </c>
      <c r="V280" s="148">
        <v>0.44</v>
      </c>
      <c r="W280" s="148">
        <f>V280*K280</f>
        <v>23.76</v>
      </c>
      <c r="X280" s="148">
        <v>0</v>
      </c>
      <c r="Y280" s="148">
        <f>X280*K280</f>
        <v>0</v>
      </c>
      <c r="Z280" s="148">
        <v>0</v>
      </c>
      <c r="AA280" s="149">
        <f>Z280*K280</f>
        <v>0</v>
      </c>
      <c r="AR280" s="21" t="s">
        <v>172</v>
      </c>
      <c r="AT280" s="21" t="s">
        <v>168</v>
      </c>
      <c r="AU280" s="21" t="s">
        <v>135</v>
      </c>
      <c r="AY280" s="21" t="s">
        <v>167</v>
      </c>
      <c r="BE280" s="150">
        <f>IF(U280="základní",N280,0)</f>
        <v>0</v>
      </c>
      <c r="BF280" s="150">
        <f>IF(U280="snížená",N280,0)</f>
        <v>0</v>
      </c>
      <c r="BG280" s="150">
        <f>IF(U280="zákl. přenesená",N280,0)</f>
        <v>0</v>
      </c>
      <c r="BH280" s="150">
        <f>IF(U280="sníž. přenesená",N280,0)</f>
        <v>0</v>
      </c>
      <c r="BI280" s="150">
        <f>IF(U280="nulová",N280,0)</f>
        <v>0</v>
      </c>
      <c r="BJ280" s="21" t="s">
        <v>21</v>
      </c>
      <c r="BK280" s="150">
        <f>ROUND(L280*K280,2)</f>
        <v>0</v>
      </c>
      <c r="BL280" s="21" t="s">
        <v>172</v>
      </c>
      <c r="BM280" s="21" t="s">
        <v>1369</v>
      </c>
    </row>
    <row r="281" spans="2:51" s="11" customFormat="1" ht="22.5" customHeight="1">
      <c r="B281" s="159"/>
      <c r="C281" s="210"/>
      <c r="D281" s="210"/>
      <c r="E281" s="211" t="s">
        <v>5</v>
      </c>
      <c r="F281" s="329" t="s">
        <v>1777</v>
      </c>
      <c r="G281" s="330"/>
      <c r="H281" s="330"/>
      <c r="I281" s="330"/>
      <c r="J281" s="210"/>
      <c r="K281" s="212">
        <v>19</v>
      </c>
      <c r="L281" s="210"/>
      <c r="M281" s="210"/>
      <c r="N281" s="210"/>
      <c r="O281" s="210"/>
      <c r="P281" s="210"/>
      <c r="Q281" s="210"/>
      <c r="R281" s="213"/>
      <c r="T281" s="164"/>
      <c r="U281" s="160"/>
      <c r="V281" s="160"/>
      <c r="W281" s="160"/>
      <c r="X281" s="160"/>
      <c r="Y281" s="160"/>
      <c r="Z281" s="160"/>
      <c r="AA281" s="165"/>
      <c r="AT281" s="166" t="s">
        <v>179</v>
      </c>
      <c r="AU281" s="166" t="s">
        <v>135</v>
      </c>
      <c r="AV281" s="11" t="s">
        <v>135</v>
      </c>
      <c r="AW281" s="11" t="s">
        <v>35</v>
      </c>
      <c r="AX281" s="11" t="s">
        <v>78</v>
      </c>
      <c r="AY281" s="166" t="s">
        <v>167</v>
      </c>
    </row>
    <row r="282" spans="2:51" s="11" customFormat="1" ht="22.5" customHeight="1">
      <c r="B282" s="159"/>
      <c r="C282" s="210"/>
      <c r="D282" s="210"/>
      <c r="E282" s="211" t="s">
        <v>5</v>
      </c>
      <c r="F282" s="321" t="s">
        <v>1778</v>
      </c>
      <c r="G282" s="322"/>
      <c r="H282" s="322"/>
      <c r="I282" s="322"/>
      <c r="J282" s="210"/>
      <c r="K282" s="212">
        <v>3</v>
      </c>
      <c r="L282" s="210"/>
      <c r="M282" s="210"/>
      <c r="N282" s="210"/>
      <c r="O282" s="210"/>
      <c r="P282" s="210"/>
      <c r="Q282" s="210"/>
      <c r="R282" s="213"/>
      <c r="T282" s="164"/>
      <c r="U282" s="160"/>
      <c r="V282" s="160"/>
      <c r="W282" s="160"/>
      <c r="X282" s="160"/>
      <c r="Y282" s="160"/>
      <c r="Z282" s="160"/>
      <c r="AA282" s="165"/>
      <c r="AT282" s="166" t="s">
        <v>179</v>
      </c>
      <c r="AU282" s="166" t="s">
        <v>135</v>
      </c>
      <c r="AV282" s="11" t="s">
        <v>135</v>
      </c>
      <c r="AW282" s="11" t="s">
        <v>35</v>
      </c>
      <c r="AX282" s="11" t="s">
        <v>78</v>
      </c>
      <c r="AY282" s="166" t="s">
        <v>167</v>
      </c>
    </row>
    <row r="283" spans="2:51" s="11" customFormat="1" ht="22.5" customHeight="1">
      <c r="B283" s="159"/>
      <c r="C283" s="210"/>
      <c r="D283" s="210"/>
      <c r="E283" s="211" t="s">
        <v>5</v>
      </c>
      <c r="F283" s="321" t="s">
        <v>1779</v>
      </c>
      <c r="G283" s="322"/>
      <c r="H283" s="322"/>
      <c r="I283" s="322"/>
      <c r="J283" s="210"/>
      <c r="K283" s="212">
        <v>22</v>
      </c>
      <c r="L283" s="210"/>
      <c r="M283" s="210"/>
      <c r="N283" s="210"/>
      <c r="O283" s="210"/>
      <c r="P283" s="210"/>
      <c r="Q283" s="210"/>
      <c r="R283" s="213"/>
      <c r="T283" s="164"/>
      <c r="U283" s="160"/>
      <c r="V283" s="160"/>
      <c r="W283" s="160"/>
      <c r="X283" s="160"/>
      <c r="Y283" s="160"/>
      <c r="Z283" s="160"/>
      <c r="AA283" s="165"/>
      <c r="AT283" s="166" t="s">
        <v>179</v>
      </c>
      <c r="AU283" s="166" t="s">
        <v>135</v>
      </c>
      <c r="AV283" s="11" t="s">
        <v>135</v>
      </c>
      <c r="AW283" s="11" t="s">
        <v>35</v>
      </c>
      <c r="AX283" s="11" t="s">
        <v>78</v>
      </c>
      <c r="AY283" s="166" t="s">
        <v>167</v>
      </c>
    </row>
    <row r="284" spans="2:51" s="11" customFormat="1" ht="22.5" customHeight="1">
      <c r="B284" s="159"/>
      <c r="C284" s="210"/>
      <c r="D284" s="210"/>
      <c r="E284" s="211" t="s">
        <v>5</v>
      </c>
      <c r="F284" s="321" t="s">
        <v>1780</v>
      </c>
      <c r="G284" s="322"/>
      <c r="H284" s="322"/>
      <c r="I284" s="322"/>
      <c r="J284" s="210"/>
      <c r="K284" s="212">
        <v>7</v>
      </c>
      <c r="L284" s="210"/>
      <c r="M284" s="210"/>
      <c r="N284" s="210"/>
      <c r="O284" s="210"/>
      <c r="P284" s="210"/>
      <c r="Q284" s="210"/>
      <c r="R284" s="213"/>
      <c r="T284" s="164"/>
      <c r="U284" s="160"/>
      <c r="V284" s="160"/>
      <c r="W284" s="160"/>
      <c r="X284" s="160"/>
      <c r="Y284" s="160"/>
      <c r="Z284" s="160"/>
      <c r="AA284" s="165"/>
      <c r="AT284" s="166" t="s">
        <v>179</v>
      </c>
      <c r="AU284" s="166" t="s">
        <v>135</v>
      </c>
      <c r="AV284" s="11" t="s">
        <v>135</v>
      </c>
      <c r="AW284" s="11" t="s">
        <v>35</v>
      </c>
      <c r="AX284" s="11" t="s">
        <v>78</v>
      </c>
      <c r="AY284" s="166" t="s">
        <v>167</v>
      </c>
    </row>
    <row r="285" spans="2:51" s="11" customFormat="1" ht="22.5" customHeight="1">
      <c r="B285" s="159"/>
      <c r="C285" s="210"/>
      <c r="D285" s="210"/>
      <c r="E285" s="211" t="s">
        <v>5</v>
      </c>
      <c r="F285" s="321" t="s">
        <v>1781</v>
      </c>
      <c r="G285" s="322"/>
      <c r="H285" s="322"/>
      <c r="I285" s="322"/>
      <c r="J285" s="210"/>
      <c r="K285" s="212">
        <v>2</v>
      </c>
      <c r="L285" s="210"/>
      <c r="M285" s="210"/>
      <c r="N285" s="210"/>
      <c r="O285" s="210"/>
      <c r="P285" s="210"/>
      <c r="Q285" s="210"/>
      <c r="R285" s="213"/>
      <c r="T285" s="164"/>
      <c r="U285" s="160"/>
      <c r="V285" s="160"/>
      <c r="W285" s="160"/>
      <c r="X285" s="160"/>
      <c r="Y285" s="160"/>
      <c r="Z285" s="160"/>
      <c r="AA285" s="165"/>
      <c r="AT285" s="166" t="s">
        <v>179</v>
      </c>
      <c r="AU285" s="166" t="s">
        <v>135</v>
      </c>
      <c r="AV285" s="11" t="s">
        <v>135</v>
      </c>
      <c r="AW285" s="11" t="s">
        <v>35</v>
      </c>
      <c r="AX285" s="11" t="s">
        <v>78</v>
      </c>
      <c r="AY285" s="166" t="s">
        <v>167</v>
      </c>
    </row>
    <row r="286" spans="2:51" s="11" customFormat="1" ht="22.5" customHeight="1">
      <c r="B286" s="159"/>
      <c r="C286" s="210"/>
      <c r="D286" s="210"/>
      <c r="E286" s="211" t="s">
        <v>5</v>
      </c>
      <c r="F286" s="321" t="s">
        <v>1782</v>
      </c>
      <c r="G286" s="322"/>
      <c r="H286" s="322"/>
      <c r="I286" s="322"/>
      <c r="J286" s="210"/>
      <c r="K286" s="212">
        <v>1</v>
      </c>
      <c r="L286" s="210"/>
      <c r="M286" s="210"/>
      <c r="N286" s="210"/>
      <c r="O286" s="210"/>
      <c r="P286" s="210"/>
      <c r="Q286" s="210"/>
      <c r="R286" s="213"/>
      <c r="T286" s="164"/>
      <c r="U286" s="160"/>
      <c r="V286" s="160"/>
      <c r="W286" s="160"/>
      <c r="X286" s="160"/>
      <c r="Y286" s="160"/>
      <c r="Z286" s="160"/>
      <c r="AA286" s="165"/>
      <c r="AT286" s="166" t="s">
        <v>179</v>
      </c>
      <c r="AU286" s="166" t="s">
        <v>135</v>
      </c>
      <c r="AV286" s="11" t="s">
        <v>135</v>
      </c>
      <c r="AW286" s="11" t="s">
        <v>35</v>
      </c>
      <c r="AX286" s="11" t="s">
        <v>78</v>
      </c>
      <c r="AY286" s="166" t="s">
        <v>167</v>
      </c>
    </row>
    <row r="287" spans="2:51" s="12" customFormat="1" ht="22.5" customHeight="1">
      <c r="B287" s="167"/>
      <c r="C287" s="218"/>
      <c r="D287" s="218"/>
      <c r="E287" s="219" t="s">
        <v>5</v>
      </c>
      <c r="F287" s="327" t="s">
        <v>183</v>
      </c>
      <c r="G287" s="328"/>
      <c r="H287" s="328"/>
      <c r="I287" s="328"/>
      <c r="J287" s="218"/>
      <c r="K287" s="220">
        <v>54</v>
      </c>
      <c r="L287" s="218"/>
      <c r="M287" s="218"/>
      <c r="N287" s="218"/>
      <c r="O287" s="218"/>
      <c r="P287" s="218"/>
      <c r="Q287" s="218"/>
      <c r="R287" s="221"/>
      <c r="T287" s="172"/>
      <c r="U287" s="168"/>
      <c r="V287" s="168"/>
      <c r="W287" s="168"/>
      <c r="X287" s="168"/>
      <c r="Y287" s="168"/>
      <c r="Z287" s="168"/>
      <c r="AA287" s="173"/>
      <c r="AT287" s="174" t="s">
        <v>179</v>
      </c>
      <c r="AU287" s="174" t="s">
        <v>135</v>
      </c>
      <c r="AV287" s="12" t="s">
        <v>172</v>
      </c>
      <c r="AW287" s="12" t="s">
        <v>35</v>
      </c>
      <c r="AX287" s="12" t="s">
        <v>21</v>
      </c>
      <c r="AY287" s="174" t="s">
        <v>167</v>
      </c>
    </row>
    <row r="288" spans="2:63" s="9" customFormat="1" ht="29.85" customHeight="1">
      <c r="B288" s="130"/>
      <c r="C288" s="222"/>
      <c r="D288" s="223" t="s">
        <v>148</v>
      </c>
      <c r="E288" s="223"/>
      <c r="F288" s="223"/>
      <c r="G288" s="223"/>
      <c r="H288" s="223"/>
      <c r="I288" s="223"/>
      <c r="J288" s="223"/>
      <c r="K288" s="223"/>
      <c r="L288" s="223"/>
      <c r="M288" s="223"/>
      <c r="N288" s="333">
        <f>BK288</f>
        <v>0</v>
      </c>
      <c r="O288" s="334"/>
      <c r="P288" s="334"/>
      <c r="Q288" s="334"/>
      <c r="R288" s="224"/>
      <c r="T288" s="134"/>
      <c r="U288" s="131"/>
      <c r="V288" s="131"/>
      <c r="W288" s="135">
        <f>SUM(W289:W475)</f>
        <v>18249.082066699993</v>
      </c>
      <c r="X288" s="131"/>
      <c r="Y288" s="135">
        <f>SUM(Y289:Y475)</f>
        <v>1186.450472509</v>
      </c>
      <c r="Z288" s="131"/>
      <c r="AA288" s="136">
        <f>SUM(AA289:AA475)</f>
        <v>1475.9893590000001</v>
      </c>
      <c r="AR288" s="137" t="s">
        <v>21</v>
      </c>
      <c r="AT288" s="138" t="s">
        <v>77</v>
      </c>
      <c r="AU288" s="138" t="s">
        <v>21</v>
      </c>
      <c r="AY288" s="137" t="s">
        <v>167</v>
      </c>
      <c r="BK288" s="139">
        <f>SUM(BK289:BK475)</f>
        <v>0</v>
      </c>
    </row>
    <row r="289" spans="2:65" s="1" customFormat="1" ht="31.5" customHeight="1">
      <c r="B289" s="141"/>
      <c r="C289" s="201" t="s">
        <v>203</v>
      </c>
      <c r="D289" s="201" t="s">
        <v>168</v>
      </c>
      <c r="E289" s="202" t="s">
        <v>1377</v>
      </c>
      <c r="F289" s="317" t="s">
        <v>1783</v>
      </c>
      <c r="G289" s="317"/>
      <c r="H289" s="317"/>
      <c r="I289" s="317"/>
      <c r="J289" s="203" t="s">
        <v>199</v>
      </c>
      <c r="K289" s="204">
        <f>+K292</f>
        <v>2532.348</v>
      </c>
      <c r="L289" s="318"/>
      <c r="M289" s="318"/>
      <c r="N289" s="318">
        <f>ROUND(L289*K289,2)</f>
        <v>0</v>
      </c>
      <c r="O289" s="318"/>
      <c r="P289" s="318"/>
      <c r="Q289" s="318"/>
      <c r="R289" s="205"/>
      <c r="T289" s="147" t="s">
        <v>5</v>
      </c>
      <c r="U289" s="44" t="s">
        <v>43</v>
      </c>
      <c r="V289" s="148">
        <v>0.007</v>
      </c>
      <c r="W289" s="148">
        <f>V289*K289</f>
        <v>17.726436</v>
      </c>
      <c r="X289" s="148">
        <v>6E-05</v>
      </c>
      <c r="Y289" s="148">
        <f>X289*K289</f>
        <v>0.15194088</v>
      </c>
      <c r="Z289" s="148">
        <v>0.103</v>
      </c>
      <c r="AA289" s="149">
        <f>Z289*K289</f>
        <v>260.831844</v>
      </c>
      <c r="AR289" s="21" t="s">
        <v>172</v>
      </c>
      <c r="AT289" s="21" t="s">
        <v>168</v>
      </c>
      <c r="AU289" s="21" t="s">
        <v>135</v>
      </c>
      <c r="AY289" s="21" t="s">
        <v>167</v>
      </c>
      <c r="BE289" s="150">
        <f>IF(U289="základní",N289,0)</f>
        <v>0</v>
      </c>
      <c r="BF289" s="150">
        <f>IF(U289="snížená",N289,0)</f>
        <v>0</v>
      </c>
      <c r="BG289" s="150">
        <f>IF(U289="zákl. přenesená",N289,0)</f>
        <v>0</v>
      </c>
      <c r="BH289" s="150">
        <f>IF(U289="sníž. přenesená",N289,0)</f>
        <v>0</v>
      </c>
      <c r="BI289" s="150">
        <f>IF(U289="nulová",N289,0)</f>
        <v>0</v>
      </c>
      <c r="BJ289" s="21" t="s">
        <v>21</v>
      </c>
      <c r="BK289" s="150">
        <f>ROUND(L289*K289,2)</f>
        <v>0</v>
      </c>
      <c r="BL289" s="21" t="s">
        <v>172</v>
      </c>
      <c r="BM289" s="21" t="s">
        <v>1379</v>
      </c>
    </row>
    <row r="290" spans="2:51" s="11" customFormat="1" ht="22.5" customHeight="1">
      <c r="B290" s="159"/>
      <c r="C290" s="210"/>
      <c r="D290" s="210"/>
      <c r="E290" s="211" t="s">
        <v>5</v>
      </c>
      <c r="F290" s="329" t="s">
        <v>2172</v>
      </c>
      <c r="G290" s="330"/>
      <c r="H290" s="330"/>
      <c r="I290" s="330"/>
      <c r="J290" s="210"/>
      <c r="K290" s="212">
        <f>1326.27*1.4</f>
        <v>1856.7779999999998</v>
      </c>
      <c r="L290" s="210"/>
      <c r="M290" s="210"/>
      <c r="N290" s="210"/>
      <c r="O290" s="210"/>
      <c r="P290" s="210"/>
      <c r="Q290" s="210"/>
      <c r="R290" s="213"/>
      <c r="T290" s="164"/>
      <c r="U290" s="160"/>
      <c r="V290" s="160"/>
      <c r="W290" s="160"/>
      <c r="X290" s="160"/>
      <c r="Y290" s="160"/>
      <c r="Z290" s="160"/>
      <c r="AA290" s="165"/>
      <c r="AT290" s="166" t="s">
        <v>179</v>
      </c>
      <c r="AU290" s="166" t="s">
        <v>135</v>
      </c>
      <c r="AV290" s="11" t="s">
        <v>135</v>
      </c>
      <c r="AW290" s="11" t="s">
        <v>35</v>
      </c>
      <c r="AX290" s="11" t="s">
        <v>78</v>
      </c>
      <c r="AY290" s="166" t="s">
        <v>167</v>
      </c>
    </row>
    <row r="291" spans="2:51" s="11" customFormat="1" ht="22.5" customHeight="1">
      <c r="B291" s="159"/>
      <c r="C291" s="210"/>
      <c r="D291" s="210"/>
      <c r="E291" s="211" t="s">
        <v>5</v>
      </c>
      <c r="F291" s="321" t="s">
        <v>1784</v>
      </c>
      <c r="G291" s="322"/>
      <c r="H291" s="322"/>
      <c r="I291" s="322"/>
      <c r="J291" s="210"/>
      <c r="K291" s="212">
        <v>675.57</v>
      </c>
      <c r="L291" s="210"/>
      <c r="M291" s="210"/>
      <c r="N291" s="210"/>
      <c r="O291" s="210"/>
      <c r="P291" s="210"/>
      <c r="Q291" s="210"/>
      <c r="R291" s="213"/>
      <c r="T291" s="164"/>
      <c r="U291" s="160"/>
      <c r="V291" s="160"/>
      <c r="W291" s="160"/>
      <c r="X291" s="160"/>
      <c r="Y291" s="160"/>
      <c r="Z291" s="160"/>
      <c r="AA291" s="165"/>
      <c r="AT291" s="166" t="s">
        <v>179</v>
      </c>
      <c r="AU291" s="166" t="s">
        <v>135</v>
      </c>
      <c r="AV291" s="11" t="s">
        <v>135</v>
      </c>
      <c r="AW291" s="11" t="s">
        <v>35</v>
      </c>
      <c r="AX291" s="11" t="s">
        <v>78</v>
      </c>
      <c r="AY291" s="166" t="s">
        <v>167</v>
      </c>
    </row>
    <row r="292" spans="2:51" s="12" customFormat="1" ht="22.5" customHeight="1">
      <c r="B292" s="167"/>
      <c r="C292" s="218"/>
      <c r="D292" s="218"/>
      <c r="E292" s="219" t="s">
        <v>5</v>
      </c>
      <c r="F292" s="327" t="s">
        <v>183</v>
      </c>
      <c r="G292" s="328"/>
      <c r="H292" s="328"/>
      <c r="I292" s="328"/>
      <c r="J292" s="218"/>
      <c r="K292" s="220">
        <f>SUM(K290:K291)</f>
        <v>2532.348</v>
      </c>
      <c r="L292" s="218"/>
      <c r="M292" s="218"/>
      <c r="N292" s="218"/>
      <c r="O292" s="218"/>
      <c r="P292" s="218"/>
      <c r="Q292" s="218"/>
      <c r="R292" s="221"/>
      <c r="T292" s="172"/>
      <c r="U292" s="168"/>
      <c r="V292" s="168"/>
      <c r="W292" s="168"/>
      <c r="X292" s="168"/>
      <c r="Y292" s="168"/>
      <c r="Z292" s="168"/>
      <c r="AA292" s="173"/>
      <c r="AT292" s="174" t="s">
        <v>179</v>
      </c>
      <c r="AU292" s="174" t="s">
        <v>135</v>
      </c>
      <c r="AV292" s="12" t="s">
        <v>172</v>
      </c>
      <c r="AW292" s="12" t="s">
        <v>35</v>
      </c>
      <c r="AX292" s="12" t="s">
        <v>21</v>
      </c>
      <c r="AY292" s="174" t="s">
        <v>167</v>
      </c>
    </row>
    <row r="293" spans="2:65" s="1" customFormat="1" ht="31.5" customHeight="1">
      <c r="B293" s="141"/>
      <c r="C293" s="201" t="s">
        <v>207</v>
      </c>
      <c r="D293" s="201" t="s">
        <v>168</v>
      </c>
      <c r="E293" s="202" t="s">
        <v>1380</v>
      </c>
      <c r="F293" s="317" t="s">
        <v>1381</v>
      </c>
      <c r="G293" s="317"/>
      <c r="H293" s="317"/>
      <c r="I293" s="317"/>
      <c r="J293" s="203" t="s">
        <v>199</v>
      </c>
      <c r="K293" s="204">
        <v>353.87</v>
      </c>
      <c r="L293" s="318"/>
      <c r="M293" s="318"/>
      <c r="N293" s="318">
        <f>ROUND(L293*K293,2)</f>
        <v>0</v>
      </c>
      <c r="O293" s="318"/>
      <c r="P293" s="318"/>
      <c r="Q293" s="318"/>
      <c r="R293" s="205"/>
      <c r="T293" s="147" t="s">
        <v>5</v>
      </c>
      <c r="U293" s="44" t="s">
        <v>43</v>
      </c>
      <c r="V293" s="148">
        <v>0.108</v>
      </c>
      <c r="W293" s="148">
        <f>V293*K293</f>
        <v>38.21796</v>
      </c>
      <c r="X293" s="148">
        <v>0</v>
      </c>
      <c r="Y293" s="148">
        <f>X293*K293</f>
        <v>0</v>
      </c>
      <c r="Z293" s="148">
        <v>0.181</v>
      </c>
      <c r="AA293" s="149">
        <f>Z293*K293</f>
        <v>64.05047</v>
      </c>
      <c r="AR293" s="21" t="s">
        <v>172</v>
      </c>
      <c r="AT293" s="21" t="s">
        <v>168</v>
      </c>
      <c r="AU293" s="21" t="s">
        <v>135</v>
      </c>
      <c r="AY293" s="21" t="s">
        <v>167</v>
      </c>
      <c r="BE293" s="150">
        <f>IF(U293="základní",N293,0)</f>
        <v>0</v>
      </c>
      <c r="BF293" s="150">
        <f>IF(U293="snížená",N293,0)</f>
        <v>0</v>
      </c>
      <c r="BG293" s="150">
        <f>IF(U293="zákl. přenesená",N293,0)</f>
        <v>0</v>
      </c>
      <c r="BH293" s="150">
        <f>IF(U293="sníž. přenesená",N293,0)</f>
        <v>0</v>
      </c>
      <c r="BI293" s="150">
        <f>IF(U293="nulová",N293,0)</f>
        <v>0</v>
      </c>
      <c r="BJ293" s="21" t="s">
        <v>21</v>
      </c>
      <c r="BK293" s="150">
        <f>ROUND(L293*K293,2)</f>
        <v>0</v>
      </c>
      <c r="BL293" s="21" t="s">
        <v>172</v>
      </c>
      <c r="BM293" s="21" t="s">
        <v>1785</v>
      </c>
    </row>
    <row r="294" spans="2:51" s="11" customFormat="1" ht="22.5" customHeight="1">
      <c r="B294" s="159"/>
      <c r="C294" s="210"/>
      <c r="D294" s="210"/>
      <c r="E294" s="211" t="s">
        <v>5</v>
      </c>
      <c r="F294" s="329" t="s">
        <v>1786</v>
      </c>
      <c r="G294" s="330"/>
      <c r="H294" s="330"/>
      <c r="I294" s="330"/>
      <c r="J294" s="210"/>
      <c r="K294" s="212">
        <v>353.87</v>
      </c>
      <c r="L294" s="210"/>
      <c r="M294" s="210"/>
      <c r="N294" s="210"/>
      <c r="O294" s="210"/>
      <c r="P294" s="210"/>
      <c r="Q294" s="210"/>
      <c r="R294" s="213"/>
      <c r="T294" s="164"/>
      <c r="U294" s="160"/>
      <c r="V294" s="160"/>
      <c r="W294" s="160"/>
      <c r="X294" s="160"/>
      <c r="Y294" s="160"/>
      <c r="Z294" s="160"/>
      <c r="AA294" s="165"/>
      <c r="AT294" s="166" t="s">
        <v>179</v>
      </c>
      <c r="AU294" s="166" t="s">
        <v>135</v>
      </c>
      <c r="AV294" s="11" t="s">
        <v>135</v>
      </c>
      <c r="AW294" s="11" t="s">
        <v>35</v>
      </c>
      <c r="AX294" s="11" t="s">
        <v>21</v>
      </c>
      <c r="AY294" s="166" t="s">
        <v>167</v>
      </c>
    </row>
    <row r="295" spans="2:65" s="1" customFormat="1" ht="31.5" customHeight="1">
      <c r="B295" s="141"/>
      <c r="C295" s="201" t="s">
        <v>213</v>
      </c>
      <c r="D295" s="201" t="s">
        <v>168</v>
      </c>
      <c r="E295" s="202" t="s">
        <v>1384</v>
      </c>
      <c r="F295" s="317" t="s">
        <v>1385</v>
      </c>
      <c r="G295" s="317"/>
      <c r="H295" s="317"/>
      <c r="I295" s="317"/>
      <c r="J295" s="203" t="s">
        <v>199</v>
      </c>
      <c r="K295" s="204">
        <v>353.87</v>
      </c>
      <c r="L295" s="318"/>
      <c r="M295" s="318"/>
      <c r="N295" s="318">
        <f>ROUND(L295*K295,2)</f>
        <v>0</v>
      </c>
      <c r="O295" s="318"/>
      <c r="P295" s="318"/>
      <c r="Q295" s="318"/>
      <c r="R295" s="205"/>
      <c r="T295" s="147" t="s">
        <v>5</v>
      </c>
      <c r="U295" s="44" t="s">
        <v>43</v>
      </c>
      <c r="V295" s="148">
        <v>0.073</v>
      </c>
      <c r="W295" s="148">
        <f>V295*K295</f>
        <v>25.83251</v>
      </c>
      <c r="X295" s="148">
        <v>0</v>
      </c>
      <c r="Y295" s="148">
        <f>X295*K295</f>
        <v>0</v>
      </c>
      <c r="Z295" s="148">
        <v>0.235</v>
      </c>
      <c r="AA295" s="149">
        <f>Z295*K295</f>
        <v>83.15944999999999</v>
      </c>
      <c r="AR295" s="21" t="s">
        <v>172</v>
      </c>
      <c r="AT295" s="21" t="s">
        <v>168</v>
      </c>
      <c r="AU295" s="21" t="s">
        <v>135</v>
      </c>
      <c r="AY295" s="21" t="s">
        <v>167</v>
      </c>
      <c r="BE295" s="150">
        <f>IF(U295="základní",N295,0)</f>
        <v>0</v>
      </c>
      <c r="BF295" s="150">
        <f>IF(U295="snížená",N295,0)</f>
        <v>0</v>
      </c>
      <c r="BG295" s="150">
        <f>IF(U295="zákl. přenesená",N295,0)</f>
        <v>0</v>
      </c>
      <c r="BH295" s="150">
        <f>IF(U295="sníž. přenesená",N295,0)</f>
        <v>0</v>
      </c>
      <c r="BI295" s="150">
        <f>IF(U295="nulová",N295,0)</f>
        <v>0</v>
      </c>
      <c r="BJ295" s="21" t="s">
        <v>21</v>
      </c>
      <c r="BK295" s="150">
        <f>ROUND(L295*K295,2)</f>
        <v>0</v>
      </c>
      <c r="BL295" s="21" t="s">
        <v>172</v>
      </c>
      <c r="BM295" s="21" t="s">
        <v>1386</v>
      </c>
    </row>
    <row r="296" spans="2:51" s="11" customFormat="1" ht="22.5" customHeight="1">
      <c r="B296" s="159"/>
      <c r="C296" s="210"/>
      <c r="D296" s="210"/>
      <c r="E296" s="211" t="s">
        <v>5</v>
      </c>
      <c r="F296" s="329" t="s">
        <v>1786</v>
      </c>
      <c r="G296" s="330"/>
      <c r="H296" s="330"/>
      <c r="I296" s="330"/>
      <c r="J296" s="210"/>
      <c r="K296" s="212">
        <v>353.87</v>
      </c>
      <c r="L296" s="210"/>
      <c r="M296" s="210"/>
      <c r="N296" s="210"/>
      <c r="O296" s="210"/>
      <c r="P296" s="210"/>
      <c r="Q296" s="210"/>
      <c r="R296" s="213"/>
      <c r="T296" s="164"/>
      <c r="U296" s="160"/>
      <c r="V296" s="160"/>
      <c r="W296" s="160"/>
      <c r="X296" s="160"/>
      <c r="Y296" s="160"/>
      <c r="Z296" s="160"/>
      <c r="AA296" s="165"/>
      <c r="AT296" s="166" t="s">
        <v>179</v>
      </c>
      <c r="AU296" s="166" t="s">
        <v>135</v>
      </c>
      <c r="AV296" s="11" t="s">
        <v>135</v>
      </c>
      <c r="AW296" s="11" t="s">
        <v>35</v>
      </c>
      <c r="AX296" s="11" t="s">
        <v>21</v>
      </c>
      <c r="AY296" s="166" t="s">
        <v>167</v>
      </c>
    </row>
    <row r="297" spans="2:65" s="1" customFormat="1" ht="31.5" customHeight="1">
      <c r="B297" s="141"/>
      <c r="C297" s="201" t="s">
        <v>218</v>
      </c>
      <c r="D297" s="201" t="s">
        <v>168</v>
      </c>
      <c r="E297" s="202" t="s">
        <v>1787</v>
      </c>
      <c r="F297" s="317" t="s">
        <v>1788</v>
      </c>
      <c r="G297" s="317"/>
      <c r="H297" s="317"/>
      <c r="I297" s="317"/>
      <c r="J297" s="203" t="s">
        <v>199</v>
      </c>
      <c r="K297" s="204">
        <f>+K298</f>
        <v>1458.8970000000002</v>
      </c>
      <c r="L297" s="318"/>
      <c r="M297" s="318"/>
      <c r="N297" s="318">
        <f>ROUND(L297*K297,2)</f>
        <v>0</v>
      </c>
      <c r="O297" s="318"/>
      <c r="P297" s="318"/>
      <c r="Q297" s="318"/>
      <c r="R297" s="205"/>
      <c r="T297" s="147" t="s">
        <v>5</v>
      </c>
      <c r="U297" s="44" t="s">
        <v>43</v>
      </c>
      <c r="V297" s="148">
        <v>0.073</v>
      </c>
      <c r="W297" s="148">
        <f>V297*K297</f>
        <v>106.499481</v>
      </c>
      <c r="X297" s="148">
        <v>0</v>
      </c>
      <c r="Y297" s="148">
        <f>X297*K297</f>
        <v>0</v>
      </c>
      <c r="Z297" s="148">
        <v>0.235</v>
      </c>
      <c r="AA297" s="149">
        <f>Z297*K297</f>
        <v>342.840795</v>
      </c>
      <c r="AR297" s="21" t="s">
        <v>172</v>
      </c>
      <c r="AT297" s="21" t="s">
        <v>168</v>
      </c>
      <c r="AU297" s="21" t="s">
        <v>135</v>
      </c>
      <c r="AY297" s="21" t="s">
        <v>167</v>
      </c>
      <c r="BE297" s="150">
        <f>IF(U297="základní",N297,0)</f>
        <v>0</v>
      </c>
      <c r="BF297" s="150">
        <f>IF(U297="snížená",N297,0)</f>
        <v>0</v>
      </c>
      <c r="BG297" s="150">
        <f>IF(U297="zákl. přenesená",N297,0)</f>
        <v>0</v>
      </c>
      <c r="BH297" s="150">
        <f>IF(U297="sníž. přenesená",N297,0)</f>
        <v>0</v>
      </c>
      <c r="BI297" s="150">
        <f>IF(U297="nulová",N297,0)</f>
        <v>0</v>
      </c>
      <c r="BJ297" s="21" t="s">
        <v>21</v>
      </c>
      <c r="BK297" s="150">
        <f>ROUND(L297*K297,2)</f>
        <v>0</v>
      </c>
      <c r="BL297" s="21" t="s">
        <v>172</v>
      </c>
      <c r="BM297" s="21" t="s">
        <v>1789</v>
      </c>
    </row>
    <row r="298" spans="2:51" s="11" customFormat="1" ht="22.5" customHeight="1">
      <c r="B298" s="159"/>
      <c r="C298" s="210"/>
      <c r="D298" s="210"/>
      <c r="E298" s="211" t="s">
        <v>5</v>
      </c>
      <c r="F298" s="329" t="s">
        <v>2173</v>
      </c>
      <c r="G298" s="330"/>
      <c r="H298" s="330"/>
      <c r="I298" s="330"/>
      <c r="J298" s="210"/>
      <c r="K298" s="212">
        <f>1326.27*1.1</f>
        <v>1458.8970000000002</v>
      </c>
      <c r="L298" s="210"/>
      <c r="M298" s="210"/>
      <c r="N298" s="210"/>
      <c r="O298" s="210"/>
      <c r="P298" s="210"/>
      <c r="Q298" s="210"/>
      <c r="R298" s="213"/>
      <c r="T298" s="164"/>
      <c r="U298" s="160"/>
      <c r="V298" s="160"/>
      <c r="W298" s="160"/>
      <c r="X298" s="160"/>
      <c r="Y298" s="160"/>
      <c r="Z298" s="160"/>
      <c r="AA298" s="165"/>
      <c r="AT298" s="166" t="s">
        <v>179</v>
      </c>
      <c r="AU298" s="166" t="s">
        <v>135</v>
      </c>
      <c r="AV298" s="11" t="s">
        <v>135</v>
      </c>
      <c r="AW298" s="11" t="s">
        <v>35</v>
      </c>
      <c r="AX298" s="11" t="s">
        <v>21</v>
      </c>
      <c r="AY298" s="166" t="s">
        <v>167</v>
      </c>
    </row>
    <row r="299" spans="2:65" s="1" customFormat="1" ht="31.5" customHeight="1">
      <c r="B299" s="141"/>
      <c r="C299" s="201" t="s">
        <v>25</v>
      </c>
      <c r="D299" s="201" t="s">
        <v>168</v>
      </c>
      <c r="E299" s="202" t="s">
        <v>1387</v>
      </c>
      <c r="F299" s="317" t="s">
        <v>1388</v>
      </c>
      <c r="G299" s="317"/>
      <c r="H299" s="317"/>
      <c r="I299" s="317"/>
      <c r="J299" s="203" t="s">
        <v>199</v>
      </c>
      <c r="K299" s="204">
        <v>353.87</v>
      </c>
      <c r="L299" s="318"/>
      <c r="M299" s="318"/>
      <c r="N299" s="318">
        <f>ROUND(L299*K299,2)</f>
        <v>0</v>
      </c>
      <c r="O299" s="318"/>
      <c r="P299" s="318"/>
      <c r="Q299" s="318"/>
      <c r="R299" s="205"/>
      <c r="T299" s="147" t="s">
        <v>5</v>
      </c>
      <c r="U299" s="44" t="s">
        <v>43</v>
      </c>
      <c r="V299" s="148">
        <v>0.119</v>
      </c>
      <c r="W299" s="148">
        <f>V299*K299</f>
        <v>42.11053</v>
      </c>
      <c r="X299" s="148">
        <v>0</v>
      </c>
      <c r="Y299" s="148">
        <f>X299*K299</f>
        <v>0</v>
      </c>
      <c r="Z299" s="148">
        <v>0.4</v>
      </c>
      <c r="AA299" s="149">
        <f>Z299*K299</f>
        <v>141.548</v>
      </c>
      <c r="AR299" s="21" t="s">
        <v>172</v>
      </c>
      <c r="AT299" s="21" t="s">
        <v>168</v>
      </c>
      <c r="AU299" s="21" t="s">
        <v>135</v>
      </c>
      <c r="AY299" s="21" t="s">
        <v>167</v>
      </c>
      <c r="BE299" s="150">
        <f>IF(U299="základní",N299,0)</f>
        <v>0</v>
      </c>
      <c r="BF299" s="150">
        <f>IF(U299="snížená",N299,0)</f>
        <v>0</v>
      </c>
      <c r="BG299" s="150">
        <f>IF(U299="zákl. přenesená",N299,0)</f>
        <v>0</v>
      </c>
      <c r="BH299" s="150">
        <f>IF(U299="sníž. přenesená",N299,0)</f>
        <v>0</v>
      </c>
      <c r="BI299" s="150">
        <f>IF(U299="nulová",N299,0)</f>
        <v>0</v>
      </c>
      <c r="BJ299" s="21" t="s">
        <v>21</v>
      </c>
      <c r="BK299" s="150">
        <f>ROUND(L299*K299,2)</f>
        <v>0</v>
      </c>
      <c r="BL299" s="21" t="s">
        <v>172</v>
      </c>
      <c r="BM299" s="21" t="s">
        <v>1389</v>
      </c>
    </row>
    <row r="300" spans="2:51" s="11" customFormat="1" ht="22.5" customHeight="1">
      <c r="B300" s="159"/>
      <c r="C300" s="210"/>
      <c r="D300" s="210"/>
      <c r="E300" s="211" t="s">
        <v>5</v>
      </c>
      <c r="F300" s="329" t="s">
        <v>1786</v>
      </c>
      <c r="G300" s="330"/>
      <c r="H300" s="330"/>
      <c r="I300" s="330"/>
      <c r="J300" s="210"/>
      <c r="K300" s="212">
        <v>353.87</v>
      </c>
      <c r="L300" s="210"/>
      <c r="M300" s="210"/>
      <c r="N300" s="210"/>
      <c r="O300" s="210"/>
      <c r="P300" s="210"/>
      <c r="Q300" s="210"/>
      <c r="R300" s="213"/>
      <c r="T300" s="164"/>
      <c r="U300" s="160"/>
      <c r="V300" s="160"/>
      <c r="W300" s="160"/>
      <c r="X300" s="160"/>
      <c r="Y300" s="160"/>
      <c r="Z300" s="160"/>
      <c r="AA300" s="165"/>
      <c r="AT300" s="166" t="s">
        <v>179</v>
      </c>
      <c r="AU300" s="166" t="s">
        <v>135</v>
      </c>
      <c r="AV300" s="11" t="s">
        <v>135</v>
      </c>
      <c r="AW300" s="11" t="s">
        <v>35</v>
      </c>
      <c r="AX300" s="11" t="s">
        <v>21</v>
      </c>
      <c r="AY300" s="166" t="s">
        <v>167</v>
      </c>
    </row>
    <row r="301" spans="2:65" s="1" customFormat="1" ht="31.5" customHeight="1">
      <c r="B301" s="141"/>
      <c r="C301" s="201" t="s">
        <v>270</v>
      </c>
      <c r="D301" s="201" t="s">
        <v>168</v>
      </c>
      <c r="E301" s="202" t="s">
        <v>1790</v>
      </c>
      <c r="F301" s="317" t="s">
        <v>1791</v>
      </c>
      <c r="G301" s="317"/>
      <c r="H301" s="317"/>
      <c r="I301" s="317"/>
      <c r="J301" s="203" t="s">
        <v>199</v>
      </c>
      <c r="K301" s="204">
        <f>+K302</f>
        <v>1458.8970000000002</v>
      </c>
      <c r="L301" s="318"/>
      <c r="M301" s="318"/>
      <c r="N301" s="318">
        <f>ROUND(L301*K301,2)</f>
        <v>0</v>
      </c>
      <c r="O301" s="318"/>
      <c r="P301" s="318"/>
      <c r="Q301" s="318"/>
      <c r="R301" s="205"/>
      <c r="T301" s="147" t="s">
        <v>5</v>
      </c>
      <c r="U301" s="44" t="s">
        <v>43</v>
      </c>
      <c r="V301" s="148">
        <v>0.119</v>
      </c>
      <c r="W301" s="148">
        <f>V301*K301</f>
        <v>173.608743</v>
      </c>
      <c r="X301" s="148">
        <v>0</v>
      </c>
      <c r="Y301" s="148">
        <f>X301*K301</f>
        <v>0</v>
      </c>
      <c r="Z301" s="148">
        <v>0.4</v>
      </c>
      <c r="AA301" s="149">
        <f>Z301*K301</f>
        <v>583.5588000000001</v>
      </c>
      <c r="AR301" s="21" t="s">
        <v>172</v>
      </c>
      <c r="AT301" s="21" t="s">
        <v>168</v>
      </c>
      <c r="AU301" s="21" t="s">
        <v>135</v>
      </c>
      <c r="AY301" s="21" t="s">
        <v>167</v>
      </c>
      <c r="BE301" s="150">
        <f>IF(U301="základní",N301,0)</f>
        <v>0</v>
      </c>
      <c r="BF301" s="150">
        <f>IF(U301="snížená",N301,0)</f>
        <v>0</v>
      </c>
      <c r="BG301" s="150">
        <f>IF(U301="zákl. přenesená",N301,0)</f>
        <v>0</v>
      </c>
      <c r="BH301" s="150">
        <f>IF(U301="sníž. přenesená",N301,0)</f>
        <v>0</v>
      </c>
      <c r="BI301" s="150">
        <f>IF(U301="nulová",N301,0)</f>
        <v>0</v>
      </c>
      <c r="BJ301" s="21" t="s">
        <v>21</v>
      </c>
      <c r="BK301" s="150">
        <f>ROUND(L301*K301,2)</f>
        <v>0</v>
      </c>
      <c r="BL301" s="21" t="s">
        <v>172</v>
      </c>
      <c r="BM301" s="21" t="s">
        <v>1792</v>
      </c>
    </row>
    <row r="302" spans="2:51" s="11" customFormat="1" ht="22.5" customHeight="1">
      <c r="B302" s="159"/>
      <c r="C302" s="210"/>
      <c r="D302" s="210"/>
      <c r="E302" s="211" t="s">
        <v>5</v>
      </c>
      <c r="F302" s="329" t="s">
        <v>2173</v>
      </c>
      <c r="G302" s="330"/>
      <c r="H302" s="330"/>
      <c r="I302" s="330"/>
      <c r="J302" s="210"/>
      <c r="K302" s="212">
        <f>1326.27*1.1</f>
        <v>1458.8970000000002</v>
      </c>
      <c r="L302" s="210"/>
      <c r="M302" s="210"/>
      <c r="N302" s="210"/>
      <c r="O302" s="210"/>
      <c r="P302" s="210"/>
      <c r="Q302" s="210"/>
      <c r="R302" s="213"/>
      <c r="T302" s="164"/>
      <c r="U302" s="198"/>
      <c r="V302" s="198"/>
      <c r="W302" s="198"/>
      <c r="X302" s="198"/>
      <c r="Y302" s="198"/>
      <c r="Z302" s="198"/>
      <c r="AA302" s="165"/>
      <c r="AT302" s="166" t="s">
        <v>179</v>
      </c>
      <c r="AU302" s="166" t="s">
        <v>135</v>
      </c>
      <c r="AV302" s="11" t="s">
        <v>135</v>
      </c>
      <c r="AW302" s="11" t="s">
        <v>35</v>
      </c>
      <c r="AX302" s="11" t="s">
        <v>21</v>
      </c>
      <c r="AY302" s="166" t="s">
        <v>167</v>
      </c>
    </row>
    <row r="303" spans="2:65" s="1" customFormat="1" ht="31.5" customHeight="1">
      <c r="B303" s="141"/>
      <c r="C303" s="201" t="s">
        <v>273</v>
      </c>
      <c r="D303" s="201" t="s">
        <v>168</v>
      </c>
      <c r="E303" s="202" t="s">
        <v>1140</v>
      </c>
      <c r="F303" s="317" t="s">
        <v>1141</v>
      </c>
      <c r="G303" s="317"/>
      <c r="H303" s="317"/>
      <c r="I303" s="317"/>
      <c r="J303" s="203" t="s">
        <v>176</v>
      </c>
      <c r="K303" s="204">
        <v>3.15</v>
      </c>
      <c r="L303" s="318"/>
      <c r="M303" s="318"/>
      <c r="N303" s="318">
        <f>ROUND(L303*K303,2)</f>
        <v>0</v>
      </c>
      <c r="O303" s="318"/>
      <c r="P303" s="318"/>
      <c r="Q303" s="318"/>
      <c r="R303" s="205"/>
      <c r="T303" s="147" t="s">
        <v>5</v>
      </c>
      <c r="U303" s="44" t="s">
        <v>43</v>
      </c>
      <c r="V303" s="148">
        <v>0.013</v>
      </c>
      <c r="W303" s="148">
        <f>V303*K303</f>
        <v>0.04095</v>
      </c>
      <c r="X303" s="148">
        <v>0</v>
      </c>
      <c r="Y303" s="148">
        <f>X303*K303</f>
        <v>0</v>
      </c>
      <c r="Z303" s="148">
        <v>0</v>
      </c>
      <c r="AA303" s="149">
        <f>Z303*K303</f>
        <v>0</v>
      </c>
      <c r="AR303" s="21" t="s">
        <v>172</v>
      </c>
      <c r="AT303" s="21" t="s">
        <v>168</v>
      </c>
      <c r="AU303" s="21" t="s">
        <v>135</v>
      </c>
      <c r="AY303" s="21" t="s">
        <v>167</v>
      </c>
      <c r="BE303" s="150">
        <f>IF(U303="základní",N303,0)</f>
        <v>0</v>
      </c>
      <c r="BF303" s="150">
        <f>IF(U303="snížená",N303,0)</f>
        <v>0</v>
      </c>
      <c r="BG303" s="150">
        <f>IF(U303="zákl. přenesená",N303,0)</f>
        <v>0</v>
      </c>
      <c r="BH303" s="150">
        <f>IF(U303="sníž. přenesená",N303,0)</f>
        <v>0</v>
      </c>
      <c r="BI303" s="150">
        <f>IF(U303="nulová",N303,0)</f>
        <v>0</v>
      </c>
      <c r="BJ303" s="21" t="s">
        <v>21</v>
      </c>
      <c r="BK303" s="150">
        <f>ROUND(L303*K303,2)</f>
        <v>0</v>
      </c>
      <c r="BL303" s="21" t="s">
        <v>172</v>
      </c>
      <c r="BM303" s="21" t="s">
        <v>1390</v>
      </c>
    </row>
    <row r="304" spans="2:51" s="11" customFormat="1" ht="22.5" customHeight="1">
      <c r="B304" s="159"/>
      <c r="C304" s="210"/>
      <c r="D304" s="210"/>
      <c r="E304" s="211" t="s">
        <v>5</v>
      </c>
      <c r="F304" s="329" t="s">
        <v>1793</v>
      </c>
      <c r="G304" s="330"/>
      <c r="H304" s="330"/>
      <c r="I304" s="330"/>
      <c r="J304" s="210"/>
      <c r="K304" s="212">
        <v>3.15</v>
      </c>
      <c r="L304" s="210"/>
      <c r="M304" s="210"/>
      <c r="N304" s="210"/>
      <c r="O304" s="210"/>
      <c r="P304" s="210"/>
      <c r="Q304" s="210"/>
      <c r="R304" s="213"/>
      <c r="T304" s="164"/>
      <c r="U304" s="160"/>
      <c r="V304" s="160"/>
      <c r="W304" s="160"/>
      <c r="X304" s="160"/>
      <c r="Y304" s="160"/>
      <c r="Z304" s="160"/>
      <c r="AA304" s="165"/>
      <c r="AT304" s="166" t="s">
        <v>179</v>
      </c>
      <c r="AU304" s="166" t="s">
        <v>135</v>
      </c>
      <c r="AV304" s="11" t="s">
        <v>135</v>
      </c>
      <c r="AW304" s="11" t="s">
        <v>35</v>
      </c>
      <c r="AX304" s="11" t="s">
        <v>21</v>
      </c>
      <c r="AY304" s="166" t="s">
        <v>167</v>
      </c>
    </row>
    <row r="305" spans="2:65" s="1" customFormat="1" ht="31.5" customHeight="1">
      <c r="B305" s="141"/>
      <c r="C305" s="201" t="s">
        <v>276</v>
      </c>
      <c r="D305" s="201" t="s">
        <v>168</v>
      </c>
      <c r="E305" s="202" t="s">
        <v>1392</v>
      </c>
      <c r="F305" s="317" t="s">
        <v>1393</v>
      </c>
      <c r="G305" s="317"/>
      <c r="H305" s="317"/>
      <c r="I305" s="317"/>
      <c r="J305" s="203" t="s">
        <v>176</v>
      </c>
      <c r="K305" s="204">
        <f>+K312</f>
        <v>901.9946</v>
      </c>
      <c r="L305" s="318"/>
      <c r="M305" s="318"/>
      <c r="N305" s="318">
        <f>ROUND(L305*K305,2)</f>
        <v>0</v>
      </c>
      <c r="O305" s="318"/>
      <c r="P305" s="318"/>
      <c r="Q305" s="318"/>
      <c r="R305" s="205"/>
      <c r="T305" s="147" t="s">
        <v>5</v>
      </c>
      <c r="U305" s="44" t="s">
        <v>43</v>
      </c>
      <c r="V305" s="148">
        <v>0.586</v>
      </c>
      <c r="W305" s="148">
        <f>V305*K305</f>
        <v>528.5688355999999</v>
      </c>
      <c r="X305" s="148">
        <v>0</v>
      </c>
      <c r="Y305" s="148">
        <f>X305*K305</f>
        <v>0</v>
      </c>
      <c r="Z305" s="148">
        <v>0</v>
      </c>
      <c r="AA305" s="149">
        <f>Z305*K305</f>
        <v>0</v>
      </c>
      <c r="AR305" s="21" t="s">
        <v>172</v>
      </c>
      <c r="AT305" s="21" t="s">
        <v>168</v>
      </c>
      <c r="AU305" s="21" t="s">
        <v>135</v>
      </c>
      <c r="AY305" s="21" t="s">
        <v>167</v>
      </c>
      <c r="BE305" s="150">
        <f>IF(U305="základní",N305,0)</f>
        <v>0</v>
      </c>
      <c r="BF305" s="150">
        <f>IF(U305="snížená",N305,0)</f>
        <v>0</v>
      </c>
      <c r="BG305" s="150">
        <f>IF(U305="zákl. přenesená",N305,0)</f>
        <v>0</v>
      </c>
      <c r="BH305" s="150">
        <f>IF(U305="sníž. přenesená",N305,0)</f>
        <v>0</v>
      </c>
      <c r="BI305" s="150">
        <f>IF(U305="nulová",N305,0)</f>
        <v>0</v>
      </c>
      <c r="BJ305" s="21" t="s">
        <v>21</v>
      </c>
      <c r="BK305" s="150">
        <f>ROUND(L305*K305,2)</f>
        <v>0</v>
      </c>
      <c r="BL305" s="21" t="s">
        <v>172</v>
      </c>
      <c r="BM305" s="21" t="s">
        <v>1394</v>
      </c>
    </row>
    <row r="306" spans="2:51" s="11" customFormat="1" ht="22.5" customHeight="1">
      <c r="B306" s="159"/>
      <c r="C306" s="210"/>
      <c r="D306" s="210"/>
      <c r="E306" s="211" t="s">
        <v>5</v>
      </c>
      <c r="F306" s="329" t="s">
        <v>2174</v>
      </c>
      <c r="G306" s="330"/>
      <c r="H306" s="330"/>
      <c r="I306" s="330"/>
      <c r="J306" s="210"/>
      <c r="K306" s="212">
        <v>5124.577</v>
      </c>
      <c r="L306" s="210"/>
      <c r="M306" s="210"/>
      <c r="N306" s="210"/>
      <c r="O306" s="210"/>
      <c r="P306" s="210"/>
      <c r="Q306" s="210"/>
      <c r="R306" s="213"/>
      <c r="T306" s="164"/>
      <c r="U306" s="160"/>
      <c r="V306" s="160"/>
      <c r="W306" s="160"/>
      <c r="X306" s="160"/>
      <c r="Y306" s="160"/>
      <c r="Z306" s="160"/>
      <c r="AA306" s="165"/>
      <c r="AT306" s="166" t="s">
        <v>179</v>
      </c>
      <c r="AU306" s="166" t="s">
        <v>135</v>
      </c>
      <c r="AV306" s="11" t="s">
        <v>135</v>
      </c>
      <c r="AW306" s="11" t="s">
        <v>35</v>
      </c>
      <c r="AX306" s="11" t="s">
        <v>78</v>
      </c>
      <c r="AY306" s="166" t="s">
        <v>167</v>
      </c>
    </row>
    <row r="307" spans="2:51" s="11" customFormat="1" ht="31.5" customHeight="1">
      <c r="B307" s="159"/>
      <c r="C307" s="210"/>
      <c r="D307" s="210"/>
      <c r="E307" s="211" t="s">
        <v>5</v>
      </c>
      <c r="F307" s="321" t="s">
        <v>2175</v>
      </c>
      <c r="G307" s="322"/>
      <c r="H307" s="322"/>
      <c r="I307" s="322"/>
      <c r="J307" s="210"/>
      <c r="K307" s="212">
        <f>-1326.27*1.1*0.3</f>
        <v>-437.6691</v>
      </c>
      <c r="L307" s="210"/>
      <c r="M307" s="210"/>
      <c r="N307" s="210"/>
      <c r="O307" s="210"/>
      <c r="P307" s="210"/>
      <c r="Q307" s="210"/>
      <c r="R307" s="213"/>
      <c r="T307" s="164"/>
      <c r="U307" s="160"/>
      <c r="V307" s="160"/>
      <c r="W307" s="160"/>
      <c r="X307" s="160"/>
      <c r="Y307" s="160"/>
      <c r="Z307" s="160"/>
      <c r="AA307" s="165"/>
      <c r="AT307" s="166" t="s">
        <v>179</v>
      </c>
      <c r="AU307" s="166" t="s">
        <v>135</v>
      </c>
      <c r="AV307" s="11" t="s">
        <v>135</v>
      </c>
      <c r="AW307" s="11" t="s">
        <v>35</v>
      </c>
      <c r="AX307" s="11" t="s">
        <v>78</v>
      </c>
      <c r="AY307" s="166" t="s">
        <v>167</v>
      </c>
    </row>
    <row r="308" spans="2:51" s="11" customFormat="1" ht="31.5" customHeight="1">
      <c r="B308" s="159"/>
      <c r="C308" s="210"/>
      <c r="D308" s="210"/>
      <c r="E308" s="211" t="s">
        <v>5</v>
      </c>
      <c r="F308" s="321" t="s">
        <v>1794</v>
      </c>
      <c r="G308" s="322"/>
      <c r="H308" s="322"/>
      <c r="I308" s="322"/>
      <c r="J308" s="210"/>
      <c r="K308" s="212">
        <v>-176.935</v>
      </c>
      <c r="L308" s="210"/>
      <c r="M308" s="210"/>
      <c r="N308" s="210"/>
      <c r="O308" s="210"/>
      <c r="P308" s="210"/>
      <c r="Q308" s="210"/>
      <c r="R308" s="213"/>
      <c r="T308" s="164"/>
      <c r="U308" s="160"/>
      <c r="V308" s="160"/>
      <c r="W308" s="160"/>
      <c r="X308" s="160"/>
      <c r="Y308" s="160"/>
      <c r="Z308" s="160"/>
      <c r="AA308" s="165"/>
      <c r="AT308" s="166" t="s">
        <v>179</v>
      </c>
      <c r="AU308" s="166" t="s">
        <v>135</v>
      </c>
      <c r="AV308" s="11" t="s">
        <v>135</v>
      </c>
      <c r="AW308" s="11" t="s">
        <v>35</v>
      </c>
      <c r="AX308" s="11" t="s">
        <v>78</v>
      </c>
      <c r="AY308" s="166" t="s">
        <v>167</v>
      </c>
    </row>
    <row r="309" spans="2:51" s="12" customFormat="1" ht="22.5" customHeight="1">
      <c r="B309" s="167"/>
      <c r="C309" s="218"/>
      <c r="D309" s="218"/>
      <c r="E309" s="219" t="s">
        <v>5</v>
      </c>
      <c r="F309" s="327" t="s">
        <v>183</v>
      </c>
      <c r="G309" s="328"/>
      <c r="H309" s="328"/>
      <c r="I309" s="328"/>
      <c r="J309" s="218"/>
      <c r="K309" s="220">
        <f>SUM(K306:K308)</f>
        <v>4509.9729</v>
      </c>
      <c r="L309" s="218"/>
      <c r="M309" s="218"/>
      <c r="N309" s="218"/>
      <c r="O309" s="218"/>
      <c r="P309" s="218"/>
      <c r="Q309" s="218"/>
      <c r="R309" s="221"/>
      <c r="T309" s="172"/>
      <c r="U309" s="168"/>
      <c r="V309" s="168"/>
      <c r="W309" s="168"/>
      <c r="X309" s="168"/>
      <c r="Y309" s="168"/>
      <c r="Z309" s="168"/>
      <c r="AA309" s="173"/>
      <c r="AT309" s="174" t="s">
        <v>179</v>
      </c>
      <c r="AU309" s="174" t="s">
        <v>135</v>
      </c>
      <c r="AV309" s="12" t="s">
        <v>172</v>
      </c>
      <c r="AW309" s="12" t="s">
        <v>35</v>
      </c>
      <c r="AX309" s="12" t="s">
        <v>78</v>
      </c>
      <c r="AY309" s="174" t="s">
        <v>167</v>
      </c>
    </row>
    <row r="310" spans="2:51" s="10" customFormat="1" ht="22.5" customHeight="1">
      <c r="B310" s="151"/>
      <c r="C310" s="206"/>
      <c r="D310" s="206"/>
      <c r="E310" s="207" t="s">
        <v>5</v>
      </c>
      <c r="F310" s="325" t="s">
        <v>1795</v>
      </c>
      <c r="G310" s="326"/>
      <c r="H310" s="326"/>
      <c r="I310" s="326"/>
      <c r="J310" s="206"/>
      <c r="K310" s="208" t="s">
        <v>5</v>
      </c>
      <c r="L310" s="206"/>
      <c r="M310" s="206"/>
      <c r="N310" s="206"/>
      <c r="O310" s="206"/>
      <c r="P310" s="206"/>
      <c r="Q310" s="206"/>
      <c r="R310" s="209"/>
      <c r="T310" s="156"/>
      <c r="U310" s="152"/>
      <c r="V310" s="152"/>
      <c r="W310" s="152"/>
      <c r="X310" s="152"/>
      <c r="Y310" s="152"/>
      <c r="Z310" s="152"/>
      <c r="AA310" s="157"/>
      <c r="AT310" s="158" t="s">
        <v>179</v>
      </c>
      <c r="AU310" s="158" t="s">
        <v>135</v>
      </c>
      <c r="AV310" s="10" t="s">
        <v>21</v>
      </c>
      <c r="AW310" s="10" t="s">
        <v>35</v>
      </c>
      <c r="AX310" s="10" t="s">
        <v>78</v>
      </c>
      <c r="AY310" s="158" t="s">
        <v>167</v>
      </c>
    </row>
    <row r="311" spans="2:51" s="11" customFormat="1" ht="22.5" customHeight="1">
      <c r="B311" s="159"/>
      <c r="C311" s="210"/>
      <c r="D311" s="210"/>
      <c r="E311" s="211" t="s">
        <v>5</v>
      </c>
      <c r="F311" s="321" t="s">
        <v>2176</v>
      </c>
      <c r="G311" s="322"/>
      <c r="H311" s="322"/>
      <c r="I311" s="322"/>
      <c r="J311" s="210"/>
      <c r="K311" s="212">
        <f>4509.973*0.2</f>
        <v>901.9946</v>
      </c>
      <c r="L311" s="210"/>
      <c r="M311" s="210"/>
      <c r="N311" s="210"/>
      <c r="O311" s="210"/>
      <c r="P311" s="210"/>
      <c r="Q311" s="210"/>
      <c r="R311" s="213"/>
      <c r="T311" s="164"/>
      <c r="U311" s="160"/>
      <c r="V311" s="160"/>
      <c r="W311" s="160"/>
      <c r="X311" s="160"/>
      <c r="Y311" s="160"/>
      <c r="Z311" s="160"/>
      <c r="AA311" s="165"/>
      <c r="AT311" s="166" t="s">
        <v>179</v>
      </c>
      <c r="AU311" s="166" t="s">
        <v>135</v>
      </c>
      <c r="AV311" s="11" t="s">
        <v>135</v>
      </c>
      <c r="AW311" s="11" t="s">
        <v>35</v>
      </c>
      <c r="AX311" s="11" t="s">
        <v>78</v>
      </c>
      <c r="AY311" s="166" t="s">
        <v>167</v>
      </c>
    </row>
    <row r="312" spans="2:51" s="12" customFormat="1" ht="22.5" customHeight="1">
      <c r="B312" s="167"/>
      <c r="C312" s="218"/>
      <c r="D312" s="218"/>
      <c r="E312" s="219" t="s">
        <v>5</v>
      </c>
      <c r="F312" s="327" t="s">
        <v>183</v>
      </c>
      <c r="G312" s="328"/>
      <c r="H312" s="328"/>
      <c r="I312" s="328"/>
      <c r="J312" s="218"/>
      <c r="K312" s="220">
        <f>+K311</f>
        <v>901.9946</v>
      </c>
      <c r="L312" s="218"/>
      <c r="M312" s="218"/>
      <c r="N312" s="218"/>
      <c r="O312" s="218"/>
      <c r="P312" s="218"/>
      <c r="Q312" s="218"/>
      <c r="R312" s="221"/>
      <c r="T312" s="172"/>
      <c r="U312" s="168"/>
      <c r="V312" s="168"/>
      <c r="W312" s="168"/>
      <c r="X312" s="168"/>
      <c r="Y312" s="168"/>
      <c r="Z312" s="168"/>
      <c r="AA312" s="173"/>
      <c r="AT312" s="174" t="s">
        <v>179</v>
      </c>
      <c r="AU312" s="174" t="s">
        <v>135</v>
      </c>
      <c r="AV312" s="12" t="s">
        <v>172</v>
      </c>
      <c r="AW312" s="12" t="s">
        <v>35</v>
      </c>
      <c r="AX312" s="12" t="s">
        <v>21</v>
      </c>
      <c r="AY312" s="174" t="s">
        <v>167</v>
      </c>
    </row>
    <row r="313" spans="2:65" s="1" customFormat="1" ht="31.5" customHeight="1">
      <c r="B313" s="141"/>
      <c r="C313" s="201" t="s">
        <v>278</v>
      </c>
      <c r="D313" s="201" t="s">
        <v>168</v>
      </c>
      <c r="E313" s="202" t="s">
        <v>505</v>
      </c>
      <c r="F313" s="317" t="s">
        <v>506</v>
      </c>
      <c r="G313" s="317"/>
      <c r="H313" s="317"/>
      <c r="I313" s="317"/>
      <c r="J313" s="203" t="s">
        <v>176</v>
      </c>
      <c r="K313" s="204">
        <f>+K305</f>
        <v>901.9946</v>
      </c>
      <c r="L313" s="318"/>
      <c r="M313" s="318"/>
      <c r="N313" s="318">
        <f>ROUND(L313*K313,2)</f>
        <v>0</v>
      </c>
      <c r="O313" s="318"/>
      <c r="P313" s="318"/>
      <c r="Q313" s="318"/>
      <c r="R313" s="205"/>
      <c r="T313" s="147" t="s">
        <v>5</v>
      </c>
      <c r="U313" s="44" t="s">
        <v>43</v>
      </c>
      <c r="V313" s="148">
        <v>0.085</v>
      </c>
      <c r="W313" s="148">
        <f>V313*K313</f>
        <v>76.66954100000001</v>
      </c>
      <c r="X313" s="148">
        <v>0</v>
      </c>
      <c r="Y313" s="148">
        <f>X313*K313</f>
        <v>0</v>
      </c>
      <c r="Z313" s="148">
        <v>0</v>
      </c>
      <c r="AA313" s="149">
        <f>Z313*K313</f>
        <v>0</v>
      </c>
      <c r="AR313" s="21" t="s">
        <v>172</v>
      </c>
      <c r="AT313" s="21" t="s">
        <v>168</v>
      </c>
      <c r="AU313" s="21" t="s">
        <v>135</v>
      </c>
      <c r="AY313" s="21" t="s">
        <v>167</v>
      </c>
      <c r="BE313" s="150">
        <f>IF(U313="základní",N313,0)</f>
        <v>0</v>
      </c>
      <c r="BF313" s="150">
        <f>IF(U313="snížená",N313,0)</f>
        <v>0</v>
      </c>
      <c r="BG313" s="150">
        <f>IF(U313="zákl. přenesená",N313,0)</f>
        <v>0</v>
      </c>
      <c r="BH313" s="150">
        <f>IF(U313="sníž. přenesená",N313,0)</f>
        <v>0</v>
      </c>
      <c r="BI313" s="150">
        <f>IF(U313="nulová",N313,0)</f>
        <v>0</v>
      </c>
      <c r="BJ313" s="21" t="s">
        <v>21</v>
      </c>
      <c r="BK313" s="150">
        <f>ROUND(L313*K313,2)</f>
        <v>0</v>
      </c>
      <c r="BL313" s="21" t="s">
        <v>172</v>
      </c>
      <c r="BM313" s="21" t="s">
        <v>1191</v>
      </c>
    </row>
    <row r="314" spans="2:65" s="1" customFormat="1" ht="31.5" customHeight="1">
      <c r="B314" s="141"/>
      <c r="C314" s="201" t="s">
        <v>11</v>
      </c>
      <c r="D314" s="201" t="s">
        <v>168</v>
      </c>
      <c r="E314" s="202" t="s">
        <v>1399</v>
      </c>
      <c r="F314" s="317" t="s">
        <v>1400</v>
      </c>
      <c r="G314" s="317"/>
      <c r="H314" s="317"/>
      <c r="I314" s="317"/>
      <c r="J314" s="203" t="s">
        <v>176</v>
      </c>
      <c r="K314" s="204">
        <f>+K321</f>
        <v>901.9946</v>
      </c>
      <c r="L314" s="318"/>
      <c r="M314" s="318"/>
      <c r="N314" s="318">
        <f>ROUND(L314*K314,2)</f>
        <v>0</v>
      </c>
      <c r="O314" s="318"/>
      <c r="P314" s="318"/>
      <c r="Q314" s="318"/>
      <c r="R314" s="205"/>
      <c r="T314" s="147" t="s">
        <v>5</v>
      </c>
      <c r="U314" s="44" t="s">
        <v>43</v>
      </c>
      <c r="V314" s="148">
        <v>0.75</v>
      </c>
      <c r="W314" s="148">
        <f>V314*K314</f>
        <v>676.49595</v>
      </c>
      <c r="X314" s="148">
        <v>0</v>
      </c>
      <c r="Y314" s="148">
        <f>X314*K314</f>
        <v>0</v>
      </c>
      <c r="Z314" s="148">
        <v>0</v>
      </c>
      <c r="AA314" s="149">
        <f>Z314*K314</f>
        <v>0</v>
      </c>
      <c r="AR314" s="21" t="s">
        <v>172</v>
      </c>
      <c r="AT314" s="21" t="s">
        <v>168</v>
      </c>
      <c r="AU314" s="21" t="s">
        <v>135</v>
      </c>
      <c r="AY314" s="21" t="s">
        <v>167</v>
      </c>
      <c r="BE314" s="150">
        <f>IF(U314="základní",N314,0)</f>
        <v>0</v>
      </c>
      <c r="BF314" s="150">
        <f>IF(U314="snížená",N314,0)</f>
        <v>0</v>
      </c>
      <c r="BG314" s="150">
        <f>IF(U314="zákl. přenesená",N314,0)</f>
        <v>0</v>
      </c>
      <c r="BH314" s="150">
        <f>IF(U314="sníž. přenesená",N314,0)</f>
        <v>0</v>
      </c>
      <c r="BI314" s="150">
        <f>IF(U314="nulová",N314,0)</f>
        <v>0</v>
      </c>
      <c r="BJ314" s="21" t="s">
        <v>21</v>
      </c>
      <c r="BK314" s="150">
        <f>ROUND(L314*K314,2)</f>
        <v>0</v>
      </c>
      <c r="BL314" s="21" t="s">
        <v>172</v>
      </c>
      <c r="BM314" s="21" t="s">
        <v>1401</v>
      </c>
    </row>
    <row r="315" spans="2:51" s="11" customFormat="1" ht="22.5" customHeight="1">
      <c r="B315" s="159"/>
      <c r="C315" s="210"/>
      <c r="D315" s="210"/>
      <c r="E315" s="211" t="s">
        <v>5</v>
      </c>
      <c r="F315" s="329" t="s">
        <v>2174</v>
      </c>
      <c r="G315" s="330"/>
      <c r="H315" s="330"/>
      <c r="I315" s="330"/>
      <c r="J315" s="210"/>
      <c r="K315" s="212">
        <v>5124.577</v>
      </c>
      <c r="L315" s="210"/>
      <c r="M315" s="210"/>
      <c r="N315" s="210"/>
      <c r="O315" s="210"/>
      <c r="P315" s="210"/>
      <c r="Q315" s="210"/>
      <c r="R315" s="213"/>
      <c r="T315" s="164"/>
      <c r="U315" s="198"/>
      <c r="V315" s="198"/>
      <c r="W315" s="198"/>
      <c r="X315" s="198"/>
      <c r="Y315" s="198"/>
      <c r="Z315" s="198"/>
      <c r="AA315" s="165"/>
      <c r="AT315" s="166" t="s">
        <v>179</v>
      </c>
      <c r="AU315" s="166" t="s">
        <v>135</v>
      </c>
      <c r="AV315" s="11" t="s">
        <v>135</v>
      </c>
      <c r="AW315" s="11" t="s">
        <v>35</v>
      </c>
      <c r="AX315" s="11" t="s">
        <v>78</v>
      </c>
      <c r="AY315" s="166" t="s">
        <v>167</v>
      </c>
    </row>
    <row r="316" spans="2:51" s="11" customFormat="1" ht="31.5" customHeight="1">
      <c r="B316" s="159"/>
      <c r="C316" s="210"/>
      <c r="D316" s="210"/>
      <c r="E316" s="211" t="s">
        <v>5</v>
      </c>
      <c r="F316" s="321" t="s">
        <v>2175</v>
      </c>
      <c r="G316" s="322"/>
      <c r="H316" s="322"/>
      <c r="I316" s="322"/>
      <c r="J316" s="210"/>
      <c r="K316" s="212">
        <f>-1326.27*1.1*0.3</f>
        <v>-437.6691</v>
      </c>
      <c r="L316" s="210"/>
      <c r="M316" s="210"/>
      <c r="N316" s="210"/>
      <c r="O316" s="210"/>
      <c r="P316" s="210"/>
      <c r="Q316" s="210"/>
      <c r="R316" s="213"/>
      <c r="T316" s="164"/>
      <c r="U316" s="198"/>
      <c r="V316" s="198"/>
      <c r="W316" s="198"/>
      <c r="X316" s="198"/>
      <c r="Y316" s="198"/>
      <c r="Z316" s="198"/>
      <c r="AA316" s="165"/>
      <c r="AT316" s="166" t="s">
        <v>179</v>
      </c>
      <c r="AU316" s="166" t="s">
        <v>135</v>
      </c>
      <c r="AV316" s="11" t="s">
        <v>135</v>
      </c>
      <c r="AW316" s="11" t="s">
        <v>35</v>
      </c>
      <c r="AX316" s="11" t="s">
        <v>78</v>
      </c>
      <c r="AY316" s="166" t="s">
        <v>167</v>
      </c>
    </row>
    <row r="317" spans="2:51" s="11" customFormat="1" ht="31.5" customHeight="1">
      <c r="B317" s="159"/>
      <c r="C317" s="210"/>
      <c r="D317" s="210"/>
      <c r="E317" s="211" t="s">
        <v>5</v>
      </c>
      <c r="F317" s="321" t="s">
        <v>1794</v>
      </c>
      <c r="G317" s="322"/>
      <c r="H317" s="322"/>
      <c r="I317" s="322"/>
      <c r="J317" s="210"/>
      <c r="K317" s="212">
        <v>-176.935</v>
      </c>
      <c r="L317" s="210"/>
      <c r="M317" s="210"/>
      <c r="N317" s="210"/>
      <c r="O317" s="210"/>
      <c r="P317" s="210"/>
      <c r="Q317" s="210"/>
      <c r="R317" s="213"/>
      <c r="T317" s="164"/>
      <c r="U317" s="160"/>
      <c r="V317" s="160"/>
      <c r="W317" s="160"/>
      <c r="X317" s="160"/>
      <c r="Y317" s="160"/>
      <c r="Z317" s="160"/>
      <c r="AA317" s="165"/>
      <c r="AT317" s="166" t="s">
        <v>179</v>
      </c>
      <c r="AU317" s="166" t="s">
        <v>135</v>
      </c>
      <c r="AV317" s="11" t="s">
        <v>135</v>
      </c>
      <c r="AW317" s="11" t="s">
        <v>35</v>
      </c>
      <c r="AX317" s="11" t="s">
        <v>78</v>
      </c>
      <c r="AY317" s="166" t="s">
        <v>167</v>
      </c>
    </row>
    <row r="318" spans="2:51" s="12" customFormat="1" ht="22.5" customHeight="1">
      <c r="B318" s="167"/>
      <c r="C318" s="218"/>
      <c r="D318" s="218"/>
      <c r="E318" s="219" t="s">
        <v>5</v>
      </c>
      <c r="F318" s="327" t="s">
        <v>183</v>
      </c>
      <c r="G318" s="328"/>
      <c r="H318" s="328"/>
      <c r="I318" s="328"/>
      <c r="J318" s="218"/>
      <c r="K318" s="220">
        <f>SUM(K315:K317)</f>
        <v>4509.9729</v>
      </c>
      <c r="L318" s="218"/>
      <c r="M318" s="218"/>
      <c r="N318" s="218"/>
      <c r="O318" s="218"/>
      <c r="P318" s="218"/>
      <c r="Q318" s="218"/>
      <c r="R318" s="221"/>
      <c r="T318" s="172"/>
      <c r="U318" s="168"/>
      <c r="V318" s="168"/>
      <c r="W318" s="168"/>
      <c r="X318" s="168"/>
      <c r="Y318" s="168"/>
      <c r="Z318" s="168"/>
      <c r="AA318" s="173"/>
      <c r="AT318" s="174" t="s">
        <v>179</v>
      </c>
      <c r="AU318" s="174" t="s">
        <v>135</v>
      </c>
      <c r="AV318" s="12" t="s">
        <v>172</v>
      </c>
      <c r="AW318" s="12" t="s">
        <v>35</v>
      </c>
      <c r="AX318" s="12" t="s">
        <v>78</v>
      </c>
      <c r="AY318" s="174" t="s">
        <v>167</v>
      </c>
    </row>
    <row r="319" spans="2:51" s="10" customFormat="1" ht="22.5" customHeight="1">
      <c r="B319" s="151"/>
      <c r="C319" s="206"/>
      <c r="D319" s="206"/>
      <c r="E319" s="207" t="s">
        <v>5</v>
      </c>
      <c r="F319" s="325" t="s">
        <v>1796</v>
      </c>
      <c r="G319" s="326"/>
      <c r="H319" s="326"/>
      <c r="I319" s="326"/>
      <c r="J319" s="206"/>
      <c r="K319" s="208" t="s">
        <v>5</v>
      </c>
      <c r="L319" s="206"/>
      <c r="M319" s="206"/>
      <c r="N319" s="206"/>
      <c r="O319" s="206"/>
      <c r="P319" s="206"/>
      <c r="Q319" s="206"/>
      <c r="R319" s="209"/>
      <c r="T319" s="156"/>
      <c r="U319" s="152"/>
      <c r="V319" s="152"/>
      <c r="W319" s="152"/>
      <c r="X319" s="152"/>
      <c r="Y319" s="152"/>
      <c r="Z319" s="152"/>
      <c r="AA319" s="157"/>
      <c r="AT319" s="158" t="s">
        <v>179</v>
      </c>
      <c r="AU319" s="158" t="s">
        <v>135</v>
      </c>
      <c r="AV319" s="10" t="s">
        <v>21</v>
      </c>
      <c r="AW319" s="10" t="s">
        <v>35</v>
      </c>
      <c r="AX319" s="10" t="s">
        <v>78</v>
      </c>
      <c r="AY319" s="158" t="s">
        <v>167</v>
      </c>
    </row>
    <row r="320" spans="2:51" s="11" customFormat="1" ht="22.5" customHeight="1">
      <c r="B320" s="159"/>
      <c r="C320" s="210"/>
      <c r="D320" s="210"/>
      <c r="E320" s="211" t="s">
        <v>5</v>
      </c>
      <c r="F320" s="321" t="s">
        <v>2176</v>
      </c>
      <c r="G320" s="322"/>
      <c r="H320" s="322"/>
      <c r="I320" s="322"/>
      <c r="J320" s="210"/>
      <c r="K320" s="212">
        <f>4509.973*0.2</f>
        <v>901.9946</v>
      </c>
      <c r="L320" s="210"/>
      <c r="M320" s="210"/>
      <c r="N320" s="210"/>
      <c r="O320" s="210"/>
      <c r="P320" s="210"/>
      <c r="Q320" s="210"/>
      <c r="R320" s="213"/>
      <c r="T320" s="164"/>
      <c r="U320" s="198"/>
      <c r="V320" s="198"/>
      <c r="W320" s="198"/>
      <c r="X320" s="198"/>
      <c r="Y320" s="198"/>
      <c r="Z320" s="198"/>
      <c r="AA320" s="165"/>
      <c r="AT320" s="166" t="s">
        <v>179</v>
      </c>
      <c r="AU320" s="166" t="s">
        <v>135</v>
      </c>
      <c r="AV320" s="11" t="s">
        <v>135</v>
      </c>
      <c r="AW320" s="11" t="s">
        <v>35</v>
      </c>
      <c r="AX320" s="11" t="s">
        <v>78</v>
      </c>
      <c r="AY320" s="166" t="s">
        <v>167</v>
      </c>
    </row>
    <row r="321" spans="2:51" s="12" customFormat="1" ht="22.5" customHeight="1">
      <c r="B321" s="167"/>
      <c r="C321" s="218"/>
      <c r="D321" s="218"/>
      <c r="E321" s="219" t="s">
        <v>5</v>
      </c>
      <c r="F321" s="327" t="s">
        <v>183</v>
      </c>
      <c r="G321" s="328"/>
      <c r="H321" s="328"/>
      <c r="I321" s="328"/>
      <c r="J321" s="218"/>
      <c r="K321" s="220">
        <f>+K320</f>
        <v>901.9946</v>
      </c>
      <c r="L321" s="218"/>
      <c r="M321" s="218"/>
      <c r="N321" s="218"/>
      <c r="O321" s="218"/>
      <c r="P321" s="218"/>
      <c r="Q321" s="218"/>
      <c r="R321" s="221"/>
      <c r="T321" s="172"/>
      <c r="U321" s="168"/>
      <c r="V321" s="168"/>
      <c r="W321" s="168"/>
      <c r="X321" s="168"/>
      <c r="Y321" s="168"/>
      <c r="Z321" s="168"/>
      <c r="AA321" s="173"/>
      <c r="AT321" s="174" t="s">
        <v>179</v>
      </c>
      <c r="AU321" s="174" t="s">
        <v>135</v>
      </c>
      <c r="AV321" s="12" t="s">
        <v>172</v>
      </c>
      <c r="AW321" s="12" t="s">
        <v>35</v>
      </c>
      <c r="AX321" s="12" t="s">
        <v>21</v>
      </c>
      <c r="AY321" s="174" t="s">
        <v>167</v>
      </c>
    </row>
    <row r="322" spans="2:65" s="1" customFormat="1" ht="31.5" customHeight="1">
      <c r="B322" s="141"/>
      <c r="C322" s="201" t="s">
        <v>281</v>
      </c>
      <c r="D322" s="201" t="s">
        <v>168</v>
      </c>
      <c r="E322" s="202" t="s">
        <v>1403</v>
      </c>
      <c r="F322" s="317" t="s">
        <v>1404</v>
      </c>
      <c r="G322" s="317"/>
      <c r="H322" s="317"/>
      <c r="I322" s="317"/>
      <c r="J322" s="203" t="s">
        <v>176</v>
      </c>
      <c r="K322" s="204">
        <f>+K314</f>
        <v>901.9946</v>
      </c>
      <c r="L322" s="318"/>
      <c r="M322" s="318"/>
      <c r="N322" s="318">
        <f>ROUND(L322*K322,2)</f>
        <v>0</v>
      </c>
      <c r="O322" s="318"/>
      <c r="P322" s="318"/>
      <c r="Q322" s="318"/>
      <c r="R322" s="205"/>
      <c r="T322" s="147" t="s">
        <v>5</v>
      </c>
      <c r="U322" s="44" t="s">
        <v>43</v>
      </c>
      <c r="V322" s="148">
        <v>0.198</v>
      </c>
      <c r="W322" s="148">
        <f>V322*K322</f>
        <v>178.59493080000001</v>
      </c>
      <c r="X322" s="148">
        <v>0</v>
      </c>
      <c r="Y322" s="148">
        <f>X322*K322</f>
        <v>0</v>
      </c>
      <c r="Z322" s="148">
        <v>0</v>
      </c>
      <c r="AA322" s="149">
        <f>Z322*K322</f>
        <v>0</v>
      </c>
      <c r="AR322" s="21" t="s">
        <v>172</v>
      </c>
      <c r="AT322" s="21" t="s">
        <v>168</v>
      </c>
      <c r="AU322" s="21" t="s">
        <v>135</v>
      </c>
      <c r="AY322" s="21" t="s">
        <v>167</v>
      </c>
      <c r="BE322" s="150">
        <f>IF(U322="základní",N322,0)</f>
        <v>0</v>
      </c>
      <c r="BF322" s="150">
        <f>IF(U322="snížená",N322,0)</f>
        <v>0</v>
      </c>
      <c r="BG322" s="150">
        <f>IF(U322="zákl. přenesená",N322,0)</f>
        <v>0</v>
      </c>
      <c r="BH322" s="150">
        <f>IF(U322="sníž. přenesená",N322,0)</f>
        <v>0</v>
      </c>
      <c r="BI322" s="150">
        <f>IF(U322="nulová",N322,0)</f>
        <v>0</v>
      </c>
      <c r="BJ322" s="21" t="s">
        <v>21</v>
      </c>
      <c r="BK322" s="150">
        <f>ROUND(L322*K322,2)</f>
        <v>0</v>
      </c>
      <c r="BL322" s="21" t="s">
        <v>172</v>
      </c>
      <c r="BM322" s="21" t="s">
        <v>1405</v>
      </c>
    </row>
    <row r="323" spans="2:65" s="1" customFormat="1" ht="22.5" customHeight="1">
      <c r="B323" s="141"/>
      <c r="C323" s="201" t="s">
        <v>288</v>
      </c>
      <c r="D323" s="201" t="s">
        <v>168</v>
      </c>
      <c r="E323" s="202" t="s">
        <v>1406</v>
      </c>
      <c r="F323" s="317" t="s">
        <v>1407</v>
      </c>
      <c r="G323" s="317"/>
      <c r="H323" s="317"/>
      <c r="I323" s="317"/>
      <c r="J323" s="203" t="s">
        <v>176</v>
      </c>
      <c r="K323" s="204">
        <f>+K330</f>
        <v>901.9946</v>
      </c>
      <c r="L323" s="318"/>
      <c r="M323" s="318"/>
      <c r="N323" s="318">
        <f>ROUND(L323*K323,2)</f>
        <v>0</v>
      </c>
      <c r="O323" s="318"/>
      <c r="P323" s="318"/>
      <c r="Q323" s="318"/>
      <c r="R323" s="205"/>
      <c r="T323" s="147" t="s">
        <v>5</v>
      </c>
      <c r="U323" s="44" t="s">
        <v>43</v>
      </c>
      <c r="V323" s="148">
        <v>2.379</v>
      </c>
      <c r="W323" s="148">
        <f>V323*K323</f>
        <v>2145.8451534</v>
      </c>
      <c r="X323" s="148">
        <v>0.01046</v>
      </c>
      <c r="Y323" s="148">
        <f>X323*K323</f>
        <v>9.434863516</v>
      </c>
      <c r="Z323" s="148">
        <v>0</v>
      </c>
      <c r="AA323" s="149">
        <f>Z323*K323</f>
        <v>0</v>
      </c>
      <c r="AR323" s="21" t="s">
        <v>172</v>
      </c>
      <c r="AT323" s="21" t="s">
        <v>168</v>
      </c>
      <c r="AU323" s="21" t="s">
        <v>135</v>
      </c>
      <c r="AY323" s="21" t="s">
        <v>167</v>
      </c>
      <c r="BE323" s="150">
        <f>IF(U323="základní",N323,0)</f>
        <v>0</v>
      </c>
      <c r="BF323" s="150">
        <f>IF(U323="snížená",N323,0)</f>
        <v>0</v>
      </c>
      <c r="BG323" s="150">
        <f>IF(U323="zákl. přenesená",N323,0)</f>
        <v>0</v>
      </c>
      <c r="BH323" s="150">
        <f>IF(U323="sníž. přenesená",N323,0)</f>
        <v>0</v>
      </c>
      <c r="BI323" s="150">
        <f>IF(U323="nulová",N323,0)</f>
        <v>0</v>
      </c>
      <c r="BJ323" s="21" t="s">
        <v>21</v>
      </c>
      <c r="BK323" s="150">
        <f>ROUND(L323*K323,2)</f>
        <v>0</v>
      </c>
      <c r="BL323" s="21" t="s">
        <v>172</v>
      </c>
      <c r="BM323" s="21" t="s">
        <v>1408</v>
      </c>
    </row>
    <row r="324" spans="2:51" s="11" customFormat="1" ht="22.5" customHeight="1">
      <c r="B324" s="159"/>
      <c r="C324" s="210"/>
      <c r="D324" s="210"/>
      <c r="E324" s="211" t="s">
        <v>5</v>
      </c>
      <c r="F324" s="329" t="s">
        <v>2174</v>
      </c>
      <c r="G324" s="330"/>
      <c r="H324" s="330"/>
      <c r="I324" s="330"/>
      <c r="J324" s="210"/>
      <c r="K324" s="212">
        <v>5124.577</v>
      </c>
      <c r="L324" s="210"/>
      <c r="M324" s="210"/>
      <c r="N324" s="210"/>
      <c r="O324" s="210"/>
      <c r="P324" s="210"/>
      <c r="Q324" s="210"/>
      <c r="R324" s="213"/>
      <c r="T324" s="164"/>
      <c r="U324" s="198"/>
      <c r="V324" s="198"/>
      <c r="W324" s="198"/>
      <c r="X324" s="198"/>
      <c r="Y324" s="198"/>
      <c r="Z324" s="198"/>
      <c r="AA324" s="165"/>
      <c r="AT324" s="166" t="s">
        <v>179</v>
      </c>
      <c r="AU324" s="166" t="s">
        <v>135</v>
      </c>
      <c r="AV324" s="11" t="s">
        <v>135</v>
      </c>
      <c r="AW324" s="11" t="s">
        <v>35</v>
      </c>
      <c r="AX324" s="11" t="s">
        <v>78</v>
      </c>
      <c r="AY324" s="166" t="s">
        <v>167</v>
      </c>
    </row>
    <row r="325" spans="2:51" s="11" customFormat="1" ht="31.5" customHeight="1">
      <c r="B325" s="159"/>
      <c r="C325" s="210"/>
      <c r="D325" s="210"/>
      <c r="E325" s="211" t="s">
        <v>5</v>
      </c>
      <c r="F325" s="321" t="s">
        <v>2175</v>
      </c>
      <c r="G325" s="322"/>
      <c r="H325" s="322"/>
      <c r="I325" s="322"/>
      <c r="J325" s="210"/>
      <c r="K325" s="212">
        <f>-1326.27*1.1*0.3</f>
        <v>-437.6691</v>
      </c>
      <c r="L325" s="210"/>
      <c r="M325" s="210"/>
      <c r="N325" s="210"/>
      <c r="O325" s="210"/>
      <c r="P325" s="210"/>
      <c r="Q325" s="210"/>
      <c r="R325" s="213"/>
      <c r="T325" s="164"/>
      <c r="U325" s="198"/>
      <c r="V325" s="198"/>
      <c r="W325" s="198"/>
      <c r="X325" s="198"/>
      <c r="Y325" s="198"/>
      <c r="Z325" s="198"/>
      <c r="AA325" s="165"/>
      <c r="AT325" s="166" t="s">
        <v>179</v>
      </c>
      <c r="AU325" s="166" t="s">
        <v>135</v>
      </c>
      <c r="AV325" s="11" t="s">
        <v>135</v>
      </c>
      <c r="AW325" s="11" t="s">
        <v>35</v>
      </c>
      <c r="AX325" s="11" t="s">
        <v>78</v>
      </c>
      <c r="AY325" s="166" t="s">
        <v>167</v>
      </c>
    </row>
    <row r="326" spans="2:51" s="11" customFormat="1" ht="31.5" customHeight="1">
      <c r="B326" s="159"/>
      <c r="C326" s="210"/>
      <c r="D326" s="210"/>
      <c r="E326" s="211" t="s">
        <v>5</v>
      </c>
      <c r="F326" s="321" t="s">
        <v>1794</v>
      </c>
      <c r="G326" s="322"/>
      <c r="H326" s="322"/>
      <c r="I326" s="322"/>
      <c r="J326" s="210"/>
      <c r="K326" s="212">
        <v>-176.935</v>
      </c>
      <c r="L326" s="210"/>
      <c r="M326" s="210"/>
      <c r="N326" s="210"/>
      <c r="O326" s="210"/>
      <c r="P326" s="210"/>
      <c r="Q326" s="210"/>
      <c r="R326" s="213"/>
      <c r="T326" s="164"/>
      <c r="U326" s="160"/>
      <c r="V326" s="160"/>
      <c r="W326" s="160"/>
      <c r="X326" s="160"/>
      <c r="Y326" s="160"/>
      <c r="Z326" s="160"/>
      <c r="AA326" s="165"/>
      <c r="AT326" s="166" t="s">
        <v>179</v>
      </c>
      <c r="AU326" s="166" t="s">
        <v>135</v>
      </c>
      <c r="AV326" s="11" t="s">
        <v>135</v>
      </c>
      <c r="AW326" s="11" t="s">
        <v>35</v>
      </c>
      <c r="AX326" s="11" t="s">
        <v>78</v>
      </c>
      <c r="AY326" s="166" t="s">
        <v>167</v>
      </c>
    </row>
    <row r="327" spans="2:51" s="12" customFormat="1" ht="22.5" customHeight="1">
      <c r="B327" s="167"/>
      <c r="C327" s="218"/>
      <c r="D327" s="218"/>
      <c r="E327" s="219" t="s">
        <v>5</v>
      </c>
      <c r="F327" s="327" t="s">
        <v>183</v>
      </c>
      <c r="G327" s="328"/>
      <c r="H327" s="328"/>
      <c r="I327" s="328"/>
      <c r="J327" s="218"/>
      <c r="K327" s="220">
        <f>SUM(K324:K326)</f>
        <v>4509.9729</v>
      </c>
      <c r="L327" s="218"/>
      <c r="M327" s="218"/>
      <c r="N327" s="218"/>
      <c r="O327" s="218"/>
      <c r="P327" s="218"/>
      <c r="Q327" s="218"/>
      <c r="R327" s="221"/>
      <c r="T327" s="172"/>
      <c r="U327" s="168"/>
      <c r="V327" s="168"/>
      <c r="W327" s="168"/>
      <c r="X327" s="168"/>
      <c r="Y327" s="168"/>
      <c r="Z327" s="168"/>
      <c r="AA327" s="173"/>
      <c r="AT327" s="174" t="s">
        <v>179</v>
      </c>
      <c r="AU327" s="174" t="s">
        <v>135</v>
      </c>
      <c r="AV327" s="12" t="s">
        <v>172</v>
      </c>
      <c r="AW327" s="12" t="s">
        <v>35</v>
      </c>
      <c r="AX327" s="12" t="s">
        <v>78</v>
      </c>
      <c r="AY327" s="174" t="s">
        <v>167</v>
      </c>
    </row>
    <row r="328" spans="2:51" s="10" customFormat="1" ht="22.5" customHeight="1">
      <c r="B328" s="151"/>
      <c r="C328" s="206"/>
      <c r="D328" s="206"/>
      <c r="E328" s="207" t="s">
        <v>5</v>
      </c>
      <c r="F328" s="325" t="s">
        <v>1797</v>
      </c>
      <c r="G328" s="326"/>
      <c r="H328" s="326"/>
      <c r="I328" s="326"/>
      <c r="J328" s="206"/>
      <c r="K328" s="208" t="s">
        <v>5</v>
      </c>
      <c r="L328" s="206"/>
      <c r="M328" s="206"/>
      <c r="N328" s="206"/>
      <c r="O328" s="206"/>
      <c r="P328" s="206"/>
      <c r="Q328" s="206"/>
      <c r="R328" s="209"/>
      <c r="T328" s="156"/>
      <c r="U328" s="152"/>
      <c r="V328" s="152"/>
      <c r="W328" s="152"/>
      <c r="X328" s="152"/>
      <c r="Y328" s="152"/>
      <c r="Z328" s="152"/>
      <c r="AA328" s="157"/>
      <c r="AT328" s="158" t="s">
        <v>179</v>
      </c>
      <c r="AU328" s="158" t="s">
        <v>135</v>
      </c>
      <c r="AV328" s="10" t="s">
        <v>21</v>
      </c>
      <c r="AW328" s="10" t="s">
        <v>35</v>
      </c>
      <c r="AX328" s="10" t="s">
        <v>78</v>
      </c>
      <c r="AY328" s="158" t="s">
        <v>167</v>
      </c>
    </row>
    <row r="329" spans="2:51" s="11" customFormat="1" ht="22.5" customHeight="1">
      <c r="B329" s="159"/>
      <c r="C329" s="210"/>
      <c r="D329" s="210"/>
      <c r="E329" s="211" t="s">
        <v>5</v>
      </c>
      <c r="F329" s="321" t="s">
        <v>2176</v>
      </c>
      <c r="G329" s="322"/>
      <c r="H329" s="322"/>
      <c r="I329" s="322"/>
      <c r="J329" s="210"/>
      <c r="K329" s="212">
        <f>4509.973*0.2</f>
        <v>901.9946</v>
      </c>
      <c r="L329" s="210"/>
      <c r="M329" s="210"/>
      <c r="N329" s="210"/>
      <c r="O329" s="210"/>
      <c r="P329" s="210"/>
      <c r="Q329" s="210"/>
      <c r="R329" s="213"/>
      <c r="T329" s="164"/>
      <c r="U329" s="198"/>
      <c r="V329" s="198"/>
      <c r="W329" s="198"/>
      <c r="X329" s="198"/>
      <c r="Y329" s="198"/>
      <c r="Z329" s="198"/>
      <c r="AA329" s="165"/>
      <c r="AT329" s="166" t="s">
        <v>179</v>
      </c>
      <c r="AU329" s="166" t="s">
        <v>135</v>
      </c>
      <c r="AV329" s="11" t="s">
        <v>135</v>
      </c>
      <c r="AW329" s="11" t="s">
        <v>35</v>
      </c>
      <c r="AX329" s="11" t="s">
        <v>78</v>
      </c>
      <c r="AY329" s="166" t="s">
        <v>167</v>
      </c>
    </row>
    <row r="330" spans="2:51" s="12" customFormat="1" ht="22.5" customHeight="1">
      <c r="B330" s="167"/>
      <c r="C330" s="218"/>
      <c r="D330" s="218"/>
      <c r="E330" s="219" t="s">
        <v>5</v>
      </c>
      <c r="F330" s="327" t="s">
        <v>183</v>
      </c>
      <c r="G330" s="328"/>
      <c r="H330" s="328"/>
      <c r="I330" s="328"/>
      <c r="J330" s="218"/>
      <c r="K330" s="220">
        <f>+K329</f>
        <v>901.9946</v>
      </c>
      <c r="L330" s="218"/>
      <c r="M330" s="218"/>
      <c r="N330" s="218"/>
      <c r="O330" s="218"/>
      <c r="P330" s="218"/>
      <c r="Q330" s="218"/>
      <c r="R330" s="221"/>
      <c r="T330" s="172"/>
      <c r="U330" s="168"/>
      <c r="V330" s="168"/>
      <c r="W330" s="168"/>
      <c r="X330" s="168"/>
      <c r="Y330" s="168"/>
      <c r="Z330" s="168"/>
      <c r="AA330" s="173"/>
      <c r="AT330" s="174" t="s">
        <v>179</v>
      </c>
      <c r="AU330" s="174" t="s">
        <v>135</v>
      </c>
      <c r="AV330" s="12" t="s">
        <v>172</v>
      </c>
      <c r="AW330" s="12" t="s">
        <v>35</v>
      </c>
      <c r="AX330" s="12" t="s">
        <v>21</v>
      </c>
      <c r="AY330" s="174" t="s">
        <v>167</v>
      </c>
    </row>
    <row r="331" spans="2:65" s="1" customFormat="1" ht="22.5" customHeight="1">
      <c r="B331" s="141"/>
      <c r="C331" s="201" t="s">
        <v>295</v>
      </c>
      <c r="D331" s="201" t="s">
        <v>168</v>
      </c>
      <c r="E331" s="202" t="s">
        <v>1798</v>
      </c>
      <c r="F331" s="317" t="s">
        <v>1799</v>
      </c>
      <c r="G331" s="317"/>
      <c r="H331" s="317"/>
      <c r="I331" s="317"/>
      <c r="J331" s="203" t="s">
        <v>176</v>
      </c>
      <c r="K331" s="204">
        <f>+K338</f>
        <v>1352.9919</v>
      </c>
      <c r="L331" s="318"/>
      <c r="M331" s="318"/>
      <c r="N331" s="318">
        <f>ROUND(L331*K331,2)</f>
        <v>0</v>
      </c>
      <c r="O331" s="318"/>
      <c r="P331" s="318"/>
      <c r="Q331" s="318"/>
      <c r="R331" s="205"/>
      <c r="T331" s="147" t="s">
        <v>5</v>
      </c>
      <c r="U331" s="44" t="s">
        <v>43</v>
      </c>
      <c r="V331" s="148">
        <v>1.111</v>
      </c>
      <c r="W331" s="148">
        <f>V331*K331</f>
        <v>1503.1740009</v>
      </c>
      <c r="X331" s="148">
        <v>0.01705</v>
      </c>
      <c r="Y331" s="148">
        <f>X331*K331</f>
        <v>23.068511895</v>
      </c>
      <c r="Z331" s="148">
        <v>0</v>
      </c>
      <c r="AA331" s="149">
        <f>Z331*K331</f>
        <v>0</v>
      </c>
      <c r="AR331" s="21" t="s">
        <v>172</v>
      </c>
      <c r="AT331" s="21" t="s">
        <v>168</v>
      </c>
      <c r="AU331" s="21" t="s">
        <v>135</v>
      </c>
      <c r="AY331" s="21" t="s">
        <v>167</v>
      </c>
      <c r="BE331" s="150">
        <f>IF(U331="základní",N331,0)</f>
        <v>0</v>
      </c>
      <c r="BF331" s="150">
        <f>IF(U331="snížená",N331,0)</f>
        <v>0</v>
      </c>
      <c r="BG331" s="150">
        <f>IF(U331="zákl. přenesená",N331,0)</f>
        <v>0</v>
      </c>
      <c r="BH331" s="150">
        <f>IF(U331="sníž. přenesená",N331,0)</f>
        <v>0</v>
      </c>
      <c r="BI331" s="150">
        <f>IF(U331="nulová",N331,0)</f>
        <v>0</v>
      </c>
      <c r="BJ331" s="21" t="s">
        <v>21</v>
      </c>
      <c r="BK331" s="150">
        <f>ROUND(L331*K331,2)</f>
        <v>0</v>
      </c>
      <c r="BL331" s="21" t="s">
        <v>172</v>
      </c>
      <c r="BM331" s="21" t="s">
        <v>1800</v>
      </c>
    </row>
    <row r="332" spans="2:51" s="11" customFormat="1" ht="22.5" customHeight="1">
      <c r="B332" s="159"/>
      <c r="C332" s="210"/>
      <c r="D332" s="210"/>
      <c r="E332" s="211" t="s">
        <v>5</v>
      </c>
      <c r="F332" s="329" t="s">
        <v>2174</v>
      </c>
      <c r="G332" s="330"/>
      <c r="H332" s="330"/>
      <c r="I332" s="330"/>
      <c r="J332" s="210"/>
      <c r="K332" s="212">
        <v>5124.577</v>
      </c>
      <c r="L332" s="210"/>
      <c r="M332" s="210"/>
      <c r="N332" s="210"/>
      <c r="O332" s="210"/>
      <c r="P332" s="210"/>
      <c r="Q332" s="210"/>
      <c r="R332" s="213"/>
      <c r="T332" s="164"/>
      <c r="U332" s="198"/>
      <c r="V332" s="198"/>
      <c r="W332" s="198"/>
      <c r="X332" s="198"/>
      <c r="Y332" s="198"/>
      <c r="Z332" s="198"/>
      <c r="AA332" s="165"/>
      <c r="AT332" s="166" t="s">
        <v>179</v>
      </c>
      <c r="AU332" s="166" t="s">
        <v>135</v>
      </c>
      <c r="AV332" s="11" t="s">
        <v>135</v>
      </c>
      <c r="AW332" s="11" t="s">
        <v>35</v>
      </c>
      <c r="AX332" s="11" t="s">
        <v>78</v>
      </c>
      <c r="AY332" s="166" t="s">
        <v>167</v>
      </c>
    </row>
    <row r="333" spans="2:51" s="11" customFormat="1" ht="31.5" customHeight="1">
      <c r="B333" s="159"/>
      <c r="C333" s="210"/>
      <c r="D333" s="210"/>
      <c r="E333" s="211" t="s">
        <v>5</v>
      </c>
      <c r="F333" s="321" t="s">
        <v>2175</v>
      </c>
      <c r="G333" s="322"/>
      <c r="H333" s="322"/>
      <c r="I333" s="322"/>
      <c r="J333" s="210"/>
      <c r="K333" s="212">
        <f>-1326.27*1.1*0.3</f>
        <v>-437.6691</v>
      </c>
      <c r="L333" s="210"/>
      <c r="M333" s="210"/>
      <c r="N333" s="210"/>
      <c r="O333" s="210"/>
      <c r="P333" s="210"/>
      <c r="Q333" s="210"/>
      <c r="R333" s="213"/>
      <c r="T333" s="164"/>
      <c r="U333" s="198"/>
      <c r="V333" s="198"/>
      <c r="W333" s="198"/>
      <c r="X333" s="198"/>
      <c r="Y333" s="198"/>
      <c r="Z333" s="198"/>
      <c r="AA333" s="165"/>
      <c r="AT333" s="166" t="s">
        <v>179</v>
      </c>
      <c r="AU333" s="166" t="s">
        <v>135</v>
      </c>
      <c r="AV333" s="11" t="s">
        <v>135</v>
      </c>
      <c r="AW333" s="11" t="s">
        <v>35</v>
      </c>
      <c r="AX333" s="11" t="s">
        <v>78</v>
      </c>
      <c r="AY333" s="166" t="s">
        <v>167</v>
      </c>
    </row>
    <row r="334" spans="2:51" s="11" customFormat="1" ht="31.5" customHeight="1">
      <c r="B334" s="159"/>
      <c r="C334" s="210"/>
      <c r="D334" s="210"/>
      <c r="E334" s="211" t="s">
        <v>5</v>
      </c>
      <c r="F334" s="321" t="s">
        <v>1794</v>
      </c>
      <c r="G334" s="322"/>
      <c r="H334" s="322"/>
      <c r="I334" s="322"/>
      <c r="J334" s="210"/>
      <c r="K334" s="212">
        <v>-176.935</v>
      </c>
      <c r="L334" s="210"/>
      <c r="M334" s="210"/>
      <c r="N334" s="210"/>
      <c r="O334" s="210"/>
      <c r="P334" s="210"/>
      <c r="Q334" s="210"/>
      <c r="R334" s="213"/>
      <c r="T334" s="164"/>
      <c r="U334" s="160"/>
      <c r="V334" s="160"/>
      <c r="W334" s="160"/>
      <c r="X334" s="160"/>
      <c r="Y334" s="160"/>
      <c r="Z334" s="160"/>
      <c r="AA334" s="165"/>
      <c r="AT334" s="166" t="s">
        <v>179</v>
      </c>
      <c r="AU334" s="166" t="s">
        <v>135</v>
      </c>
      <c r="AV334" s="11" t="s">
        <v>135</v>
      </c>
      <c r="AW334" s="11" t="s">
        <v>35</v>
      </c>
      <c r="AX334" s="11" t="s">
        <v>78</v>
      </c>
      <c r="AY334" s="166" t="s">
        <v>167</v>
      </c>
    </row>
    <row r="335" spans="2:51" s="12" customFormat="1" ht="22.5" customHeight="1">
      <c r="B335" s="167"/>
      <c r="C335" s="218"/>
      <c r="D335" s="218"/>
      <c r="E335" s="219" t="s">
        <v>5</v>
      </c>
      <c r="F335" s="327" t="s">
        <v>183</v>
      </c>
      <c r="G335" s="328"/>
      <c r="H335" s="328"/>
      <c r="I335" s="328"/>
      <c r="J335" s="218"/>
      <c r="K335" s="220">
        <f>SUM(K332:K334)</f>
        <v>4509.9729</v>
      </c>
      <c r="L335" s="218"/>
      <c r="M335" s="218"/>
      <c r="N335" s="218"/>
      <c r="O335" s="218"/>
      <c r="P335" s="218"/>
      <c r="Q335" s="218"/>
      <c r="R335" s="221"/>
      <c r="T335" s="172"/>
      <c r="U335" s="168"/>
      <c r="V335" s="168"/>
      <c r="W335" s="168"/>
      <c r="X335" s="168"/>
      <c r="Y335" s="168"/>
      <c r="Z335" s="168"/>
      <c r="AA335" s="173"/>
      <c r="AT335" s="174" t="s">
        <v>179</v>
      </c>
      <c r="AU335" s="174" t="s">
        <v>135</v>
      </c>
      <c r="AV335" s="12" t="s">
        <v>172</v>
      </c>
      <c r="AW335" s="12" t="s">
        <v>35</v>
      </c>
      <c r="AX335" s="12" t="s">
        <v>78</v>
      </c>
      <c r="AY335" s="174" t="s">
        <v>167</v>
      </c>
    </row>
    <row r="336" spans="2:51" s="10" customFormat="1" ht="22.5" customHeight="1">
      <c r="B336" s="151"/>
      <c r="C336" s="206"/>
      <c r="D336" s="206"/>
      <c r="E336" s="207" t="s">
        <v>5</v>
      </c>
      <c r="F336" s="325" t="s">
        <v>1801</v>
      </c>
      <c r="G336" s="326"/>
      <c r="H336" s="326"/>
      <c r="I336" s="326"/>
      <c r="J336" s="206"/>
      <c r="K336" s="208" t="s">
        <v>5</v>
      </c>
      <c r="L336" s="206"/>
      <c r="M336" s="206"/>
      <c r="N336" s="206"/>
      <c r="O336" s="206"/>
      <c r="P336" s="206"/>
      <c r="Q336" s="206"/>
      <c r="R336" s="209"/>
      <c r="T336" s="156"/>
      <c r="U336" s="152"/>
      <c r="V336" s="152"/>
      <c r="W336" s="152"/>
      <c r="X336" s="152"/>
      <c r="Y336" s="152"/>
      <c r="Z336" s="152"/>
      <c r="AA336" s="157"/>
      <c r="AT336" s="158" t="s">
        <v>179</v>
      </c>
      <c r="AU336" s="158" t="s">
        <v>135</v>
      </c>
      <c r="AV336" s="10" t="s">
        <v>21</v>
      </c>
      <c r="AW336" s="10" t="s">
        <v>35</v>
      </c>
      <c r="AX336" s="10" t="s">
        <v>78</v>
      </c>
      <c r="AY336" s="158" t="s">
        <v>167</v>
      </c>
    </row>
    <row r="337" spans="2:51" s="11" customFormat="1" ht="22.5" customHeight="1">
      <c r="B337" s="159"/>
      <c r="C337" s="210"/>
      <c r="D337" s="210"/>
      <c r="E337" s="211" t="s">
        <v>5</v>
      </c>
      <c r="F337" s="321" t="s">
        <v>2177</v>
      </c>
      <c r="G337" s="322"/>
      <c r="H337" s="322"/>
      <c r="I337" s="322"/>
      <c r="J337" s="210"/>
      <c r="K337" s="212">
        <f>4509.973*0.3</f>
        <v>1352.9919</v>
      </c>
      <c r="L337" s="210"/>
      <c r="M337" s="210"/>
      <c r="N337" s="210"/>
      <c r="O337" s="210"/>
      <c r="P337" s="210"/>
      <c r="Q337" s="210"/>
      <c r="R337" s="213"/>
      <c r="T337" s="164"/>
      <c r="U337" s="198"/>
      <c r="V337" s="198"/>
      <c r="W337" s="198"/>
      <c r="X337" s="198"/>
      <c r="Y337" s="198"/>
      <c r="Z337" s="198"/>
      <c r="AA337" s="165"/>
      <c r="AT337" s="166" t="s">
        <v>179</v>
      </c>
      <c r="AU337" s="166" t="s">
        <v>135</v>
      </c>
      <c r="AV337" s="11" t="s">
        <v>135</v>
      </c>
      <c r="AW337" s="11" t="s">
        <v>35</v>
      </c>
      <c r="AX337" s="11" t="s">
        <v>78</v>
      </c>
      <c r="AY337" s="166" t="s">
        <v>167</v>
      </c>
    </row>
    <row r="338" spans="2:51" s="12" customFormat="1" ht="22.5" customHeight="1">
      <c r="B338" s="167"/>
      <c r="C338" s="218"/>
      <c r="D338" s="218"/>
      <c r="E338" s="219" t="s">
        <v>5</v>
      </c>
      <c r="F338" s="327" t="s">
        <v>183</v>
      </c>
      <c r="G338" s="328"/>
      <c r="H338" s="328"/>
      <c r="I338" s="328"/>
      <c r="J338" s="218"/>
      <c r="K338" s="220">
        <f>+K337</f>
        <v>1352.9919</v>
      </c>
      <c r="L338" s="218"/>
      <c r="M338" s="218"/>
      <c r="N338" s="218"/>
      <c r="O338" s="218"/>
      <c r="P338" s="218"/>
      <c r="Q338" s="218"/>
      <c r="R338" s="221"/>
      <c r="T338" s="172"/>
      <c r="U338" s="168"/>
      <c r="V338" s="168"/>
      <c r="W338" s="168"/>
      <c r="X338" s="168"/>
      <c r="Y338" s="168"/>
      <c r="Z338" s="168"/>
      <c r="AA338" s="173"/>
      <c r="AT338" s="174" t="s">
        <v>179</v>
      </c>
      <c r="AU338" s="174" t="s">
        <v>135</v>
      </c>
      <c r="AV338" s="12" t="s">
        <v>172</v>
      </c>
      <c r="AW338" s="12" t="s">
        <v>35</v>
      </c>
      <c r="AX338" s="12" t="s">
        <v>21</v>
      </c>
      <c r="AY338" s="174" t="s">
        <v>167</v>
      </c>
    </row>
    <row r="339" spans="2:65" s="1" customFormat="1" ht="22.5" customHeight="1">
      <c r="B339" s="141"/>
      <c r="C339" s="201" t="s">
        <v>301</v>
      </c>
      <c r="D339" s="201" t="s">
        <v>168</v>
      </c>
      <c r="E339" s="202" t="s">
        <v>1802</v>
      </c>
      <c r="F339" s="317" t="s">
        <v>1803</v>
      </c>
      <c r="G339" s="317"/>
      <c r="H339" s="317"/>
      <c r="I339" s="317"/>
      <c r="J339" s="203" t="s">
        <v>176</v>
      </c>
      <c r="K339" s="204">
        <f>+K346</f>
        <v>450.9973</v>
      </c>
      <c r="L339" s="318"/>
      <c r="M339" s="318"/>
      <c r="N339" s="318">
        <f>ROUND(L339*K339,2)</f>
        <v>0</v>
      </c>
      <c r="O339" s="318"/>
      <c r="P339" s="318"/>
      <c r="Q339" s="318"/>
      <c r="R339" s="205"/>
      <c r="T339" s="147" t="s">
        <v>5</v>
      </c>
      <c r="U339" s="44" t="s">
        <v>43</v>
      </c>
      <c r="V339" s="148">
        <v>1.405</v>
      </c>
      <c r="W339" s="148">
        <f>V339*K339</f>
        <v>633.6512065000001</v>
      </c>
      <c r="X339" s="148">
        <v>0.01926</v>
      </c>
      <c r="Y339" s="148">
        <f>X339*K339</f>
        <v>8.686207998</v>
      </c>
      <c r="Z339" s="148">
        <v>0</v>
      </c>
      <c r="AA339" s="149">
        <f>Z339*K339</f>
        <v>0</v>
      </c>
      <c r="AR339" s="21" t="s">
        <v>172</v>
      </c>
      <c r="AT339" s="21" t="s">
        <v>168</v>
      </c>
      <c r="AU339" s="21" t="s">
        <v>135</v>
      </c>
      <c r="AY339" s="21" t="s">
        <v>167</v>
      </c>
      <c r="BE339" s="150">
        <f>IF(U339="základní",N339,0)</f>
        <v>0</v>
      </c>
      <c r="BF339" s="150">
        <f>IF(U339="snížená",N339,0)</f>
        <v>0</v>
      </c>
      <c r="BG339" s="150">
        <f>IF(U339="zákl. přenesená",N339,0)</f>
        <v>0</v>
      </c>
      <c r="BH339" s="150">
        <f>IF(U339="sníž. přenesená",N339,0)</f>
        <v>0</v>
      </c>
      <c r="BI339" s="150">
        <f>IF(U339="nulová",N339,0)</f>
        <v>0</v>
      </c>
      <c r="BJ339" s="21" t="s">
        <v>21</v>
      </c>
      <c r="BK339" s="150">
        <f>ROUND(L339*K339,2)</f>
        <v>0</v>
      </c>
      <c r="BL339" s="21" t="s">
        <v>172</v>
      </c>
      <c r="BM339" s="21" t="s">
        <v>1804</v>
      </c>
    </row>
    <row r="340" spans="2:51" s="11" customFormat="1" ht="22.5" customHeight="1">
      <c r="B340" s="159"/>
      <c r="C340" s="210"/>
      <c r="D340" s="210"/>
      <c r="E340" s="211" t="s">
        <v>5</v>
      </c>
      <c r="F340" s="329" t="s">
        <v>2174</v>
      </c>
      <c r="G340" s="330"/>
      <c r="H340" s="330"/>
      <c r="I340" s="330"/>
      <c r="J340" s="210"/>
      <c r="K340" s="212">
        <v>5124.577</v>
      </c>
      <c r="L340" s="210"/>
      <c r="M340" s="210"/>
      <c r="N340" s="210"/>
      <c r="O340" s="210"/>
      <c r="P340" s="210"/>
      <c r="Q340" s="210"/>
      <c r="R340" s="213"/>
      <c r="T340" s="164"/>
      <c r="U340" s="198"/>
      <c r="V340" s="198"/>
      <c r="W340" s="198"/>
      <c r="X340" s="198"/>
      <c r="Y340" s="198"/>
      <c r="Z340" s="198"/>
      <c r="AA340" s="165"/>
      <c r="AT340" s="166" t="s">
        <v>179</v>
      </c>
      <c r="AU340" s="166" t="s">
        <v>135</v>
      </c>
      <c r="AV340" s="11" t="s">
        <v>135</v>
      </c>
      <c r="AW340" s="11" t="s">
        <v>35</v>
      </c>
      <c r="AX340" s="11" t="s">
        <v>78</v>
      </c>
      <c r="AY340" s="166" t="s">
        <v>167</v>
      </c>
    </row>
    <row r="341" spans="2:51" s="11" customFormat="1" ht="31.5" customHeight="1">
      <c r="B341" s="159"/>
      <c r="C341" s="210"/>
      <c r="D341" s="210"/>
      <c r="E341" s="211" t="s">
        <v>5</v>
      </c>
      <c r="F341" s="321" t="s">
        <v>2175</v>
      </c>
      <c r="G341" s="322"/>
      <c r="H341" s="322"/>
      <c r="I341" s="322"/>
      <c r="J341" s="210"/>
      <c r="K341" s="212">
        <f>-1326.27*1.1*0.3</f>
        <v>-437.6691</v>
      </c>
      <c r="L341" s="210"/>
      <c r="M341" s="210"/>
      <c r="N341" s="210"/>
      <c r="O341" s="210"/>
      <c r="P341" s="210"/>
      <c r="Q341" s="210"/>
      <c r="R341" s="213"/>
      <c r="T341" s="164"/>
      <c r="U341" s="198"/>
      <c r="V341" s="198"/>
      <c r="W341" s="198"/>
      <c r="X341" s="198"/>
      <c r="Y341" s="198"/>
      <c r="Z341" s="198"/>
      <c r="AA341" s="165"/>
      <c r="AT341" s="166" t="s">
        <v>179</v>
      </c>
      <c r="AU341" s="166" t="s">
        <v>135</v>
      </c>
      <c r="AV341" s="11" t="s">
        <v>135</v>
      </c>
      <c r="AW341" s="11" t="s">
        <v>35</v>
      </c>
      <c r="AX341" s="11" t="s">
        <v>78</v>
      </c>
      <c r="AY341" s="166" t="s">
        <v>167</v>
      </c>
    </row>
    <row r="342" spans="2:51" s="11" customFormat="1" ht="31.5" customHeight="1">
      <c r="B342" s="159"/>
      <c r="C342" s="210"/>
      <c r="D342" s="210"/>
      <c r="E342" s="211" t="s">
        <v>5</v>
      </c>
      <c r="F342" s="321" t="s">
        <v>1794</v>
      </c>
      <c r="G342" s="322"/>
      <c r="H342" s="322"/>
      <c r="I342" s="322"/>
      <c r="J342" s="210"/>
      <c r="K342" s="212">
        <v>-176.935</v>
      </c>
      <c r="L342" s="210"/>
      <c r="M342" s="210"/>
      <c r="N342" s="210"/>
      <c r="O342" s="210"/>
      <c r="P342" s="210"/>
      <c r="Q342" s="210"/>
      <c r="R342" s="213"/>
      <c r="T342" s="164"/>
      <c r="U342" s="160"/>
      <c r="V342" s="160"/>
      <c r="W342" s="160"/>
      <c r="X342" s="160"/>
      <c r="Y342" s="160"/>
      <c r="Z342" s="160"/>
      <c r="AA342" s="165"/>
      <c r="AT342" s="166" t="s">
        <v>179</v>
      </c>
      <c r="AU342" s="166" t="s">
        <v>135</v>
      </c>
      <c r="AV342" s="11" t="s">
        <v>135</v>
      </c>
      <c r="AW342" s="11" t="s">
        <v>35</v>
      </c>
      <c r="AX342" s="11" t="s">
        <v>78</v>
      </c>
      <c r="AY342" s="166" t="s">
        <v>167</v>
      </c>
    </row>
    <row r="343" spans="2:51" s="12" customFormat="1" ht="22.5" customHeight="1">
      <c r="B343" s="167"/>
      <c r="C343" s="218"/>
      <c r="D343" s="218"/>
      <c r="E343" s="219" t="s">
        <v>5</v>
      </c>
      <c r="F343" s="327" t="s">
        <v>183</v>
      </c>
      <c r="G343" s="328"/>
      <c r="H343" s="328"/>
      <c r="I343" s="328"/>
      <c r="J343" s="218"/>
      <c r="K343" s="220">
        <f>SUM(K340:K342)</f>
        <v>4509.9729</v>
      </c>
      <c r="L343" s="218"/>
      <c r="M343" s="218"/>
      <c r="N343" s="218"/>
      <c r="O343" s="218"/>
      <c r="P343" s="218"/>
      <c r="Q343" s="218"/>
      <c r="R343" s="221"/>
      <c r="T343" s="172"/>
      <c r="U343" s="168"/>
      <c r="V343" s="168"/>
      <c r="W343" s="168"/>
      <c r="X343" s="168"/>
      <c r="Y343" s="168"/>
      <c r="Z343" s="168"/>
      <c r="AA343" s="173"/>
      <c r="AT343" s="174" t="s">
        <v>179</v>
      </c>
      <c r="AU343" s="174" t="s">
        <v>135</v>
      </c>
      <c r="AV343" s="12" t="s">
        <v>172</v>
      </c>
      <c r="AW343" s="12" t="s">
        <v>35</v>
      </c>
      <c r="AX343" s="12" t="s">
        <v>78</v>
      </c>
      <c r="AY343" s="174" t="s">
        <v>167</v>
      </c>
    </row>
    <row r="344" spans="2:51" s="10" customFormat="1" ht="22.5" customHeight="1">
      <c r="B344" s="151"/>
      <c r="C344" s="206"/>
      <c r="D344" s="206"/>
      <c r="E344" s="207" t="s">
        <v>5</v>
      </c>
      <c r="F344" s="325" t="s">
        <v>1805</v>
      </c>
      <c r="G344" s="326"/>
      <c r="H344" s="326"/>
      <c r="I344" s="326"/>
      <c r="J344" s="206"/>
      <c r="K344" s="208" t="s">
        <v>5</v>
      </c>
      <c r="L344" s="206"/>
      <c r="M344" s="206"/>
      <c r="N344" s="206"/>
      <c r="O344" s="206"/>
      <c r="P344" s="206"/>
      <c r="Q344" s="206"/>
      <c r="R344" s="209"/>
      <c r="T344" s="156"/>
      <c r="U344" s="152"/>
      <c r="V344" s="152"/>
      <c r="W344" s="152"/>
      <c r="X344" s="152"/>
      <c r="Y344" s="152"/>
      <c r="Z344" s="152"/>
      <c r="AA344" s="157"/>
      <c r="AT344" s="158" t="s">
        <v>179</v>
      </c>
      <c r="AU344" s="158" t="s">
        <v>135</v>
      </c>
      <c r="AV344" s="10" t="s">
        <v>21</v>
      </c>
      <c r="AW344" s="10" t="s">
        <v>35</v>
      </c>
      <c r="AX344" s="10" t="s">
        <v>78</v>
      </c>
      <c r="AY344" s="158" t="s">
        <v>167</v>
      </c>
    </row>
    <row r="345" spans="2:51" s="11" customFormat="1" ht="22.5" customHeight="1">
      <c r="B345" s="159"/>
      <c r="C345" s="210"/>
      <c r="D345" s="210"/>
      <c r="E345" s="211" t="s">
        <v>5</v>
      </c>
      <c r="F345" s="321" t="s">
        <v>2178</v>
      </c>
      <c r="G345" s="322"/>
      <c r="H345" s="322"/>
      <c r="I345" s="322"/>
      <c r="J345" s="210"/>
      <c r="K345" s="212">
        <f>4509.973*0.1</f>
        <v>450.9973</v>
      </c>
      <c r="L345" s="210"/>
      <c r="M345" s="210"/>
      <c r="N345" s="210"/>
      <c r="O345" s="210"/>
      <c r="P345" s="210"/>
      <c r="Q345" s="210"/>
      <c r="R345" s="213"/>
      <c r="T345" s="164"/>
      <c r="U345" s="198"/>
      <c r="V345" s="198"/>
      <c r="W345" s="198"/>
      <c r="X345" s="198"/>
      <c r="Y345" s="198"/>
      <c r="Z345" s="198"/>
      <c r="AA345" s="165"/>
      <c r="AT345" s="166" t="s">
        <v>179</v>
      </c>
      <c r="AU345" s="166" t="s">
        <v>135</v>
      </c>
      <c r="AV345" s="11" t="s">
        <v>135</v>
      </c>
      <c r="AW345" s="11" t="s">
        <v>35</v>
      </c>
      <c r="AX345" s="11" t="s">
        <v>78</v>
      </c>
      <c r="AY345" s="166" t="s">
        <v>167</v>
      </c>
    </row>
    <row r="346" spans="2:51" s="12" customFormat="1" ht="22.5" customHeight="1">
      <c r="B346" s="167"/>
      <c r="C346" s="218"/>
      <c r="D346" s="218"/>
      <c r="E346" s="219" t="s">
        <v>5</v>
      </c>
      <c r="F346" s="327" t="s">
        <v>183</v>
      </c>
      <c r="G346" s="328"/>
      <c r="H346" s="328"/>
      <c r="I346" s="328"/>
      <c r="J346" s="218"/>
      <c r="K346" s="220">
        <f>+K345</f>
        <v>450.9973</v>
      </c>
      <c r="L346" s="218"/>
      <c r="M346" s="218"/>
      <c r="N346" s="218"/>
      <c r="O346" s="218"/>
      <c r="P346" s="218"/>
      <c r="Q346" s="218"/>
      <c r="R346" s="221"/>
      <c r="T346" s="172"/>
      <c r="U346" s="168"/>
      <c r="V346" s="168"/>
      <c r="W346" s="168"/>
      <c r="X346" s="168"/>
      <c r="Y346" s="168"/>
      <c r="Z346" s="168"/>
      <c r="AA346" s="173"/>
      <c r="AT346" s="174" t="s">
        <v>179</v>
      </c>
      <c r="AU346" s="174" t="s">
        <v>135</v>
      </c>
      <c r="AV346" s="12" t="s">
        <v>172</v>
      </c>
      <c r="AW346" s="12" t="s">
        <v>35</v>
      </c>
      <c r="AX346" s="12" t="s">
        <v>21</v>
      </c>
      <c r="AY346" s="174" t="s">
        <v>167</v>
      </c>
    </row>
    <row r="347" spans="2:65" s="1" customFormat="1" ht="31.5" customHeight="1">
      <c r="B347" s="141"/>
      <c r="C347" s="201" t="s">
        <v>305</v>
      </c>
      <c r="D347" s="201" t="s">
        <v>168</v>
      </c>
      <c r="E347" s="202" t="s">
        <v>508</v>
      </c>
      <c r="F347" s="317" t="s">
        <v>509</v>
      </c>
      <c r="G347" s="317"/>
      <c r="H347" s="317"/>
      <c r="I347" s="317"/>
      <c r="J347" s="203" t="s">
        <v>176</v>
      </c>
      <c r="K347" s="204">
        <f>+K349</f>
        <v>28.3</v>
      </c>
      <c r="L347" s="318"/>
      <c r="M347" s="318"/>
      <c r="N347" s="318">
        <f>ROUND(L347*K347,2)</f>
        <v>0</v>
      </c>
      <c r="O347" s="318"/>
      <c r="P347" s="318"/>
      <c r="Q347" s="318"/>
      <c r="R347" s="205"/>
      <c r="T347" s="147" t="s">
        <v>5</v>
      </c>
      <c r="U347" s="44" t="s">
        <v>43</v>
      </c>
      <c r="V347" s="148">
        <v>3.14</v>
      </c>
      <c r="W347" s="148">
        <f>V347*K347</f>
        <v>88.86200000000001</v>
      </c>
      <c r="X347" s="148">
        <v>0</v>
      </c>
      <c r="Y347" s="148">
        <f>X347*K347</f>
        <v>0</v>
      </c>
      <c r="Z347" s="148">
        <v>0</v>
      </c>
      <c r="AA347" s="149">
        <f>Z347*K347</f>
        <v>0</v>
      </c>
      <c r="AR347" s="21" t="s">
        <v>172</v>
      </c>
      <c r="AT347" s="21" t="s">
        <v>168</v>
      </c>
      <c r="AU347" s="21" t="s">
        <v>135</v>
      </c>
      <c r="AY347" s="21" t="s">
        <v>167</v>
      </c>
      <c r="BE347" s="150">
        <f>IF(U347="základní",N347,0)</f>
        <v>0</v>
      </c>
      <c r="BF347" s="150">
        <f>IF(U347="snížená",N347,0)</f>
        <v>0</v>
      </c>
      <c r="BG347" s="150">
        <f>IF(U347="zákl. přenesená",N347,0)</f>
        <v>0</v>
      </c>
      <c r="BH347" s="150">
        <f>IF(U347="sníž. přenesená",N347,0)</f>
        <v>0</v>
      </c>
      <c r="BI347" s="150">
        <f>IF(U347="nulová",N347,0)</f>
        <v>0</v>
      </c>
      <c r="BJ347" s="21" t="s">
        <v>21</v>
      </c>
      <c r="BK347" s="150">
        <f>ROUND(L347*K347,2)</f>
        <v>0</v>
      </c>
      <c r="BL347" s="21" t="s">
        <v>172</v>
      </c>
      <c r="BM347" s="21" t="s">
        <v>1410</v>
      </c>
    </row>
    <row r="348" spans="2:51" s="10" customFormat="1" ht="22.5" customHeight="1">
      <c r="B348" s="151"/>
      <c r="C348" s="206"/>
      <c r="D348" s="206"/>
      <c r="E348" s="207" t="s">
        <v>5</v>
      </c>
      <c r="F348" s="319" t="s">
        <v>1806</v>
      </c>
      <c r="G348" s="320"/>
      <c r="H348" s="320"/>
      <c r="I348" s="320"/>
      <c r="J348" s="206"/>
      <c r="K348" s="208" t="s">
        <v>5</v>
      </c>
      <c r="L348" s="206"/>
      <c r="M348" s="206"/>
      <c r="N348" s="206"/>
      <c r="O348" s="206"/>
      <c r="P348" s="206"/>
      <c r="Q348" s="206"/>
      <c r="R348" s="209"/>
      <c r="T348" s="156"/>
      <c r="U348" s="152"/>
      <c r="V348" s="152"/>
      <c r="W348" s="152"/>
      <c r="X348" s="152"/>
      <c r="Y348" s="152"/>
      <c r="Z348" s="152"/>
      <c r="AA348" s="157"/>
      <c r="AT348" s="158" t="s">
        <v>179</v>
      </c>
      <c r="AU348" s="158" t="s">
        <v>135</v>
      </c>
      <c r="AV348" s="10" t="s">
        <v>21</v>
      </c>
      <c r="AW348" s="10" t="s">
        <v>35</v>
      </c>
      <c r="AX348" s="10" t="s">
        <v>78</v>
      </c>
      <c r="AY348" s="158" t="s">
        <v>167</v>
      </c>
    </row>
    <row r="349" spans="2:51" s="11" customFormat="1" ht="22.5" customHeight="1">
      <c r="B349" s="159"/>
      <c r="C349" s="210"/>
      <c r="D349" s="210"/>
      <c r="E349" s="211" t="s">
        <v>5</v>
      </c>
      <c r="F349" s="321" t="s">
        <v>2179</v>
      </c>
      <c r="G349" s="322"/>
      <c r="H349" s="322"/>
      <c r="I349" s="322"/>
      <c r="J349" s="210"/>
      <c r="K349" s="212">
        <f>141.5*0.2</f>
        <v>28.3</v>
      </c>
      <c r="L349" s="210"/>
      <c r="M349" s="210"/>
      <c r="N349" s="210"/>
      <c r="O349" s="210"/>
      <c r="P349" s="210"/>
      <c r="Q349" s="210"/>
      <c r="R349" s="213"/>
      <c r="T349" s="164"/>
      <c r="U349" s="160"/>
      <c r="V349" s="160"/>
      <c r="W349" s="160"/>
      <c r="X349" s="160"/>
      <c r="Y349" s="160"/>
      <c r="Z349" s="160"/>
      <c r="AA349" s="165"/>
      <c r="AT349" s="166" t="s">
        <v>179</v>
      </c>
      <c r="AU349" s="166" t="s">
        <v>135</v>
      </c>
      <c r="AV349" s="11" t="s">
        <v>135</v>
      </c>
      <c r="AW349" s="11" t="s">
        <v>35</v>
      </c>
      <c r="AX349" s="11" t="s">
        <v>21</v>
      </c>
      <c r="AY349" s="166" t="s">
        <v>167</v>
      </c>
    </row>
    <row r="350" spans="2:65" s="1" customFormat="1" ht="31.5" customHeight="1">
      <c r="B350" s="141"/>
      <c r="C350" s="201" t="s">
        <v>10</v>
      </c>
      <c r="D350" s="201" t="s">
        <v>168</v>
      </c>
      <c r="E350" s="202" t="s">
        <v>512</v>
      </c>
      <c r="F350" s="317" t="s">
        <v>513</v>
      </c>
      <c r="G350" s="317"/>
      <c r="H350" s="317"/>
      <c r="I350" s="317"/>
      <c r="J350" s="203" t="s">
        <v>176</v>
      </c>
      <c r="K350" s="204">
        <f>+K347</f>
        <v>28.3</v>
      </c>
      <c r="L350" s="318"/>
      <c r="M350" s="318"/>
      <c r="N350" s="318">
        <f>ROUND(L350*K350,2)</f>
        <v>0</v>
      </c>
      <c r="O350" s="318"/>
      <c r="P350" s="318"/>
      <c r="Q350" s="318"/>
      <c r="R350" s="205"/>
      <c r="T350" s="147" t="s">
        <v>5</v>
      </c>
      <c r="U350" s="44" t="s">
        <v>43</v>
      </c>
      <c r="V350" s="148">
        <v>0.474</v>
      </c>
      <c r="W350" s="148">
        <f>V350*K350</f>
        <v>13.4142</v>
      </c>
      <c r="X350" s="148">
        <v>0</v>
      </c>
      <c r="Y350" s="148">
        <f>X350*K350</f>
        <v>0</v>
      </c>
      <c r="Z350" s="148">
        <v>0</v>
      </c>
      <c r="AA350" s="149">
        <f>Z350*K350</f>
        <v>0</v>
      </c>
      <c r="AR350" s="21" t="s">
        <v>172</v>
      </c>
      <c r="AT350" s="21" t="s">
        <v>168</v>
      </c>
      <c r="AU350" s="21" t="s">
        <v>135</v>
      </c>
      <c r="AY350" s="21" t="s">
        <v>167</v>
      </c>
      <c r="BE350" s="150">
        <f>IF(U350="základní",N350,0)</f>
        <v>0</v>
      </c>
      <c r="BF350" s="150">
        <f>IF(U350="snížená",N350,0)</f>
        <v>0</v>
      </c>
      <c r="BG350" s="150">
        <f>IF(U350="zákl. přenesená",N350,0)</f>
        <v>0</v>
      </c>
      <c r="BH350" s="150">
        <f>IF(U350="sníž. přenesená",N350,0)</f>
        <v>0</v>
      </c>
      <c r="BI350" s="150">
        <f>IF(U350="nulová",N350,0)</f>
        <v>0</v>
      </c>
      <c r="BJ350" s="21" t="s">
        <v>21</v>
      </c>
      <c r="BK350" s="150">
        <f>ROUND(L350*K350,2)</f>
        <v>0</v>
      </c>
      <c r="BL350" s="21" t="s">
        <v>172</v>
      </c>
      <c r="BM350" s="21" t="s">
        <v>1412</v>
      </c>
    </row>
    <row r="351" spans="2:65" s="1" customFormat="1" ht="31.5" customHeight="1">
      <c r="B351" s="141"/>
      <c r="C351" s="201" t="s">
        <v>316</v>
      </c>
      <c r="D351" s="201" t="s">
        <v>168</v>
      </c>
      <c r="E351" s="202" t="s">
        <v>1413</v>
      </c>
      <c r="F351" s="317" t="s">
        <v>1414</v>
      </c>
      <c r="G351" s="317"/>
      <c r="H351" s="317"/>
      <c r="I351" s="317"/>
      <c r="J351" s="203" t="s">
        <v>176</v>
      </c>
      <c r="K351" s="204">
        <f>+K353</f>
        <v>28.3</v>
      </c>
      <c r="L351" s="318"/>
      <c r="M351" s="318"/>
      <c r="N351" s="318">
        <f>ROUND(L351*K351,2)</f>
        <v>0</v>
      </c>
      <c r="O351" s="318"/>
      <c r="P351" s="318"/>
      <c r="Q351" s="318"/>
      <c r="R351" s="205"/>
      <c r="T351" s="147" t="s">
        <v>5</v>
      </c>
      <c r="U351" s="44" t="s">
        <v>43</v>
      </c>
      <c r="V351" s="148">
        <v>4.627</v>
      </c>
      <c r="W351" s="148">
        <f>V351*K351</f>
        <v>130.9441</v>
      </c>
      <c r="X351" s="148">
        <v>0</v>
      </c>
      <c r="Y351" s="148">
        <f>X351*K351</f>
        <v>0</v>
      </c>
      <c r="Z351" s="148">
        <v>0</v>
      </c>
      <c r="AA351" s="149">
        <f>Z351*K351</f>
        <v>0</v>
      </c>
      <c r="AR351" s="21" t="s">
        <v>172</v>
      </c>
      <c r="AT351" s="21" t="s">
        <v>168</v>
      </c>
      <c r="AU351" s="21" t="s">
        <v>135</v>
      </c>
      <c r="AY351" s="21" t="s">
        <v>167</v>
      </c>
      <c r="BE351" s="150">
        <f>IF(U351="základní",N351,0)</f>
        <v>0</v>
      </c>
      <c r="BF351" s="150">
        <f>IF(U351="snížená",N351,0)</f>
        <v>0</v>
      </c>
      <c r="BG351" s="150">
        <f>IF(U351="zákl. přenesená",N351,0)</f>
        <v>0</v>
      </c>
      <c r="BH351" s="150">
        <f>IF(U351="sníž. přenesená",N351,0)</f>
        <v>0</v>
      </c>
      <c r="BI351" s="150">
        <f>IF(U351="nulová",N351,0)</f>
        <v>0</v>
      </c>
      <c r="BJ351" s="21" t="s">
        <v>21</v>
      </c>
      <c r="BK351" s="150">
        <f>ROUND(L351*K351,2)</f>
        <v>0</v>
      </c>
      <c r="BL351" s="21" t="s">
        <v>172</v>
      </c>
      <c r="BM351" s="21" t="s">
        <v>1415</v>
      </c>
    </row>
    <row r="352" spans="2:51" s="10" customFormat="1" ht="22.5" customHeight="1">
      <c r="B352" s="151"/>
      <c r="C352" s="206"/>
      <c r="D352" s="206"/>
      <c r="E352" s="207" t="s">
        <v>5</v>
      </c>
      <c r="F352" s="319" t="s">
        <v>1807</v>
      </c>
      <c r="G352" s="320"/>
      <c r="H352" s="320"/>
      <c r="I352" s="320"/>
      <c r="J352" s="206"/>
      <c r="K352" s="208" t="s">
        <v>5</v>
      </c>
      <c r="L352" s="206"/>
      <c r="M352" s="206"/>
      <c r="N352" s="206"/>
      <c r="O352" s="206"/>
      <c r="P352" s="206"/>
      <c r="Q352" s="206"/>
      <c r="R352" s="209"/>
      <c r="T352" s="156"/>
      <c r="U352" s="152"/>
      <c r="V352" s="152"/>
      <c r="W352" s="152"/>
      <c r="X352" s="152"/>
      <c r="Y352" s="152"/>
      <c r="Z352" s="152"/>
      <c r="AA352" s="157"/>
      <c r="AT352" s="158" t="s">
        <v>179</v>
      </c>
      <c r="AU352" s="158" t="s">
        <v>135</v>
      </c>
      <c r="AV352" s="10" t="s">
        <v>21</v>
      </c>
      <c r="AW352" s="10" t="s">
        <v>35</v>
      </c>
      <c r="AX352" s="10" t="s">
        <v>78</v>
      </c>
      <c r="AY352" s="158" t="s">
        <v>167</v>
      </c>
    </row>
    <row r="353" spans="2:51" s="11" customFormat="1" ht="22.5" customHeight="1">
      <c r="B353" s="159"/>
      <c r="C353" s="210"/>
      <c r="D353" s="210"/>
      <c r="E353" s="211" t="s">
        <v>5</v>
      </c>
      <c r="F353" s="321" t="s">
        <v>2179</v>
      </c>
      <c r="G353" s="322"/>
      <c r="H353" s="322"/>
      <c r="I353" s="322"/>
      <c r="J353" s="210"/>
      <c r="K353" s="212">
        <f>141.5*0.2</f>
        <v>28.3</v>
      </c>
      <c r="L353" s="210"/>
      <c r="M353" s="210"/>
      <c r="N353" s="210"/>
      <c r="O353" s="210"/>
      <c r="P353" s="210"/>
      <c r="Q353" s="210"/>
      <c r="R353" s="213"/>
      <c r="T353" s="164"/>
      <c r="U353" s="198"/>
      <c r="V353" s="198"/>
      <c r="W353" s="198"/>
      <c r="X353" s="198"/>
      <c r="Y353" s="198"/>
      <c r="Z353" s="198"/>
      <c r="AA353" s="165"/>
      <c r="AT353" s="166" t="s">
        <v>179</v>
      </c>
      <c r="AU353" s="166" t="s">
        <v>135</v>
      </c>
      <c r="AV353" s="11" t="s">
        <v>135</v>
      </c>
      <c r="AW353" s="11" t="s">
        <v>35</v>
      </c>
      <c r="AX353" s="11" t="s">
        <v>21</v>
      </c>
      <c r="AY353" s="166" t="s">
        <v>167</v>
      </c>
    </row>
    <row r="354" spans="2:65" s="1" customFormat="1" ht="31.5" customHeight="1">
      <c r="B354" s="141"/>
      <c r="C354" s="201" t="s">
        <v>321</v>
      </c>
      <c r="D354" s="201" t="s">
        <v>168</v>
      </c>
      <c r="E354" s="202" t="s">
        <v>1417</v>
      </c>
      <c r="F354" s="317" t="s">
        <v>1418</v>
      </c>
      <c r="G354" s="317"/>
      <c r="H354" s="317"/>
      <c r="I354" s="317"/>
      <c r="J354" s="203" t="s">
        <v>176</v>
      </c>
      <c r="K354" s="204">
        <f>+K351</f>
        <v>28.3</v>
      </c>
      <c r="L354" s="318"/>
      <c r="M354" s="318"/>
      <c r="N354" s="318">
        <f>ROUND(L354*K354,2)</f>
        <v>0</v>
      </c>
      <c r="O354" s="318"/>
      <c r="P354" s="318"/>
      <c r="Q354" s="318"/>
      <c r="R354" s="205"/>
      <c r="T354" s="147" t="s">
        <v>5</v>
      </c>
      <c r="U354" s="44" t="s">
        <v>43</v>
      </c>
      <c r="V354" s="148">
        <v>0.747</v>
      </c>
      <c r="W354" s="148">
        <f>V354*K354</f>
        <v>21.1401</v>
      </c>
      <c r="X354" s="148">
        <v>0</v>
      </c>
      <c r="Y354" s="148">
        <f>X354*K354</f>
        <v>0</v>
      </c>
      <c r="Z354" s="148">
        <v>0</v>
      </c>
      <c r="AA354" s="149">
        <f>Z354*K354</f>
        <v>0</v>
      </c>
      <c r="AR354" s="21" t="s">
        <v>172</v>
      </c>
      <c r="AT354" s="21" t="s">
        <v>168</v>
      </c>
      <c r="AU354" s="21" t="s">
        <v>135</v>
      </c>
      <c r="AY354" s="21" t="s">
        <v>167</v>
      </c>
      <c r="BE354" s="150">
        <f>IF(U354="základní",N354,0)</f>
        <v>0</v>
      </c>
      <c r="BF354" s="150">
        <f>IF(U354="snížená",N354,0)</f>
        <v>0</v>
      </c>
      <c r="BG354" s="150">
        <f>IF(U354="zákl. přenesená",N354,0)</f>
        <v>0</v>
      </c>
      <c r="BH354" s="150">
        <f>IF(U354="sníž. přenesená",N354,0)</f>
        <v>0</v>
      </c>
      <c r="BI354" s="150">
        <f>IF(U354="nulová",N354,0)</f>
        <v>0</v>
      </c>
      <c r="BJ354" s="21" t="s">
        <v>21</v>
      </c>
      <c r="BK354" s="150">
        <f>ROUND(L354*K354,2)</f>
        <v>0</v>
      </c>
      <c r="BL354" s="21" t="s">
        <v>172</v>
      </c>
      <c r="BM354" s="21" t="s">
        <v>1808</v>
      </c>
    </row>
    <row r="355" spans="2:65" s="1" customFormat="1" ht="22.5" customHeight="1">
      <c r="B355" s="141"/>
      <c r="C355" s="201" t="s">
        <v>326</v>
      </c>
      <c r="D355" s="201" t="s">
        <v>168</v>
      </c>
      <c r="E355" s="202" t="s">
        <v>1420</v>
      </c>
      <c r="F355" s="317" t="s">
        <v>1421</v>
      </c>
      <c r="G355" s="317"/>
      <c r="H355" s="317"/>
      <c r="I355" s="317"/>
      <c r="J355" s="203" t="s">
        <v>176</v>
      </c>
      <c r="K355" s="204">
        <f>+K357</f>
        <v>28.3</v>
      </c>
      <c r="L355" s="318"/>
      <c r="M355" s="318"/>
      <c r="N355" s="318">
        <f>ROUND(L355*K355,2)</f>
        <v>0</v>
      </c>
      <c r="O355" s="318"/>
      <c r="P355" s="318"/>
      <c r="Q355" s="318"/>
      <c r="R355" s="205"/>
      <c r="T355" s="147" t="s">
        <v>5</v>
      </c>
      <c r="U355" s="44" t="s">
        <v>43</v>
      </c>
      <c r="V355" s="148">
        <v>3.856</v>
      </c>
      <c r="W355" s="148">
        <f>V355*K355</f>
        <v>109.1248</v>
      </c>
      <c r="X355" s="148">
        <v>0.00355</v>
      </c>
      <c r="Y355" s="148">
        <f>X355*K355</f>
        <v>0.10046500000000001</v>
      </c>
      <c r="Z355" s="148">
        <v>0</v>
      </c>
      <c r="AA355" s="149">
        <f>Z355*K355</f>
        <v>0</v>
      </c>
      <c r="AR355" s="21" t="s">
        <v>172</v>
      </c>
      <c r="AT355" s="21" t="s">
        <v>168</v>
      </c>
      <c r="AU355" s="21" t="s">
        <v>135</v>
      </c>
      <c r="AY355" s="21" t="s">
        <v>167</v>
      </c>
      <c r="BE355" s="150">
        <f>IF(U355="základní",N355,0)</f>
        <v>0</v>
      </c>
      <c r="BF355" s="150">
        <f>IF(U355="snížená",N355,0)</f>
        <v>0</v>
      </c>
      <c r="BG355" s="150">
        <f>IF(U355="zákl. přenesená",N355,0)</f>
        <v>0</v>
      </c>
      <c r="BH355" s="150">
        <f>IF(U355="sníž. přenesená",N355,0)</f>
        <v>0</v>
      </c>
      <c r="BI355" s="150">
        <f>IF(U355="nulová",N355,0)</f>
        <v>0</v>
      </c>
      <c r="BJ355" s="21" t="s">
        <v>21</v>
      </c>
      <c r="BK355" s="150">
        <f>ROUND(L355*K355,2)</f>
        <v>0</v>
      </c>
      <c r="BL355" s="21" t="s">
        <v>172</v>
      </c>
      <c r="BM355" s="21" t="s">
        <v>1422</v>
      </c>
    </row>
    <row r="356" spans="2:51" s="10" customFormat="1" ht="22.5" customHeight="1">
      <c r="B356" s="151"/>
      <c r="C356" s="206"/>
      <c r="D356" s="206"/>
      <c r="E356" s="207" t="s">
        <v>5</v>
      </c>
      <c r="F356" s="319" t="s">
        <v>1809</v>
      </c>
      <c r="G356" s="320"/>
      <c r="H356" s="320"/>
      <c r="I356" s="320"/>
      <c r="J356" s="206"/>
      <c r="K356" s="208" t="s">
        <v>5</v>
      </c>
      <c r="L356" s="206"/>
      <c r="M356" s="206"/>
      <c r="N356" s="206"/>
      <c r="O356" s="206"/>
      <c r="P356" s="206"/>
      <c r="Q356" s="206"/>
      <c r="R356" s="209"/>
      <c r="T356" s="156"/>
      <c r="U356" s="152"/>
      <c r="V356" s="152"/>
      <c r="W356" s="152"/>
      <c r="X356" s="152"/>
      <c r="Y356" s="152"/>
      <c r="Z356" s="152"/>
      <c r="AA356" s="157"/>
      <c r="AT356" s="158" t="s">
        <v>179</v>
      </c>
      <c r="AU356" s="158" t="s">
        <v>135</v>
      </c>
      <c r="AV356" s="10" t="s">
        <v>21</v>
      </c>
      <c r="AW356" s="10" t="s">
        <v>35</v>
      </c>
      <c r="AX356" s="10" t="s">
        <v>78</v>
      </c>
      <c r="AY356" s="158" t="s">
        <v>167</v>
      </c>
    </row>
    <row r="357" spans="2:51" s="11" customFormat="1" ht="22.5" customHeight="1">
      <c r="B357" s="159"/>
      <c r="C357" s="210"/>
      <c r="D357" s="210"/>
      <c r="E357" s="211" t="s">
        <v>5</v>
      </c>
      <c r="F357" s="321" t="s">
        <v>2179</v>
      </c>
      <c r="G357" s="322"/>
      <c r="H357" s="322"/>
      <c r="I357" s="322"/>
      <c r="J357" s="210"/>
      <c r="K357" s="212">
        <f>141.5*0.2</f>
        <v>28.3</v>
      </c>
      <c r="L357" s="210"/>
      <c r="M357" s="210"/>
      <c r="N357" s="210"/>
      <c r="O357" s="210"/>
      <c r="P357" s="210"/>
      <c r="Q357" s="210"/>
      <c r="R357" s="213"/>
      <c r="T357" s="164"/>
      <c r="U357" s="198"/>
      <c r="V357" s="198"/>
      <c r="W357" s="198"/>
      <c r="X357" s="198"/>
      <c r="Y357" s="198"/>
      <c r="Z357" s="198"/>
      <c r="AA357" s="165"/>
      <c r="AT357" s="166" t="s">
        <v>179</v>
      </c>
      <c r="AU357" s="166" t="s">
        <v>135</v>
      </c>
      <c r="AV357" s="11" t="s">
        <v>135</v>
      </c>
      <c r="AW357" s="11" t="s">
        <v>35</v>
      </c>
      <c r="AX357" s="11" t="s">
        <v>21</v>
      </c>
      <c r="AY357" s="166" t="s">
        <v>167</v>
      </c>
    </row>
    <row r="358" spans="2:65" s="1" customFormat="1" ht="22.5" customHeight="1">
      <c r="B358" s="141"/>
      <c r="C358" s="201" t="s">
        <v>331</v>
      </c>
      <c r="D358" s="201" t="s">
        <v>168</v>
      </c>
      <c r="E358" s="202" t="s">
        <v>1810</v>
      </c>
      <c r="F358" s="317" t="s">
        <v>1811</v>
      </c>
      <c r="G358" s="317"/>
      <c r="H358" s="317"/>
      <c r="I358" s="317"/>
      <c r="J358" s="203" t="s">
        <v>176</v>
      </c>
      <c r="K358" s="204">
        <f>+K360</f>
        <v>42.449999999999996</v>
      </c>
      <c r="L358" s="318"/>
      <c r="M358" s="318"/>
      <c r="N358" s="318">
        <f>ROUND(L358*K358,2)</f>
        <v>0</v>
      </c>
      <c r="O358" s="318"/>
      <c r="P358" s="318"/>
      <c r="Q358" s="318"/>
      <c r="R358" s="205"/>
      <c r="T358" s="147" t="s">
        <v>5</v>
      </c>
      <c r="U358" s="44" t="s">
        <v>43</v>
      </c>
      <c r="V358" s="148">
        <v>2.609</v>
      </c>
      <c r="W358" s="148">
        <f>V358*K358</f>
        <v>110.75204999999998</v>
      </c>
      <c r="X358" s="148">
        <v>0.01558</v>
      </c>
      <c r="Y358" s="148">
        <f>X358*K358</f>
        <v>0.6613709999999999</v>
      </c>
      <c r="Z358" s="148">
        <v>0</v>
      </c>
      <c r="AA358" s="149">
        <f>Z358*K358</f>
        <v>0</v>
      </c>
      <c r="AR358" s="21" t="s">
        <v>172</v>
      </c>
      <c r="AT358" s="21" t="s">
        <v>168</v>
      </c>
      <c r="AU358" s="21" t="s">
        <v>135</v>
      </c>
      <c r="AY358" s="21" t="s">
        <v>167</v>
      </c>
      <c r="BE358" s="150">
        <f>IF(U358="základní",N358,0)</f>
        <v>0</v>
      </c>
      <c r="BF358" s="150">
        <f>IF(U358="snížená",N358,0)</f>
        <v>0</v>
      </c>
      <c r="BG358" s="150">
        <f>IF(U358="zákl. přenesená",N358,0)</f>
        <v>0</v>
      </c>
      <c r="BH358" s="150">
        <f>IF(U358="sníž. přenesená",N358,0)</f>
        <v>0</v>
      </c>
      <c r="BI358" s="150">
        <f>IF(U358="nulová",N358,0)</f>
        <v>0</v>
      </c>
      <c r="BJ358" s="21" t="s">
        <v>21</v>
      </c>
      <c r="BK358" s="150">
        <f>ROUND(L358*K358,2)</f>
        <v>0</v>
      </c>
      <c r="BL358" s="21" t="s">
        <v>172</v>
      </c>
      <c r="BM358" s="21" t="s">
        <v>1812</v>
      </c>
    </row>
    <row r="359" spans="2:51" s="10" customFormat="1" ht="22.5" customHeight="1">
      <c r="B359" s="151"/>
      <c r="C359" s="206"/>
      <c r="D359" s="206"/>
      <c r="E359" s="207" t="s">
        <v>5</v>
      </c>
      <c r="F359" s="319" t="s">
        <v>1813</v>
      </c>
      <c r="G359" s="320"/>
      <c r="H359" s="320"/>
      <c r="I359" s="320"/>
      <c r="J359" s="206"/>
      <c r="K359" s="208" t="s">
        <v>5</v>
      </c>
      <c r="L359" s="206"/>
      <c r="M359" s="206"/>
      <c r="N359" s="206"/>
      <c r="O359" s="206"/>
      <c r="P359" s="206"/>
      <c r="Q359" s="206"/>
      <c r="R359" s="209"/>
      <c r="T359" s="156"/>
      <c r="U359" s="152"/>
      <c r="V359" s="152"/>
      <c r="W359" s="152"/>
      <c r="X359" s="152"/>
      <c r="Y359" s="152"/>
      <c r="Z359" s="152"/>
      <c r="AA359" s="157"/>
      <c r="AT359" s="158" t="s">
        <v>179</v>
      </c>
      <c r="AU359" s="158" t="s">
        <v>135</v>
      </c>
      <c r="AV359" s="10" t="s">
        <v>21</v>
      </c>
      <c r="AW359" s="10" t="s">
        <v>35</v>
      </c>
      <c r="AX359" s="10" t="s">
        <v>78</v>
      </c>
      <c r="AY359" s="158" t="s">
        <v>167</v>
      </c>
    </row>
    <row r="360" spans="2:51" s="11" customFormat="1" ht="22.5" customHeight="1">
      <c r="B360" s="159"/>
      <c r="C360" s="210"/>
      <c r="D360" s="210"/>
      <c r="E360" s="211" t="s">
        <v>5</v>
      </c>
      <c r="F360" s="321" t="s">
        <v>2180</v>
      </c>
      <c r="G360" s="322"/>
      <c r="H360" s="322"/>
      <c r="I360" s="322"/>
      <c r="J360" s="210"/>
      <c r="K360" s="212">
        <f>141.5*0.3</f>
        <v>42.449999999999996</v>
      </c>
      <c r="L360" s="210"/>
      <c r="M360" s="210"/>
      <c r="N360" s="210"/>
      <c r="O360" s="210"/>
      <c r="P360" s="210"/>
      <c r="Q360" s="210"/>
      <c r="R360" s="213"/>
      <c r="T360" s="164"/>
      <c r="U360" s="198"/>
      <c r="V360" s="198"/>
      <c r="W360" s="198"/>
      <c r="X360" s="198"/>
      <c r="Y360" s="198"/>
      <c r="Z360" s="198"/>
      <c r="AA360" s="165"/>
      <c r="AT360" s="166" t="s">
        <v>179</v>
      </c>
      <c r="AU360" s="166" t="s">
        <v>135</v>
      </c>
      <c r="AV360" s="11" t="s">
        <v>135</v>
      </c>
      <c r="AW360" s="11" t="s">
        <v>35</v>
      </c>
      <c r="AX360" s="11" t="s">
        <v>21</v>
      </c>
      <c r="AY360" s="166" t="s">
        <v>167</v>
      </c>
    </row>
    <row r="361" spans="2:65" s="1" customFormat="1" ht="22.5" customHeight="1">
      <c r="B361" s="141"/>
      <c r="C361" s="201" t="s">
        <v>335</v>
      </c>
      <c r="D361" s="201" t="s">
        <v>168</v>
      </c>
      <c r="E361" s="202" t="s">
        <v>1814</v>
      </c>
      <c r="F361" s="317" t="s">
        <v>1815</v>
      </c>
      <c r="G361" s="317"/>
      <c r="H361" s="317"/>
      <c r="I361" s="317"/>
      <c r="J361" s="203" t="s">
        <v>176</v>
      </c>
      <c r="K361" s="204">
        <f>+K363</f>
        <v>14.15</v>
      </c>
      <c r="L361" s="318"/>
      <c r="M361" s="318"/>
      <c r="N361" s="318">
        <f>ROUND(L361*K361,2)</f>
        <v>0</v>
      </c>
      <c r="O361" s="318"/>
      <c r="P361" s="318"/>
      <c r="Q361" s="318"/>
      <c r="R361" s="205"/>
      <c r="T361" s="147" t="s">
        <v>5</v>
      </c>
      <c r="U361" s="44" t="s">
        <v>43</v>
      </c>
      <c r="V361" s="148">
        <v>3.268</v>
      </c>
      <c r="W361" s="148">
        <f>V361*K361</f>
        <v>46.2422</v>
      </c>
      <c r="X361" s="148">
        <v>0.01753</v>
      </c>
      <c r="Y361" s="148">
        <f>X361*K361</f>
        <v>0.2480495</v>
      </c>
      <c r="Z361" s="148">
        <v>0</v>
      </c>
      <c r="AA361" s="149">
        <f>Z361*K361</f>
        <v>0</v>
      </c>
      <c r="AR361" s="21" t="s">
        <v>172</v>
      </c>
      <c r="AT361" s="21" t="s">
        <v>168</v>
      </c>
      <c r="AU361" s="21" t="s">
        <v>135</v>
      </c>
      <c r="AY361" s="21" t="s">
        <v>167</v>
      </c>
      <c r="BE361" s="150">
        <f>IF(U361="základní",N361,0)</f>
        <v>0</v>
      </c>
      <c r="BF361" s="150">
        <f>IF(U361="snížená",N361,0)</f>
        <v>0</v>
      </c>
      <c r="BG361" s="150">
        <f>IF(U361="zákl. přenesená",N361,0)</f>
        <v>0</v>
      </c>
      <c r="BH361" s="150">
        <f>IF(U361="sníž. přenesená",N361,0)</f>
        <v>0</v>
      </c>
      <c r="BI361" s="150">
        <f>IF(U361="nulová",N361,0)</f>
        <v>0</v>
      </c>
      <c r="BJ361" s="21" t="s">
        <v>21</v>
      </c>
      <c r="BK361" s="150">
        <f>ROUND(L361*K361,2)</f>
        <v>0</v>
      </c>
      <c r="BL361" s="21" t="s">
        <v>172</v>
      </c>
      <c r="BM361" s="21" t="s">
        <v>1816</v>
      </c>
    </row>
    <row r="362" spans="2:51" s="10" customFormat="1" ht="22.5" customHeight="1">
      <c r="B362" s="151"/>
      <c r="C362" s="206"/>
      <c r="D362" s="206"/>
      <c r="E362" s="207" t="s">
        <v>5</v>
      </c>
      <c r="F362" s="319" t="s">
        <v>1817</v>
      </c>
      <c r="G362" s="320"/>
      <c r="H362" s="320"/>
      <c r="I362" s="320"/>
      <c r="J362" s="206"/>
      <c r="K362" s="208" t="s">
        <v>5</v>
      </c>
      <c r="L362" s="206"/>
      <c r="M362" s="206"/>
      <c r="N362" s="206"/>
      <c r="O362" s="206"/>
      <c r="P362" s="206"/>
      <c r="Q362" s="206"/>
      <c r="R362" s="209"/>
      <c r="T362" s="156"/>
      <c r="U362" s="152"/>
      <c r="V362" s="152"/>
      <c r="W362" s="152"/>
      <c r="X362" s="152"/>
      <c r="Y362" s="152"/>
      <c r="Z362" s="152"/>
      <c r="AA362" s="157"/>
      <c r="AT362" s="158" t="s">
        <v>179</v>
      </c>
      <c r="AU362" s="158" t="s">
        <v>135</v>
      </c>
      <c r="AV362" s="10" t="s">
        <v>21</v>
      </c>
      <c r="AW362" s="10" t="s">
        <v>35</v>
      </c>
      <c r="AX362" s="10" t="s">
        <v>78</v>
      </c>
      <c r="AY362" s="158" t="s">
        <v>167</v>
      </c>
    </row>
    <row r="363" spans="2:51" s="11" customFormat="1" ht="22.5" customHeight="1">
      <c r="B363" s="159"/>
      <c r="C363" s="210"/>
      <c r="D363" s="210"/>
      <c r="E363" s="211" t="s">
        <v>5</v>
      </c>
      <c r="F363" s="321" t="s">
        <v>2181</v>
      </c>
      <c r="G363" s="322"/>
      <c r="H363" s="322"/>
      <c r="I363" s="322"/>
      <c r="J363" s="210"/>
      <c r="K363" s="212">
        <f>141.5*0.1</f>
        <v>14.15</v>
      </c>
      <c r="L363" s="210"/>
      <c r="M363" s="210"/>
      <c r="N363" s="210"/>
      <c r="O363" s="210"/>
      <c r="P363" s="210"/>
      <c r="Q363" s="210"/>
      <c r="R363" s="213"/>
      <c r="T363" s="164"/>
      <c r="U363" s="198"/>
      <c r="V363" s="198"/>
      <c r="W363" s="198"/>
      <c r="X363" s="198"/>
      <c r="Y363" s="198"/>
      <c r="Z363" s="198"/>
      <c r="AA363" s="165"/>
      <c r="AT363" s="166" t="s">
        <v>179</v>
      </c>
      <c r="AU363" s="166" t="s">
        <v>135</v>
      </c>
      <c r="AV363" s="11" t="s">
        <v>135</v>
      </c>
      <c r="AW363" s="11" t="s">
        <v>35</v>
      </c>
      <c r="AX363" s="11" t="s">
        <v>21</v>
      </c>
      <c r="AY363" s="166" t="s">
        <v>167</v>
      </c>
    </row>
    <row r="364" spans="2:65" s="1" customFormat="1" ht="31.5" customHeight="1">
      <c r="B364" s="141"/>
      <c r="C364" s="201" t="s">
        <v>340</v>
      </c>
      <c r="D364" s="201" t="s">
        <v>168</v>
      </c>
      <c r="E364" s="202" t="s">
        <v>1424</v>
      </c>
      <c r="F364" s="317" t="s">
        <v>1425</v>
      </c>
      <c r="G364" s="317"/>
      <c r="H364" s="317"/>
      <c r="I364" s="317"/>
      <c r="J364" s="203" t="s">
        <v>176</v>
      </c>
      <c r="K364" s="204">
        <v>110.45</v>
      </c>
      <c r="L364" s="318"/>
      <c r="M364" s="318"/>
      <c r="N364" s="318">
        <f>ROUND(L364*K364,2)</f>
        <v>0</v>
      </c>
      <c r="O364" s="318"/>
      <c r="P364" s="318"/>
      <c r="Q364" s="318"/>
      <c r="R364" s="205"/>
      <c r="T364" s="147" t="s">
        <v>5</v>
      </c>
      <c r="U364" s="44" t="s">
        <v>43</v>
      </c>
      <c r="V364" s="148">
        <v>4.967</v>
      </c>
      <c r="W364" s="148">
        <f>V364*K364</f>
        <v>548.60515</v>
      </c>
      <c r="X364" s="148">
        <v>0</v>
      </c>
      <c r="Y364" s="148">
        <f>X364*K364</f>
        <v>0</v>
      </c>
      <c r="Z364" s="148">
        <v>0</v>
      </c>
      <c r="AA364" s="149">
        <f>Z364*K364</f>
        <v>0</v>
      </c>
      <c r="AR364" s="21" t="s">
        <v>172</v>
      </c>
      <c r="AT364" s="21" t="s">
        <v>168</v>
      </c>
      <c r="AU364" s="21" t="s">
        <v>135</v>
      </c>
      <c r="AY364" s="21" t="s">
        <v>167</v>
      </c>
      <c r="BE364" s="150">
        <f>IF(U364="základní",N364,0)</f>
        <v>0</v>
      </c>
      <c r="BF364" s="150">
        <f>IF(U364="snížená",N364,0)</f>
        <v>0</v>
      </c>
      <c r="BG364" s="150">
        <f>IF(U364="zákl. přenesená",N364,0)</f>
        <v>0</v>
      </c>
      <c r="BH364" s="150">
        <f>IF(U364="sníž. přenesená",N364,0)</f>
        <v>0</v>
      </c>
      <c r="BI364" s="150">
        <f>IF(U364="nulová",N364,0)</f>
        <v>0</v>
      </c>
      <c r="BJ364" s="21" t="s">
        <v>21</v>
      </c>
      <c r="BK364" s="150">
        <f>ROUND(L364*K364,2)</f>
        <v>0</v>
      </c>
      <c r="BL364" s="21" t="s">
        <v>172</v>
      </c>
      <c r="BM364" s="21" t="s">
        <v>1426</v>
      </c>
    </row>
    <row r="365" spans="2:51" s="10" customFormat="1" ht="22.5" customHeight="1">
      <c r="B365" s="151"/>
      <c r="C365" s="206"/>
      <c r="D365" s="206"/>
      <c r="E365" s="207" t="s">
        <v>5</v>
      </c>
      <c r="F365" s="319" t="s">
        <v>1818</v>
      </c>
      <c r="G365" s="320"/>
      <c r="H365" s="320"/>
      <c r="I365" s="320"/>
      <c r="J365" s="206"/>
      <c r="K365" s="208" t="s">
        <v>5</v>
      </c>
      <c r="L365" s="206"/>
      <c r="M365" s="206"/>
      <c r="N365" s="206"/>
      <c r="O365" s="206"/>
      <c r="P365" s="206"/>
      <c r="Q365" s="206"/>
      <c r="R365" s="209"/>
      <c r="T365" s="156"/>
      <c r="U365" s="152"/>
      <c r="V365" s="152"/>
      <c r="W365" s="152"/>
      <c r="X365" s="152"/>
      <c r="Y365" s="152"/>
      <c r="Z365" s="152"/>
      <c r="AA365" s="157"/>
      <c r="AT365" s="158" t="s">
        <v>179</v>
      </c>
      <c r="AU365" s="158" t="s">
        <v>135</v>
      </c>
      <c r="AV365" s="10" t="s">
        <v>21</v>
      </c>
      <c r="AW365" s="10" t="s">
        <v>35</v>
      </c>
      <c r="AX365" s="10" t="s">
        <v>78</v>
      </c>
      <c r="AY365" s="158" t="s">
        <v>167</v>
      </c>
    </row>
    <row r="366" spans="2:51" s="11" customFormat="1" ht="22.5" customHeight="1">
      <c r="B366" s="159"/>
      <c r="C366" s="210"/>
      <c r="D366" s="210"/>
      <c r="E366" s="211" t="s">
        <v>5</v>
      </c>
      <c r="F366" s="321" t="s">
        <v>1819</v>
      </c>
      <c r="G366" s="322"/>
      <c r="H366" s="322"/>
      <c r="I366" s="322"/>
      <c r="J366" s="210"/>
      <c r="K366" s="212">
        <v>110.45</v>
      </c>
      <c r="L366" s="210"/>
      <c r="M366" s="210"/>
      <c r="N366" s="210"/>
      <c r="O366" s="210"/>
      <c r="P366" s="210"/>
      <c r="Q366" s="210"/>
      <c r="R366" s="213"/>
      <c r="T366" s="164"/>
      <c r="U366" s="160"/>
      <c r="V366" s="160"/>
      <c r="W366" s="160"/>
      <c r="X366" s="160"/>
      <c r="Y366" s="160"/>
      <c r="Z366" s="160"/>
      <c r="AA366" s="165"/>
      <c r="AT366" s="166" t="s">
        <v>179</v>
      </c>
      <c r="AU366" s="166" t="s">
        <v>135</v>
      </c>
      <c r="AV366" s="11" t="s">
        <v>135</v>
      </c>
      <c r="AW366" s="11" t="s">
        <v>35</v>
      </c>
      <c r="AX366" s="11" t="s">
        <v>21</v>
      </c>
      <c r="AY366" s="166" t="s">
        <v>167</v>
      </c>
    </row>
    <row r="367" spans="2:65" s="1" customFormat="1" ht="31.5" customHeight="1">
      <c r="B367" s="141"/>
      <c r="C367" s="201" t="s">
        <v>344</v>
      </c>
      <c r="D367" s="201" t="s">
        <v>168</v>
      </c>
      <c r="E367" s="202" t="s">
        <v>248</v>
      </c>
      <c r="F367" s="317" t="s">
        <v>249</v>
      </c>
      <c r="G367" s="317"/>
      <c r="H367" s="317"/>
      <c r="I367" s="317"/>
      <c r="J367" s="203" t="s">
        <v>176</v>
      </c>
      <c r="K367" s="204">
        <f>+K375</f>
        <v>1100.4779999999996</v>
      </c>
      <c r="L367" s="318"/>
      <c r="M367" s="318"/>
      <c r="N367" s="318">
        <f>ROUND(L367*K367,2)</f>
        <v>0</v>
      </c>
      <c r="O367" s="318"/>
      <c r="P367" s="318"/>
      <c r="Q367" s="318"/>
      <c r="R367" s="205"/>
      <c r="T367" s="147" t="s">
        <v>5</v>
      </c>
      <c r="U367" s="44" t="s">
        <v>43</v>
      </c>
      <c r="V367" s="148">
        <v>0.097</v>
      </c>
      <c r="W367" s="148">
        <f>V367*K367</f>
        <v>106.74636599999997</v>
      </c>
      <c r="X367" s="148">
        <v>0</v>
      </c>
      <c r="Y367" s="148">
        <f>X367*K367</f>
        <v>0</v>
      </c>
      <c r="Z367" s="148">
        <v>0</v>
      </c>
      <c r="AA367" s="149">
        <f>Z367*K367</f>
        <v>0</v>
      </c>
      <c r="AR367" s="21" t="s">
        <v>172</v>
      </c>
      <c r="AT367" s="21" t="s">
        <v>168</v>
      </c>
      <c r="AU367" s="21" t="s">
        <v>135</v>
      </c>
      <c r="AY367" s="21" t="s">
        <v>167</v>
      </c>
      <c r="BE367" s="150">
        <f>IF(U367="základní",N367,0)</f>
        <v>0</v>
      </c>
      <c r="BF367" s="150">
        <f>IF(U367="snížená",N367,0)</f>
        <v>0</v>
      </c>
      <c r="BG367" s="150">
        <f>IF(U367="zákl. přenesená",N367,0)</f>
        <v>0</v>
      </c>
      <c r="BH367" s="150">
        <f>IF(U367="sníž. přenesená",N367,0)</f>
        <v>0</v>
      </c>
      <c r="BI367" s="150">
        <f>IF(U367="nulová",N367,0)</f>
        <v>0</v>
      </c>
      <c r="BJ367" s="21" t="s">
        <v>21</v>
      </c>
      <c r="BK367" s="150">
        <f>ROUND(L367*K367,2)</f>
        <v>0</v>
      </c>
      <c r="BL367" s="21" t="s">
        <v>172</v>
      </c>
      <c r="BM367" s="21" t="s">
        <v>1428</v>
      </c>
    </row>
    <row r="368" spans="2:51" s="11" customFormat="1" ht="22.5" customHeight="1">
      <c r="B368" s="159"/>
      <c r="C368" s="210"/>
      <c r="D368" s="210"/>
      <c r="E368" s="211" t="s">
        <v>5</v>
      </c>
      <c r="F368" s="329" t="s">
        <v>2183</v>
      </c>
      <c r="G368" s="330"/>
      <c r="H368" s="330"/>
      <c r="I368" s="330"/>
      <c r="J368" s="210"/>
      <c r="K368" s="212">
        <v>4509.973</v>
      </c>
      <c r="L368" s="210"/>
      <c r="M368" s="210"/>
      <c r="N368" s="210"/>
      <c r="O368" s="210"/>
      <c r="P368" s="210"/>
      <c r="Q368" s="210"/>
      <c r="R368" s="213"/>
      <c r="T368" s="164"/>
      <c r="U368" s="160"/>
      <c r="V368" s="160"/>
      <c r="W368" s="160"/>
      <c r="X368" s="160"/>
      <c r="Y368" s="160"/>
      <c r="Z368" s="160"/>
      <c r="AA368" s="165"/>
      <c r="AT368" s="166" t="s">
        <v>179</v>
      </c>
      <c r="AU368" s="166" t="s">
        <v>135</v>
      </c>
      <c r="AV368" s="11" t="s">
        <v>135</v>
      </c>
      <c r="AW368" s="11" t="s">
        <v>35</v>
      </c>
      <c r="AX368" s="11" t="s">
        <v>78</v>
      </c>
      <c r="AY368" s="166" t="s">
        <v>167</v>
      </c>
    </row>
    <row r="369" spans="2:51" s="11" customFormat="1" ht="22.5" customHeight="1">
      <c r="B369" s="159"/>
      <c r="C369" s="210"/>
      <c r="D369" s="210"/>
      <c r="E369" s="211" t="s">
        <v>5</v>
      </c>
      <c r="F369" s="321" t="s">
        <v>2182</v>
      </c>
      <c r="G369" s="322"/>
      <c r="H369" s="322"/>
      <c r="I369" s="322"/>
      <c r="J369" s="210"/>
      <c r="K369" s="212">
        <v>141.5</v>
      </c>
      <c r="L369" s="210"/>
      <c r="M369" s="210"/>
      <c r="N369" s="210"/>
      <c r="O369" s="210"/>
      <c r="P369" s="210"/>
      <c r="Q369" s="210"/>
      <c r="R369" s="213"/>
      <c r="T369" s="164"/>
      <c r="U369" s="160"/>
      <c r="V369" s="160"/>
      <c r="W369" s="160"/>
      <c r="X369" s="160"/>
      <c r="Y369" s="160"/>
      <c r="Z369" s="160"/>
      <c r="AA369" s="165"/>
      <c r="AT369" s="166" t="s">
        <v>179</v>
      </c>
      <c r="AU369" s="166" t="s">
        <v>135</v>
      </c>
      <c r="AV369" s="11" t="s">
        <v>135</v>
      </c>
      <c r="AW369" s="11" t="s">
        <v>35</v>
      </c>
      <c r="AX369" s="11" t="s">
        <v>78</v>
      </c>
      <c r="AY369" s="166" t="s">
        <v>167</v>
      </c>
    </row>
    <row r="370" spans="2:51" s="11" customFormat="1" ht="22.5" customHeight="1">
      <c r="B370" s="159"/>
      <c r="C370" s="210"/>
      <c r="D370" s="210"/>
      <c r="E370" s="211" t="s">
        <v>5</v>
      </c>
      <c r="F370" s="321" t="s">
        <v>1820</v>
      </c>
      <c r="G370" s="322"/>
      <c r="H370" s="322"/>
      <c r="I370" s="322"/>
      <c r="J370" s="210"/>
      <c r="K370" s="212">
        <v>110.45</v>
      </c>
      <c r="L370" s="210"/>
      <c r="M370" s="210"/>
      <c r="N370" s="210"/>
      <c r="O370" s="210"/>
      <c r="P370" s="210"/>
      <c r="Q370" s="210"/>
      <c r="R370" s="213"/>
      <c r="T370" s="164"/>
      <c r="U370" s="160"/>
      <c r="V370" s="160"/>
      <c r="W370" s="160"/>
      <c r="X370" s="160"/>
      <c r="Y370" s="160"/>
      <c r="Z370" s="160"/>
      <c r="AA370" s="165"/>
      <c r="AT370" s="166" t="s">
        <v>179</v>
      </c>
      <c r="AU370" s="166" t="s">
        <v>135</v>
      </c>
      <c r="AV370" s="11" t="s">
        <v>135</v>
      </c>
      <c r="AW370" s="11" t="s">
        <v>35</v>
      </c>
      <c r="AX370" s="11" t="s">
        <v>78</v>
      </c>
      <c r="AY370" s="166" t="s">
        <v>167</v>
      </c>
    </row>
    <row r="371" spans="2:51" s="13" customFormat="1" ht="22.5" customHeight="1">
      <c r="B371" s="186"/>
      <c r="C371" s="214"/>
      <c r="D371" s="214"/>
      <c r="E371" s="215" t="s">
        <v>5</v>
      </c>
      <c r="F371" s="323" t="s">
        <v>1278</v>
      </c>
      <c r="G371" s="324"/>
      <c r="H371" s="324"/>
      <c r="I371" s="324"/>
      <c r="J371" s="214"/>
      <c r="K371" s="216">
        <f>SUM(K368:K370)</f>
        <v>4761.923</v>
      </c>
      <c r="L371" s="214"/>
      <c r="M371" s="214"/>
      <c r="N371" s="214"/>
      <c r="O371" s="214"/>
      <c r="P371" s="214"/>
      <c r="Q371" s="214"/>
      <c r="R371" s="217"/>
      <c r="T371" s="191"/>
      <c r="U371" s="187"/>
      <c r="V371" s="187"/>
      <c r="W371" s="187"/>
      <c r="X371" s="187"/>
      <c r="Y371" s="187"/>
      <c r="Z371" s="187"/>
      <c r="AA371" s="192"/>
      <c r="AT371" s="193" t="s">
        <v>179</v>
      </c>
      <c r="AU371" s="193" t="s">
        <v>135</v>
      </c>
      <c r="AV371" s="13" t="s">
        <v>184</v>
      </c>
      <c r="AW371" s="13" t="s">
        <v>35</v>
      </c>
      <c r="AX371" s="13" t="s">
        <v>78</v>
      </c>
      <c r="AY371" s="193" t="s">
        <v>167</v>
      </c>
    </row>
    <row r="372" spans="2:51" s="11" customFormat="1" ht="22.5" customHeight="1">
      <c r="B372" s="159"/>
      <c r="C372" s="210"/>
      <c r="D372" s="210"/>
      <c r="E372" s="211" t="s">
        <v>5</v>
      </c>
      <c r="F372" s="321" t="s">
        <v>1821</v>
      </c>
      <c r="G372" s="322"/>
      <c r="H372" s="322"/>
      <c r="I372" s="322"/>
      <c r="J372" s="210"/>
      <c r="K372" s="212">
        <v>-3575.539</v>
      </c>
      <c r="L372" s="210"/>
      <c r="M372" s="210"/>
      <c r="N372" s="210"/>
      <c r="O372" s="210"/>
      <c r="P372" s="210"/>
      <c r="Q372" s="210"/>
      <c r="R372" s="213"/>
      <c r="T372" s="164"/>
      <c r="U372" s="160"/>
      <c r="V372" s="160"/>
      <c r="W372" s="160"/>
      <c r="X372" s="160"/>
      <c r="Y372" s="160"/>
      <c r="Z372" s="160"/>
      <c r="AA372" s="165"/>
      <c r="AT372" s="166" t="s">
        <v>179</v>
      </c>
      <c r="AU372" s="166" t="s">
        <v>135</v>
      </c>
      <c r="AV372" s="11" t="s">
        <v>135</v>
      </c>
      <c r="AW372" s="11" t="s">
        <v>35</v>
      </c>
      <c r="AX372" s="11" t="s">
        <v>78</v>
      </c>
      <c r="AY372" s="166" t="s">
        <v>167</v>
      </c>
    </row>
    <row r="373" spans="2:51" s="11" customFormat="1" ht="22.5" customHeight="1">
      <c r="B373" s="159"/>
      <c r="C373" s="210"/>
      <c r="D373" s="210"/>
      <c r="E373" s="211" t="s">
        <v>5</v>
      </c>
      <c r="F373" s="321" t="s">
        <v>1822</v>
      </c>
      <c r="G373" s="322"/>
      <c r="H373" s="322"/>
      <c r="I373" s="322"/>
      <c r="J373" s="210"/>
      <c r="K373" s="212">
        <v>-85.906</v>
      </c>
      <c r="L373" s="210"/>
      <c r="M373" s="210"/>
      <c r="N373" s="210"/>
      <c r="O373" s="210"/>
      <c r="P373" s="210"/>
      <c r="Q373" s="210"/>
      <c r="R373" s="213"/>
      <c r="T373" s="164"/>
      <c r="U373" s="160"/>
      <c r="V373" s="160"/>
      <c r="W373" s="160"/>
      <c r="X373" s="160"/>
      <c r="Y373" s="160"/>
      <c r="Z373" s="160"/>
      <c r="AA373" s="165"/>
      <c r="AT373" s="166" t="s">
        <v>179</v>
      </c>
      <c r="AU373" s="166" t="s">
        <v>135</v>
      </c>
      <c r="AV373" s="11" t="s">
        <v>135</v>
      </c>
      <c r="AW373" s="11" t="s">
        <v>35</v>
      </c>
      <c r="AX373" s="11" t="s">
        <v>78</v>
      </c>
      <c r="AY373" s="166" t="s">
        <v>167</v>
      </c>
    </row>
    <row r="374" spans="2:51" s="13" customFormat="1" ht="22.5" customHeight="1">
      <c r="B374" s="186"/>
      <c r="C374" s="214"/>
      <c r="D374" s="214"/>
      <c r="E374" s="215" t="s">
        <v>5</v>
      </c>
      <c r="F374" s="323" t="s">
        <v>1278</v>
      </c>
      <c r="G374" s="324"/>
      <c r="H374" s="324"/>
      <c r="I374" s="324"/>
      <c r="J374" s="214"/>
      <c r="K374" s="216">
        <f>SUM(K372:K373)</f>
        <v>-3661.445</v>
      </c>
      <c r="L374" s="214"/>
      <c r="M374" s="214"/>
      <c r="N374" s="214"/>
      <c r="O374" s="214"/>
      <c r="P374" s="214"/>
      <c r="Q374" s="214"/>
      <c r="R374" s="217"/>
      <c r="T374" s="191"/>
      <c r="U374" s="187"/>
      <c r="V374" s="187"/>
      <c r="W374" s="187"/>
      <c r="X374" s="187"/>
      <c r="Y374" s="187"/>
      <c r="Z374" s="187"/>
      <c r="AA374" s="192"/>
      <c r="AT374" s="193" t="s">
        <v>179</v>
      </c>
      <c r="AU374" s="193" t="s">
        <v>135</v>
      </c>
      <c r="AV374" s="13" t="s">
        <v>184</v>
      </c>
      <c r="AW374" s="13" t="s">
        <v>35</v>
      </c>
      <c r="AX374" s="13" t="s">
        <v>78</v>
      </c>
      <c r="AY374" s="193" t="s">
        <v>167</v>
      </c>
    </row>
    <row r="375" spans="2:51" s="12" customFormat="1" ht="22.5" customHeight="1">
      <c r="B375" s="167"/>
      <c r="C375" s="218"/>
      <c r="D375" s="218"/>
      <c r="E375" s="219" t="s">
        <v>5</v>
      </c>
      <c r="F375" s="327" t="s">
        <v>183</v>
      </c>
      <c r="G375" s="328"/>
      <c r="H375" s="328"/>
      <c r="I375" s="328"/>
      <c r="J375" s="218"/>
      <c r="K375" s="220">
        <f>+K374+K371</f>
        <v>1100.4779999999996</v>
      </c>
      <c r="L375" s="218"/>
      <c r="M375" s="218"/>
      <c r="N375" s="218"/>
      <c r="O375" s="218"/>
      <c r="P375" s="218"/>
      <c r="Q375" s="218"/>
      <c r="R375" s="221"/>
      <c r="T375" s="172"/>
      <c r="U375" s="168"/>
      <c r="V375" s="168"/>
      <c r="W375" s="168"/>
      <c r="X375" s="168"/>
      <c r="Y375" s="168"/>
      <c r="Z375" s="168"/>
      <c r="AA375" s="173"/>
      <c r="AT375" s="174" t="s">
        <v>179</v>
      </c>
      <c r="AU375" s="174" t="s">
        <v>135</v>
      </c>
      <c r="AV375" s="12" t="s">
        <v>172</v>
      </c>
      <c r="AW375" s="12" t="s">
        <v>35</v>
      </c>
      <c r="AX375" s="12" t="s">
        <v>21</v>
      </c>
      <c r="AY375" s="174" t="s">
        <v>167</v>
      </c>
    </row>
    <row r="376" spans="2:65" s="1" customFormat="1" ht="31.5" customHeight="1">
      <c r="B376" s="141"/>
      <c r="C376" s="201" t="s">
        <v>349</v>
      </c>
      <c r="D376" s="201" t="s">
        <v>168</v>
      </c>
      <c r="E376" s="202" t="s">
        <v>1432</v>
      </c>
      <c r="F376" s="317" t="s">
        <v>1433</v>
      </c>
      <c r="G376" s="317"/>
      <c r="H376" s="317"/>
      <c r="I376" s="317"/>
      <c r="J376" s="203" t="s">
        <v>176</v>
      </c>
      <c r="K376" s="204">
        <f>+K367</f>
        <v>1100.4779999999996</v>
      </c>
      <c r="L376" s="318"/>
      <c r="M376" s="318"/>
      <c r="N376" s="318">
        <f>ROUND(L376*K376,2)</f>
        <v>0</v>
      </c>
      <c r="O376" s="318"/>
      <c r="P376" s="318"/>
      <c r="Q376" s="318"/>
      <c r="R376" s="205"/>
      <c r="T376" s="147" t="s">
        <v>5</v>
      </c>
      <c r="U376" s="44" t="s">
        <v>43</v>
      </c>
      <c r="V376" s="148">
        <v>0.011</v>
      </c>
      <c r="W376" s="148">
        <f>V376*K376</f>
        <v>12.105257999999996</v>
      </c>
      <c r="X376" s="148">
        <v>0</v>
      </c>
      <c r="Y376" s="148">
        <f>X376*K376</f>
        <v>0</v>
      </c>
      <c r="Z376" s="148">
        <v>0</v>
      </c>
      <c r="AA376" s="149">
        <f>Z376*K376</f>
        <v>0</v>
      </c>
      <c r="AR376" s="21" t="s">
        <v>172</v>
      </c>
      <c r="AT376" s="21" t="s">
        <v>168</v>
      </c>
      <c r="AU376" s="21" t="s">
        <v>135</v>
      </c>
      <c r="AY376" s="21" t="s">
        <v>167</v>
      </c>
      <c r="BE376" s="150">
        <f>IF(U376="základní",N376,0)</f>
        <v>0</v>
      </c>
      <c r="BF376" s="150">
        <f>IF(U376="snížená",N376,0)</f>
        <v>0</v>
      </c>
      <c r="BG376" s="150">
        <f>IF(U376="zákl. přenesená",N376,0)</f>
        <v>0</v>
      </c>
      <c r="BH376" s="150">
        <f>IF(U376="sníž. přenesená",N376,0)</f>
        <v>0</v>
      </c>
      <c r="BI376" s="150">
        <f>IF(U376="nulová",N376,0)</f>
        <v>0</v>
      </c>
      <c r="BJ376" s="21" t="s">
        <v>21</v>
      </c>
      <c r="BK376" s="150">
        <f>ROUND(L376*K376,2)</f>
        <v>0</v>
      </c>
      <c r="BL376" s="21" t="s">
        <v>172</v>
      </c>
      <c r="BM376" s="21" t="s">
        <v>1434</v>
      </c>
    </row>
    <row r="377" spans="2:65" s="1" customFormat="1" ht="22.5" customHeight="1">
      <c r="B377" s="141"/>
      <c r="C377" s="201" t="s">
        <v>472</v>
      </c>
      <c r="D377" s="201" t="s">
        <v>168</v>
      </c>
      <c r="E377" s="202" t="s">
        <v>1435</v>
      </c>
      <c r="F377" s="317" t="s">
        <v>1436</v>
      </c>
      <c r="G377" s="317"/>
      <c r="H377" s="317"/>
      <c r="I377" s="317"/>
      <c r="J377" s="203" t="s">
        <v>176</v>
      </c>
      <c r="K377" s="204">
        <f>+K376</f>
        <v>1100.4779999999996</v>
      </c>
      <c r="L377" s="318"/>
      <c r="M377" s="318"/>
      <c r="N377" s="318">
        <f>ROUND(L377*K377,2)</f>
        <v>0</v>
      </c>
      <c r="O377" s="318"/>
      <c r="P377" s="318"/>
      <c r="Q377" s="318"/>
      <c r="R377" s="205"/>
      <c r="T377" s="147" t="s">
        <v>5</v>
      </c>
      <c r="U377" s="44" t="s">
        <v>43</v>
      </c>
      <c r="V377" s="148">
        <v>0.097</v>
      </c>
      <c r="W377" s="148">
        <f>V377*K377</f>
        <v>106.74636599999997</v>
      </c>
      <c r="X377" s="148">
        <v>0</v>
      </c>
      <c r="Y377" s="148">
        <f>X377*K377</f>
        <v>0</v>
      </c>
      <c r="Z377" s="148">
        <v>0</v>
      </c>
      <c r="AA377" s="149">
        <f>Z377*K377</f>
        <v>0</v>
      </c>
      <c r="AR377" s="21" t="s">
        <v>172</v>
      </c>
      <c r="AT377" s="21" t="s">
        <v>168</v>
      </c>
      <c r="AU377" s="21" t="s">
        <v>135</v>
      </c>
      <c r="AY377" s="21" t="s">
        <v>167</v>
      </c>
      <c r="BE377" s="150">
        <f>IF(U377="základní",N377,0)</f>
        <v>0</v>
      </c>
      <c r="BF377" s="150">
        <f>IF(U377="snížená",N377,0)</f>
        <v>0</v>
      </c>
      <c r="BG377" s="150">
        <f>IF(U377="zákl. přenesená",N377,0)</f>
        <v>0</v>
      </c>
      <c r="BH377" s="150">
        <f>IF(U377="sníž. přenesená",N377,0)</f>
        <v>0</v>
      </c>
      <c r="BI377" s="150">
        <f>IF(U377="nulová",N377,0)</f>
        <v>0</v>
      </c>
      <c r="BJ377" s="21" t="s">
        <v>21</v>
      </c>
      <c r="BK377" s="150">
        <f>ROUND(L377*K377,2)</f>
        <v>0</v>
      </c>
      <c r="BL377" s="21" t="s">
        <v>172</v>
      </c>
      <c r="BM377" s="21" t="s">
        <v>1437</v>
      </c>
    </row>
    <row r="378" spans="2:65" s="1" customFormat="1" ht="31.5" customHeight="1">
      <c r="B378" s="141"/>
      <c r="C378" s="201" t="s">
        <v>476</v>
      </c>
      <c r="D378" s="201" t="s">
        <v>168</v>
      </c>
      <c r="E378" s="202" t="s">
        <v>1438</v>
      </c>
      <c r="F378" s="317" t="s">
        <v>1439</v>
      </c>
      <c r="G378" s="317"/>
      <c r="H378" s="317"/>
      <c r="I378" s="317"/>
      <c r="J378" s="203" t="s">
        <v>199</v>
      </c>
      <c r="K378" s="204">
        <f>+K441</f>
        <v>9317.408</v>
      </c>
      <c r="L378" s="318"/>
      <c r="M378" s="318"/>
      <c r="N378" s="318">
        <f>ROUND(L378*K378,2)</f>
        <v>0</v>
      </c>
      <c r="O378" s="318"/>
      <c r="P378" s="318"/>
      <c r="Q378" s="318"/>
      <c r="R378" s="205"/>
      <c r="T378" s="147" t="s">
        <v>5</v>
      </c>
      <c r="U378" s="44" t="s">
        <v>43</v>
      </c>
      <c r="V378" s="148">
        <v>0.236</v>
      </c>
      <c r="W378" s="148">
        <f>V378*K378</f>
        <v>2198.9082879999996</v>
      </c>
      <c r="X378" s="148">
        <v>0.00084</v>
      </c>
      <c r="Y378" s="148">
        <f>X378*K378</f>
        <v>7.82662272</v>
      </c>
      <c r="Z378" s="148">
        <v>0</v>
      </c>
      <c r="AA378" s="149">
        <f>Z378*K378</f>
        <v>0</v>
      </c>
      <c r="AR378" s="21" t="s">
        <v>172</v>
      </c>
      <c r="AT378" s="21" t="s">
        <v>168</v>
      </c>
      <c r="AU378" s="21" t="s">
        <v>135</v>
      </c>
      <c r="AY378" s="21" t="s">
        <v>167</v>
      </c>
      <c r="BE378" s="150">
        <f>IF(U378="základní",N378,0)</f>
        <v>0</v>
      </c>
      <c r="BF378" s="150">
        <f>IF(U378="snížená",N378,0)</f>
        <v>0</v>
      </c>
      <c r="BG378" s="150">
        <f>IF(U378="zákl. přenesená",N378,0)</f>
        <v>0</v>
      </c>
      <c r="BH378" s="150">
        <f>IF(U378="sníž. přenesená",N378,0)</f>
        <v>0</v>
      </c>
      <c r="BI378" s="150">
        <f>IF(U378="nulová",N378,0)</f>
        <v>0</v>
      </c>
      <c r="BJ378" s="21" t="s">
        <v>21</v>
      </c>
      <c r="BK378" s="150">
        <f>ROUND(L378*K378,2)</f>
        <v>0</v>
      </c>
      <c r="BL378" s="21" t="s">
        <v>172</v>
      </c>
      <c r="BM378" s="21" t="s">
        <v>1440</v>
      </c>
    </row>
    <row r="379" spans="2:51" s="10" customFormat="1" ht="22.5" customHeight="1">
      <c r="B379" s="151"/>
      <c r="C379" s="206"/>
      <c r="D379" s="206"/>
      <c r="E379" s="207" t="s">
        <v>5</v>
      </c>
      <c r="F379" s="319" t="s">
        <v>1704</v>
      </c>
      <c r="G379" s="320"/>
      <c r="H379" s="320"/>
      <c r="I379" s="320"/>
      <c r="J379" s="206"/>
      <c r="K379" s="208" t="s">
        <v>5</v>
      </c>
      <c r="L379" s="206"/>
      <c r="M379" s="206"/>
      <c r="N379" s="206"/>
      <c r="O379" s="206"/>
      <c r="P379" s="206"/>
      <c r="Q379" s="206"/>
      <c r="R379" s="209"/>
      <c r="T379" s="156"/>
      <c r="U379" s="152"/>
      <c r="V379" s="152"/>
      <c r="W379" s="152"/>
      <c r="X379" s="152"/>
      <c r="Y379" s="152"/>
      <c r="Z379" s="152"/>
      <c r="AA379" s="157"/>
      <c r="AT379" s="158" t="s">
        <v>179</v>
      </c>
      <c r="AU379" s="158" t="s">
        <v>135</v>
      </c>
      <c r="AV379" s="10" t="s">
        <v>21</v>
      </c>
      <c r="AW379" s="10" t="s">
        <v>35</v>
      </c>
      <c r="AX379" s="10" t="s">
        <v>78</v>
      </c>
      <c r="AY379" s="158" t="s">
        <v>167</v>
      </c>
    </row>
    <row r="380" spans="2:51" s="11" customFormat="1" ht="22.5" customHeight="1">
      <c r="B380" s="159"/>
      <c r="C380" s="210"/>
      <c r="D380" s="210"/>
      <c r="E380" s="211" t="s">
        <v>5</v>
      </c>
      <c r="F380" s="321" t="s">
        <v>1823</v>
      </c>
      <c r="G380" s="322"/>
      <c r="H380" s="322"/>
      <c r="I380" s="322"/>
      <c r="J380" s="210"/>
      <c r="K380" s="212">
        <v>144.072</v>
      </c>
      <c r="L380" s="210"/>
      <c r="M380" s="210"/>
      <c r="N380" s="210"/>
      <c r="O380" s="210"/>
      <c r="P380" s="210"/>
      <c r="Q380" s="210"/>
      <c r="R380" s="213"/>
      <c r="T380" s="164"/>
      <c r="U380" s="160"/>
      <c r="V380" s="160"/>
      <c r="W380" s="160"/>
      <c r="X380" s="160"/>
      <c r="Y380" s="160"/>
      <c r="Z380" s="160"/>
      <c r="AA380" s="165"/>
      <c r="AT380" s="166" t="s">
        <v>179</v>
      </c>
      <c r="AU380" s="166" t="s">
        <v>135</v>
      </c>
      <c r="AV380" s="11" t="s">
        <v>135</v>
      </c>
      <c r="AW380" s="11" t="s">
        <v>35</v>
      </c>
      <c r="AX380" s="11" t="s">
        <v>78</v>
      </c>
      <c r="AY380" s="166" t="s">
        <v>167</v>
      </c>
    </row>
    <row r="381" spans="2:51" s="11" customFormat="1" ht="22.5" customHeight="1">
      <c r="B381" s="159"/>
      <c r="C381" s="210"/>
      <c r="D381" s="210"/>
      <c r="E381" s="211" t="s">
        <v>5</v>
      </c>
      <c r="F381" s="321" t="s">
        <v>1824</v>
      </c>
      <c r="G381" s="322"/>
      <c r="H381" s="322"/>
      <c r="I381" s="322"/>
      <c r="J381" s="210"/>
      <c r="K381" s="212">
        <v>133.45</v>
      </c>
      <c r="L381" s="210"/>
      <c r="M381" s="210"/>
      <c r="N381" s="210"/>
      <c r="O381" s="210"/>
      <c r="P381" s="210"/>
      <c r="Q381" s="210"/>
      <c r="R381" s="213"/>
      <c r="T381" s="164"/>
      <c r="U381" s="160"/>
      <c r="V381" s="160"/>
      <c r="W381" s="160"/>
      <c r="X381" s="160"/>
      <c r="Y381" s="160"/>
      <c r="Z381" s="160"/>
      <c r="AA381" s="165"/>
      <c r="AT381" s="166" t="s">
        <v>179</v>
      </c>
      <c r="AU381" s="166" t="s">
        <v>135</v>
      </c>
      <c r="AV381" s="11" t="s">
        <v>135</v>
      </c>
      <c r="AW381" s="11" t="s">
        <v>35</v>
      </c>
      <c r="AX381" s="11" t="s">
        <v>78</v>
      </c>
      <c r="AY381" s="166" t="s">
        <v>167</v>
      </c>
    </row>
    <row r="382" spans="2:51" s="11" customFormat="1" ht="22.5" customHeight="1">
      <c r="B382" s="159"/>
      <c r="C382" s="210"/>
      <c r="D382" s="210"/>
      <c r="E382" s="211" t="s">
        <v>5</v>
      </c>
      <c r="F382" s="321" t="s">
        <v>1825</v>
      </c>
      <c r="G382" s="322"/>
      <c r="H382" s="322"/>
      <c r="I382" s="322"/>
      <c r="J382" s="210"/>
      <c r="K382" s="212">
        <v>99.06</v>
      </c>
      <c r="L382" s="210"/>
      <c r="M382" s="210"/>
      <c r="N382" s="210"/>
      <c r="O382" s="210"/>
      <c r="P382" s="210"/>
      <c r="Q382" s="210"/>
      <c r="R382" s="213"/>
      <c r="T382" s="164"/>
      <c r="U382" s="160"/>
      <c r="V382" s="160"/>
      <c r="W382" s="160"/>
      <c r="X382" s="160"/>
      <c r="Y382" s="160"/>
      <c r="Z382" s="160"/>
      <c r="AA382" s="165"/>
      <c r="AT382" s="166" t="s">
        <v>179</v>
      </c>
      <c r="AU382" s="166" t="s">
        <v>135</v>
      </c>
      <c r="AV382" s="11" t="s">
        <v>135</v>
      </c>
      <c r="AW382" s="11" t="s">
        <v>35</v>
      </c>
      <c r="AX382" s="11" t="s">
        <v>78</v>
      </c>
      <c r="AY382" s="166" t="s">
        <v>167</v>
      </c>
    </row>
    <row r="383" spans="2:51" s="11" customFormat="1" ht="22.5" customHeight="1">
      <c r="B383" s="159"/>
      <c r="C383" s="210"/>
      <c r="D383" s="210"/>
      <c r="E383" s="211" t="s">
        <v>5</v>
      </c>
      <c r="F383" s="321" t="s">
        <v>1826</v>
      </c>
      <c r="G383" s="322"/>
      <c r="H383" s="322"/>
      <c r="I383" s="322"/>
      <c r="J383" s="210"/>
      <c r="K383" s="212">
        <v>88.808</v>
      </c>
      <c r="L383" s="210"/>
      <c r="M383" s="210"/>
      <c r="N383" s="210"/>
      <c r="O383" s="210"/>
      <c r="P383" s="210"/>
      <c r="Q383" s="210"/>
      <c r="R383" s="213"/>
      <c r="T383" s="164"/>
      <c r="U383" s="160"/>
      <c r="V383" s="160"/>
      <c r="W383" s="160"/>
      <c r="X383" s="160"/>
      <c r="Y383" s="160"/>
      <c r="Z383" s="160"/>
      <c r="AA383" s="165"/>
      <c r="AT383" s="166" t="s">
        <v>179</v>
      </c>
      <c r="AU383" s="166" t="s">
        <v>135</v>
      </c>
      <c r="AV383" s="11" t="s">
        <v>135</v>
      </c>
      <c r="AW383" s="11" t="s">
        <v>35</v>
      </c>
      <c r="AX383" s="11" t="s">
        <v>78</v>
      </c>
      <c r="AY383" s="166" t="s">
        <v>167</v>
      </c>
    </row>
    <row r="384" spans="2:51" s="11" customFormat="1" ht="22.5" customHeight="1">
      <c r="B384" s="159"/>
      <c r="C384" s="210"/>
      <c r="D384" s="210"/>
      <c r="E384" s="211" t="s">
        <v>5</v>
      </c>
      <c r="F384" s="321" t="s">
        <v>1827</v>
      </c>
      <c r="G384" s="322"/>
      <c r="H384" s="322"/>
      <c r="I384" s="322"/>
      <c r="J384" s="210"/>
      <c r="K384" s="212">
        <v>68.034</v>
      </c>
      <c r="L384" s="210"/>
      <c r="M384" s="210"/>
      <c r="N384" s="210"/>
      <c r="O384" s="210"/>
      <c r="P384" s="210"/>
      <c r="Q384" s="210"/>
      <c r="R384" s="213"/>
      <c r="T384" s="164"/>
      <c r="U384" s="160"/>
      <c r="V384" s="160"/>
      <c r="W384" s="160"/>
      <c r="X384" s="160"/>
      <c r="Y384" s="160"/>
      <c r="Z384" s="160"/>
      <c r="AA384" s="165"/>
      <c r="AT384" s="166" t="s">
        <v>179</v>
      </c>
      <c r="AU384" s="166" t="s">
        <v>135</v>
      </c>
      <c r="AV384" s="11" t="s">
        <v>135</v>
      </c>
      <c r="AW384" s="11" t="s">
        <v>35</v>
      </c>
      <c r="AX384" s="11" t="s">
        <v>78</v>
      </c>
      <c r="AY384" s="166" t="s">
        <v>167</v>
      </c>
    </row>
    <row r="385" spans="2:51" s="11" customFormat="1" ht="22.5" customHeight="1">
      <c r="B385" s="159"/>
      <c r="C385" s="210"/>
      <c r="D385" s="210"/>
      <c r="E385" s="211" t="s">
        <v>5</v>
      </c>
      <c r="F385" s="321" t="s">
        <v>1828</v>
      </c>
      <c r="G385" s="322"/>
      <c r="H385" s="322"/>
      <c r="I385" s="322"/>
      <c r="J385" s="210"/>
      <c r="K385" s="212">
        <v>146.45</v>
      </c>
      <c r="L385" s="210"/>
      <c r="M385" s="210"/>
      <c r="N385" s="210"/>
      <c r="O385" s="210"/>
      <c r="P385" s="210"/>
      <c r="Q385" s="210"/>
      <c r="R385" s="213"/>
      <c r="T385" s="164"/>
      <c r="U385" s="160"/>
      <c r="V385" s="160"/>
      <c r="W385" s="160"/>
      <c r="X385" s="160"/>
      <c r="Y385" s="160"/>
      <c r="Z385" s="160"/>
      <c r="AA385" s="165"/>
      <c r="AT385" s="166" t="s">
        <v>179</v>
      </c>
      <c r="AU385" s="166" t="s">
        <v>135</v>
      </c>
      <c r="AV385" s="11" t="s">
        <v>135</v>
      </c>
      <c r="AW385" s="11" t="s">
        <v>35</v>
      </c>
      <c r="AX385" s="11" t="s">
        <v>78</v>
      </c>
      <c r="AY385" s="166" t="s">
        <v>167</v>
      </c>
    </row>
    <row r="386" spans="2:51" s="11" customFormat="1" ht="22.5" customHeight="1">
      <c r="B386" s="159"/>
      <c r="C386" s="210"/>
      <c r="D386" s="210"/>
      <c r="E386" s="211" t="s">
        <v>5</v>
      </c>
      <c r="F386" s="321" t="s">
        <v>1829</v>
      </c>
      <c r="G386" s="322"/>
      <c r="H386" s="322"/>
      <c r="I386" s="322"/>
      <c r="J386" s="210"/>
      <c r="K386" s="212">
        <v>28.272</v>
      </c>
      <c r="L386" s="210"/>
      <c r="M386" s="210"/>
      <c r="N386" s="210"/>
      <c r="O386" s="210"/>
      <c r="P386" s="210"/>
      <c r="Q386" s="210"/>
      <c r="R386" s="213"/>
      <c r="T386" s="164"/>
      <c r="U386" s="160"/>
      <c r="V386" s="160"/>
      <c r="W386" s="160"/>
      <c r="X386" s="160"/>
      <c r="Y386" s="160"/>
      <c r="Z386" s="160"/>
      <c r="AA386" s="165"/>
      <c r="AT386" s="166" t="s">
        <v>179</v>
      </c>
      <c r="AU386" s="166" t="s">
        <v>135</v>
      </c>
      <c r="AV386" s="11" t="s">
        <v>135</v>
      </c>
      <c r="AW386" s="11" t="s">
        <v>35</v>
      </c>
      <c r="AX386" s="11" t="s">
        <v>78</v>
      </c>
      <c r="AY386" s="166" t="s">
        <v>167</v>
      </c>
    </row>
    <row r="387" spans="2:51" s="11" customFormat="1" ht="22.5" customHeight="1">
      <c r="B387" s="159"/>
      <c r="C387" s="210"/>
      <c r="D387" s="210"/>
      <c r="E387" s="211" t="s">
        <v>5</v>
      </c>
      <c r="F387" s="321" t="s">
        <v>1830</v>
      </c>
      <c r="G387" s="322"/>
      <c r="H387" s="322"/>
      <c r="I387" s="322"/>
      <c r="J387" s="210"/>
      <c r="K387" s="212">
        <v>336.7</v>
      </c>
      <c r="L387" s="210"/>
      <c r="M387" s="210"/>
      <c r="N387" s="210"/>
      <c r="O387" s="210"/>
      <c r="P387" s="210"/>
      <c r="Q387" s="210"/>
      <c r="R387" s="213"/>
      <c r="T387" s="164"/>
      <c r="U387" s="160"/>
      <c r="V387" s="160"/>
      <c r="W387" s="160"/>
      <c r="X387" s="160"/>
      <c r="Y387" s="160"/>
      <c r="Z387" s="160"/>
      <c r="AA387" s="165"/>
      <c r="AT387" s="166" t="s">
        <v>179</v>
      </c>
      <c r="AU387" s="166" t="s">
        <v>135</v>
      </c>
      <c r="AV387" s="11" t="s">
        <v>135</v>
      </c>
      <c r="AW387" s="11" t="s">
        <v>35</v>
      </c>
      <c r="AX387" s="11" t="s">
        <v>78</v>
      </c>
      <c r="AY387" s="166" t="s">
        <v>167</v>
      </c>
    </row>
    <row r="388" spans="2:51" s="11" customFormat="1" ht="22.5" customHeight="1">
      <c r="B388" s="159"/>
      <c r="C388" s="210"/>
      <c r="D388" s="210"/>
      <c r="E388" s="211" t="s">
        <v>5</v>
      </c>
      <c r="F388" s="321" t="s">
        <v>1831</v>
      </c>
      <c r="G388" s="322"/>
      <c r="H388" s="322"/>
      <c r="I388" s="322"/>
      <c r="J388" s="210"/>
      <c r="K388" s="212">
        <v>64.5</v>
      </c>
      <c r="L388" s="210"/>
      <c r="M388" s="210"/>
      <c r="N388" s="210"/>
      <c r="O388" s="210"/>
      <c r="P388" s="210"/>
      <c r="Q388" s="210"/>
      <c r="R388" s="213"/>
      <c r="T388" s="164"/>
      <c r="U388" s="160"/>
      <c r="V388" s="160"/>
      <c r="W388" s="160"/>
      <c r="X388" s="160"/>
      <c r="Y388" s="160"/>
      <c r="Z388" s="160"/>
      <c r="AA388" s="165"/>
      <c r="AT388" s="166" t="s">
        <v>179</v>
      </c>
      <c r="AU388" s="166" t="s">
        <v>135</v>
      </c>
      <c r="AV388" s="11" t="s">
        <v>135</v>
      </c>
      <c r="AW388" s="11" t="s">
        <v>35</v>
      </c>
      <c r="AX388" s="11" t="s">
        <v>78</v>
      </c>
      <c r="AY388" s="166" t="s">
        <v>167</v>
      </c>
    </row>
    <row r="389" spans="2:51" s="11" customFormat="1" ht="22.5" customHeight="1">
      <c r="B389" s="159"/>
      <c r="C389" s="210"/>
      <c r="D389" s="210"/>
      <c r="E389" s="211" t="s">
        <v>5</v>
      </c>
      <c r="F389" s="321" t="s">
        <v>1832</v>
      </c>
      <c r="G389" s="322"/>
      <c r="H389" s="322"/>
      <c r="I389" s="322"/>
      <c r="J389" s="210"/>
      <c r="K389" s="212">
        <v>282.96</v>
      </c>
      <c r="L389" s="210"/>
      <c r="M389" s="210"/>
      <c r="N389" s="210"/>
      <c r="O389" s="210"/>
      <c r="P389" s="210"/>
      <c r="Q389" s="210"/>
      <c r="R389" s="213"/>
      <c r="T389" s="164"/>
      <c r="U389" s="160"/>
      <c r="V389" s="160"/>
      <c r="W389" s="160"/>
      <c r="X389" s="160"/>
      <c r="Y389" s="160"/>
      <c r="Z389" s="160"/>
      <c r="AA389" s="165"/>
      <c r="AT389" s="166" t="s">
        <v>179</v>
      </c>
      <c r="AU389" s="166" t="s">
        <v>135</v>
      </c>
      <c r="AV389" s="11" t="s">
        <v>135</v>
      </c>
      <c r="AW389" s="11" t="s">
        <v>35</v>
      </c>
      <c r="AX389" s="11" t="s">
        <v>78</v>
      </c>
      <c r="AY389" s="166" t="s">
        <v>167</v>
      </c>
    </row>
    <row r="390" spans="2:51" s="11" customFormat="1" ht="22.5" customHeight="1">
      <c r="B390" s="159"/>
      <c r="C390" s="210"/>
      <c r="D390" s="210"/>
      <c r="E390" s="211" t="s">
        <v>5</v>
      </c>
      <c r="F390" s="321" t="s">
        <v>1833</v>
      </c>
      <c r="G390" s="322"/>
      <c r="H390" s="322"/>
      <c r="I390" s="322"/>
      <c r="J390" s="210"/>
      <c r="K390" s="212">
        <v>224.91</v>
      </c>
      <c r="L390" s="210"/>
      <c r="M390" s="210"/>
      <c r="N390" s="210"/>
      <c r="O390" s="210"/>
      <c r="P390" s="210"/>
      <c r="Q390" s="210"/>
      <c r="R390" s="213"/>
      <c r="T390" s="164"/>
      <c r="U390" s="160"/>
      <c r="V390" s="160"/>
      <c r="W390" s="160"/>
      <c r="X390" s="160"/>
      <c r="Y390" s="160"/>
      <c r="Z390" s="160"/>
      <c r="AA390" s="165"/>
      <c r="AT390" s="166" t="s">
        <v>179</v>
      </c>
      <c r="AU390" s="166" t="s">
        <v>135</v>
      </c>
      <c r="AV390" s="11" t="s">
        <v>135</v>
      </c>
      <c r="AW390" s="11" t="s">
        <v>35</v>
      </c>
      <c r="AX390" s="11" t="s">
        <v>78</v>
      </c>
      <c r="AY390" s="166" t="s">
        <v>167</v>
      </c>
    </row>
    <row r="391" spans="2:51" s="11" customFormat="1" ht="22.5" customHeight="1">
      <c r="B391" s="159"/>
      <c r="C391" s="210"/>
      <c r="D391" s="210"/>
      <c r="E391" s="211" t="s">
        <v>5</v>
      </c>
      <c r="F391" s="321" t="s">
        <v>1834</v>
      </c>
      <c r="G391" s="322"/>
      <c r="H391" s="322"/>
      <c r="I391" s="322"/>
      <c r="J391" s="210"/>
      <c r="K391" s="212">
        <v>125.604</v>
      </c>
      <c r="L391" s="210"/>
      <c r="M391" s="210"/>
      <c r="N391" s="210"/>
      <c r="O391" s="210"/>
      <c r="P391" s="210"/>
      <c r="Q391" s="210"/>
      <c r="R391" s="213"/>
      <c r="T391" s="164"/>
      <c r="U391" s="160"/>
      <c r="V391" s="160"/>
      <c r="W391" s="160"/>
      <c r="X391" s="160"/>
      <c r="Y391" s="160"/>
      <c r="Z391" s="160"/>
      <c r="AA391" s="165"/>
      <c r="AT391" s="166" t="s">
        <v>179</v>
      </c>
      <c r="AU391" s="166" t="s">
        <v>135</v>
      </c>
      <c r="AV391" s="11" t="s">
        <v>135</v>
      </c>
      <c r="AW391" s="11" t="s">
        <v>35</v>
      </c>
      <c r="AX391" s="11" t="s">
        <v>78</v>
      </c>
      <c r="AY391" s="166" t="s">
        <v>167</v>
      </c>
    </row>
    <row r="392" spans="2:51" s="11" customFormat="1" ht="22.5" customHeight="1">
      <c r="B392" s="159"/>
      <c r="C392" s="210"/>
      <c r="D392" s="210"/>
      <c r="E392" s="211" t="s">
        <v>5</v>
      </c>
      <c r="F392" s="321" t="s">
        <v>1835</v>
      </c>
      <c r="G392" s="322"/>
      <c r="H392" s="322"/>
      <c r="I392" s="322"/>
      <c r="J392" s="210"/>
      <c r="K392" s="212">
        <v>58.24</v>
      </c>
      <c r="L392" s="210"/>
      <c r="M392" s="210"/>
      <c r="N392" s="210"/>
      <c r="O392" s="210"/>
      <c r="P392" s="210"/>
      <c r="Q392" s="210"/>
      <c r="R392" s="213"/>
      <c r="T392" s="164"/>
      <c r="U392" s="160"/>
      <c r="V392" s="160"/>
      <c r="W392" s="160"/>
      <c r="X392" s="160"/>
      <c r="Y392" s="160"/>
      <c r="Z392" s="160"/>
      <c r="AA392" s="165"/>
      <c r="AT392" s="166" t="s">
        <v>179</v>
      </c>
      <c r="AU392" s="166" t="s">
        <v>135</v>
      </c>
      <c r="AV392" s="11" t="s">
        <v>135</v>
      </c>
      <c r="AW392" s="11" t="s">
        <v>35</v>
      </c>
      <c r="AX392" s="11" t="s">
        <v>78</v>
      </c>
      <c r="AY392" s="166" t="s">
        <v>167</v>
      </c>
    </row>
    <row r="393" spans="2:51" s="11" customFormat="1" ht="22.5" customHeight="1">
      <c r="B393" s="159"/>
      <c r="C393" s="210"/>
      <c r="D393" s="210"/>
      <c r="E393" s="211" t="s">
        <v>5</v>
      </c>
      <c r="F393" s="321" t="s">
        <v>1836</v>
      </c>
      <c r="G393" s="322"/>
      <c r="H393" s="322"/>
      <c r="I393" s="322"/>
      <c r="J393" s="210"/>
      <c r="K393" s="212">
        <v>206.4</v>
      </c>
      <c r="L393" s="210"/>
      <c r="M393" s="210"/>
      <c r="N393" s="210"/>
      <c r="O393" s="210"/>
      <c r="P393" s="210"/>
      <c r="Q393" s="210"/>
      <c r="R393" s="213"/>
      <c r="T393" s="164"/>
      <c r="U393" s="160"/>
      <c r="V393" s="160"/>
      <c r="W393" s="160"/>
      <c r="X393" s="160"/>
      <c r="Y393" s="160"/>
      <c r="Z393" s="160"/>
      <c r="AA393" s="165"/>
      <c r="AT393" s="166" t="s">
        <v>179</v>
      </c>
      <c r="AU393" s="166" t="s">
        <v>135</v>
      </c>
      <c r="AV393" s="11" t="s">
        <v>135</v>
      </c>
      <c r="AW393" s="11" t="s">
        <v>35</v>
      </c>
      <c r="AX393" s="11" t="s">
        <v>78</v>
      </c>
      <c r="AY393" s="166" t="s">
        <v>167</v>
      </c>
    </row>
    <row r="394" spans="2:51" s="11" customFormat="1" ht="22.5" customHeight="1">
      <c r="B394" s="159"/>
      <c r="C394" s="210"/>
      <c r="D394" s="210"/>
      <c r="E394" s="211" t="s">
        <v>5</v>
      </c>
      <c r="F394" s="321" t="s">
        <v>1837</v>
      </c>
      <c r="G394" s="322"/>
      <c r="H394" s="322"/>
      <c r="I394" s="322"/>
      <c r="J394" s="210"/>
      <c r="K394" s="212">
        <v>340</v>
      </c>
      <c r="L394" s="210"/>
      <c r="M394" s="210"/>
      <c r="N394" s="210"/>
      <c r="O394" s="210"/>
      <c r="P394" s="210"/>
      <c r="Q394" s="210"/>
      <c r="R394" s="213"/>
      <c r="T394" s="164"/>
      <c r="U394" s="160"/>
      <c r="V394" s="160"/>
      <c r="W394" s="160"/>
      <c r="X394" s="160"/>
      <c r="Y394" s="160"/>
      <c r="Z394" s="160"/>
      <c r="AA394" s="165"/>
      <c r="AT394" s="166" t="s">
        <v>179</v>
      </c>
      <c r="AU394" s="166" t="s">
        <v>135</v>
      </c>
      <c r="AV394" s="11" t="s">
        <v>135</v>
      </c>
      <c r="AW394" s="11" t="s">
        <v>35</v>
      </c>
      <c r="AX394" s="11" t="s">
        <v>78</v>
      </c>
      <c r="AY394" s="166" t="s">
        <v>167</v>
      </c>
    </row>
    <row r="395" spans="2:51" s="11" customFormat="1" ht="22.5" customHeight="1">
      <c r="B395" s="159"/>
      <c r="C395" s="210"/>
      <c r="D395" s="210"/>
      <c r="E395" s="211" t="s">
        <v>5</v>
      </c>
      <c r="F395" s="321" t="s">
        <v>1838</v>
      </c>
      <c r="G395" s="322"/>
      <c r="H395" s="322"/>
      <c r="I395" s="322"/>
      <c r="J395" s="210"/>
      <c r="K395" s="212">
        <v>338.4</v>
      </c>
      <c r="L395" s="210"/>
      <c r="M395" s="210"/>
      <c r="N395" s="210"/>
      <c r="O395" s="210"/>
      <c r="P395" s="210"/>
      <c r="Q395" s="210"/>
      <c r="R395" s="213"/>
      <c r="T395" s="164"/>
      <c r="U395" s="160"/>
      <c r="V395" s="160"/>
      <c r="W395" s="160"/>
      <c r="X395" s="160"/>
      <c r="Y395" s="160"/>
      <c r="Z395" s="160"/>
      <c r="AA395" s="165"/>
      <c r="AT395" s="166" t="s">
        <v>179</v>
      </c>
      <c r="AU395" s="166" t="s">
        <v>135</v>
      </c>
      <c r="AV395" s="11" t="s">
        <v>135</v>
      </c>
      <c r="AW395" s="11" t="s">
        <v>35</v>
      </c>
      <c r="AX395" s="11" t="s">
        <v>78</v>
      </c>
      <c r="AY395" s="166" t="s">
        <v>167</v>
      </c>
    </row>
    <row r="396" spans="2:51" s="11" customFormat="1" ht="22.5" customHeight="1">
      <c r="B396" s="159"/>
      <c r="C396" s="210"/>
      <c r="D396" s="210"/>
      <c r="E396" s="211" t="s">
        <v>5</v>
      </c>
      <c r="F396" s="321" t="s">
        <v>1839</v>
      </c>
      <c r="G396" s="322"/>
      <c r="H396" s="322"/>
      <c r="I396" s="322"/>
      <c r="J396" s="210"/>
      <c r="K396" s="212">
        <v>360</v>
      </c>
      <c r="L396" s="210"/>
      <c r="M396" s="210"/>
      <c r="N396" s="210"/>
      <c r="O396" s="210"/>
      <c r="P396" s="210"/>
      <c r="Q396" s="210"/>
      <c r="R396" s="213"/>
      <c r="T396" s="164"/>
      <c r="U396" s="160"/>
      <c r="V396" s="160"/>
      <c r="W396" s="160"/>
      <c r="X396" s="160"/>
      <c r="Y396" s="160"/>
      <c r="Z396" s="160"/>
      <c r="AA396" s="165"/>
      <c r="AT396" s="166" t="s">
        <v>179</v>
      </c>
      <c r="AU396" s="166" t="s">
        <v>135</v>
      </c>
      <c r="AV396" s="11" t="s">
        <v>135</v>
      </c>
      <c r="AW396" s="11" t="s">
        <v>35</v>
      </c>
      <c r="AX396" s="11" t="s">
        <v>78</v>
      </c>
      <c r="AY396" s="166" t="s">
        <v>167</v>
      </c>
    </row>
    <row r="397" spans="2:51" s="11" customFormat="1" ht="22.5" customHeight="1">
      <c r="B397" s="159"/>
      <c r="C397" s="210"/>
      <c r="D397" s="210"/>
      <c r="E397" s="211" t="s">
        <v>5</v>
      </c>
      <c r="F397" s="321" t="s">
        <v>1840</v>
      </c>
      <c r="G397" s="322"/>
      <c r="H397" s="322"/>
      <c r="I397" s="322"/>
      <c r="J397" s="210"/>
      <c r="K397" s="212">
        <v>300</v>
      </c>
      <c r="L397" s="210"/>
      <c r="M397" s="210"/>
      <c r="N397" s="210"/>
      <c r="O397" s="210"/>
      <c r="P397" s="210"/>
      <c r="Q397" s="210"/>
      <c r="R397" s="213"/>
      <c r="T397" s="164"/>
      <c r="U397" s="160"/>
      <c r="V397" s="160"/>
      <c r="W397" s="160"/>
      <c r="X397" s="160"/>
      <c r="Y397" s="160"/>
      <c r="Z397" s="160"/>
      <c r="AA397" s="165"/>
      <c r="AT397" s="166" t="s">
        <v>179</v>
      </c>
      <c r="AU397" s="166" t="s">
        <v>135</v>
      </c>
      <c r="AV397" s="11" t="s">
        <v>135</v>
      </c>
      <c r="AW397" s="11" t="s">
        <v>35</v>
      </c>
      <c r="AX397" s="11" t="s">
        <v>78</v>
      </c>
      <c r="AY397" s="166" t="s">
        <v>167</v>
      </c>
    </row>
    <row r="398" spans="2:51" s="11" customFormat="1" ht="22.5" customHeight="1">
      <c r="B398" s="159"/>
      <c r="C398" s="210"/>
      <c r="D398" s="210"/>
      <c r="E398" s="211" t="s">
        <v>5</v>
      </c>
      <c r="F398" s="321" t="s">
        <v>1841</v>
      </c>
      <c r="G398" s="322"/>
      <c r="H398" s="322"/>
      <c r="I398" s="322"/>
      <c r="J398" s="210"/>
      <c r="K398" s="212">
        <v>139.92</v>
      </c>
      <c r="L398" s="210"/>
      <c r="M398" s="210"/>
      <c r="N398" s="210"/>
      <c r="O398" s="210"/>
      <c r="P398" s="210"/>
      <c r="Q398" s="210"/>
      <c r="R398" s="213"/>
      <c r="T398" s="164"/>
      <c r="U398" s="160"/>
      <c r="V398" s="160"/>
      <c r="W398" s="160"/>
      <c r="X398" s="160"/>
      <c r="Y398" s="160"/>
      <c r="Z398" s="160"/>
      <c r="AA398" s="165"/>
      <c r="AT398" s="166" t="s">
        <v>179</v>
      </c>
      <c r="AU398" s="166" t="s">
        <v>135</v>
      </c>
      <c r="AV398" s="11" t="s">
        <v>135</v>
      </c>
      <c r="AW398" s="11" t="s">
        <v>35</v>
      </c>
      <c r="AX398" s="11" t="s">
        <v>78</v>
      </c>
      <c r="AY398" s="166" t="s">
        <v>167</v>
      </c>
    </row>
    <row r="399" spans="2:51" s="13" customFormat="1" ht="22.5" customHeight="1">
      <c r="B399" s="186"/>
      <c r="C399" s="214"/>
      <c r="D399" s="214"/>
      <c r="E399" s="215" t="s">
        <v>5</v>
      </c>
      <c r="F399" s="323" t="s">
        <v>1278</v>
      </c>
      <c r="G399" s="324"/>
      <c r="H399" s="324"/>
      <c r="I399" s="324"/>
      <c r="J399" s="214"/>
      <c r="K399" s="216">
        <v>3485.78</v>
      </c>
      <c r="L399" s="214"/>
      <c r="M399" s="214"/>
      <c r="N399" s="214"/>
      <c r="O399" s="214"/>
      <c r="P399" s="214"/>
      <c r="Q399" s="214"/>
      <c r="R399" s="217"/>
      <c r="T399" s="191"/>
      <c r="U399" s="187"/>
      <c r="V399" s="187"/>
      <c r="W399" s="187"/>
      <c r="X399" s="187"/>
      <c r="Y399" s="187"/>
      <c r="Z399" s="187"/>
      <c r="AA399" s="192"/>
      <c r="AT399" s="193" t="s">
        <v>179</v>
      </c>
      <c r="AU399" s="193" t="s">
        <v>135</v>
      </c>
      <c r="AV399" s="13" t="s">
        <v>184</v>
      </c>
      <c r="AW399" s="13" t="s">
        <v>35</v>
      </c>
      <c r="AX399" s="13" t="s">
        <v>78</v>
      </c>
      <c r="AY399" s="193" t="s">
        <v>167</v>
      </c>
    </row>
    <row r="400" spans="2:51" s="10" customFormat="1" ht="22.5" customHeight="1">
      <c r="B400" s="151"/>
      <c r="C400" s="206"/>
      <c r="D400" s="206"/>
      <c r="E400" s="207" t="s">
        <v>5</v>
      </c>
      <c r="F400" s="325" t="s">
        <v>1723</v>
      </c>
      <c r="G400" s="326"/>
      <c r="H400" s="326"/>
      <c r="I400" s="326"/>
      <c r="J400" s="206"/>
      <c r="K400" s="208" t="s">
        <v>5</v>
      </c>
      <c r="L400" s="206"/>
      <c r="M400" s="206"/>
      <c r="N400" s="206"/>
      <c r="O400" s="206"/>
      <c r="P400" s="206"/>
      <c r="Q400" s="206"/>
      <c r="R400" s="209"/>
      <c r="T400" s="156"/>
      <c r="U400" s="152"/>
      <c r="V400" s="152"/>
      <c r="W400" s="152"/>
      <c r="X400" s="152"/>
      <c r="Y400" s="152"/>
      <c r="Z400" s="152"/>
      <c r="AA400" s="157"/>
      <c r="AT400" s="158" t="s">
        <v>179</v>
      </c>
      <c r="AU400" s="158" t="s">
        <v>135</v>
      </c>
      <c r="AV400" s="10" t="s">
        <v>21</v>
      </c>
      <c r="AW400" s="10" t="s">
        <v>35</v>
      </c>
      <c r="AX400" s="10" t="s">
        <v>78</v>
      </c>
      <c r="AY400" s="158" t="s">
        <v>167</v>
      </c>
    </row>
    <row r="401" spans="2:51" s="11" customFormat="1" ht="22.5" customHeight="1">
      <c r="B401" s="159"/>
      <c r="C401" s="210"/>
      <c r="D401" s="210"/>
      <c r="E401" s="211" t="s">
        <v>5</v>
      </c>
      <c r="F401" s="321" t="s">
        <v>1842</v>
      </c>
      <c r="G401" s="322"/>
      <c r="H401" s="322"/>
      <c r="I401" s="322"/>
      <c r="J401" s="210"/>
      <c r="K401" s="212">
        <v>404.8</v>
      </c>
      <c r="L401" s="210"/>
      <c r="M401" s="210"/>
      <c r="N401" s="210"/>
      <c r="O401" s="210"/>
      <c r="P401" s="210"/>
      <c r="Q401" s="210"/>
      <c r="R401" s="213"/>
      <c r="T401" s="164"/>
      <c r="U401" s="160"/>
      <c r="V401" s="160"/>
      <c r="W401" s="160"/>
      <c r="X401" s="160"/>
      <c r="Y401" s="160"/>
      <c r="Z401" s="160"/>
      <c r="AA401" s="165"/>
      <c r="AT401" s="166" t="s">
        <v>179</v>
      </c>
      <c r="AU401" s="166" t="s">
        <v>135</v>
      </c>
      <c r="AV401" s="11" t="s">
        <v>135</v>
      </c>
      <c r="AW401" s="11" t="s">
        <v>35</v>
      </c>
      <c r="AX401" s="11" t="s">
        <v>78</v>
      </c>
      <c r="AY401" s="166" t="s">
        <v>167</v>
      </c>
    </row>
    <row r="402" spans="2:51" s="13" customFormat="1" ht="22.5" customHeight="1">
      <c r="B402" s="186"/>
      <c r="C402" s="214"/>
      <c r="D402" s="214"/>
      <c r="E402" s="215" t="s">
        <v>5</v>
      </c>
      <c r="F402" s="323" t="s">
        <v>1278</v>
      </c>
      <c r="G402" s="324"/>
      <c r="H402" s="324"/>
      <c r="I402" s="324"/>
      <c r="J402" s="214"/>
      <c r="K402" s="216">
        <v>404.8</v>
      </c>
      <c r="L402" s="214"/>
      <c r="M402" s="214"/>
      <c r="N402" s="214"/>
      <c r="O402" s="214"/>
      <c r="P402" s="214"/>
      <c r="Q402" s="214"/>
      <c r="R402" s="217"/>
      <c r="T402" s="191"/>
      <c r="U402" s="187"/>
      <c r="V402" s="187"/>
      <c r="W402" s="187"/>
      <c r="X402" s="187"/>
      <c r="Y402" s="187"/>
      <c r="Z402" s="187"/>
      <c r="AA402" s="192"/>
      <c r="AT402" s="193" t="s">
        <v>179</v>
      </c>
      <c r="AU402" s="193" t="s">
        <v>135</v>
      </c>
      <c r="AV402" s="13" t="s">
        <v>184</v>
      </c>
      <c r="AW402" s="13" t="s">
        <v>35</v>
      </c>
      <c r="AX402" s="13" t="s">
        <v>78</v>
      </c>
      <c r="AY402" s="193" t="s">
        <v>167</v>
      </c>
    </row>
    <row r="403" spans="2:51" s="10" customFormat="1" ht="22.5" customHeight="1">
      <c r="B403" s="151"/>
      <c r="C403" s="206"/>
      <c r="D403" s="206"/>
      <c r="E403" s="207" t="s">
        <v>5</v>
      </c>
      <c r="F403" s="325" t="s">
        <v>1725</v>
      </c>
      <c r="G403" s="326"/>
      <c r="H403" s="326"/>
      <c r="I403" s="326"/>
      <c r="J403" s="206"/>
      <c r="K403" s="208" t="s">
        <v>5</v>
      </c>
      <c r="L403" s="206"/>
      <c r="M403" s="206"/>
      <c r="N403" s="206"/>
      <c r="O403" s="206"/>
      <c r="P403" s="206"/>
      <c r="Q403" s="206"/>
      <c r="R403" s="209"/>
      <c r="T403" s="156"/>
      <c r="U403" s="152"/>
      <c r="V403" s="152"/>
      <c r="W403" s="152"/>
      <c r="X403" s="152"/>
      <c r="Y403" s="152"/>
      <c r="Z403" s="152"/>
      <c r="AA403" s="157"/>
      <c r="AT403" s="158" t="s">
        <v>179</v>
      </c>
      <c r="AU403" s="158" t="s">
        <v>135</v>
      </c>
      <c r="AV403" s="10" t="s">
        <v>21</v>
      </c>
      <c r="AW403" s="10" t="s">
        <v>35</v>
      </c>
      <c r="AX403" s="10" t="s">
        <v>78</v>
      </c>
      <c r="AY403" s="158" t="s">
        <v>167</v>
      </c>
    </row>
    <row r="404" spans="2:51" s="11" customFormat="1" ht="22.5" customHeight="1">
      <c r="B404" s="159"/>
      <c r="C404" s="210"/>
      <c r="D404" s="210"/>
      <c r="E404" s="211" t="s">
        <v>5</v>
      </c>
      <c r="F404" s="321" t="s">
        <v>1843</v>
      </c>
      <c r="G404" s="322"/>
      <c r="H404" s="322"/>
      <c r="I404" s="322"/>
      <c r="J404" s="210"/>
      <c r="K404" s="212">
        <v>143.068</v>
      </c>
      <c r="L404" s="210"/>
      <c r="M404" s="210"/>
      <c r="N404" s="210"/>
      <c r="O404" s="210"/>
      <c r="P404" s="210"/>
      <c r="Q404" s="210"/>
      <c r="R404" s="213"/>
      <c r="T404" s="164"/>
      <c r="U404" s="160"/>
      <c r="V404" s="160"/>
      <c r="W404" s="160"/>
      <c r="X404" s="160"/>
      <c r="Y404" s="160"/>
      <c r="Z404" s="160"/>
      <c r="AA404" s="165"/>
      <c r="AT404" s="166" t="s">
        <v>179</v>
      </c>
      <c r="AU404" s="166" t="s">
        <v>135</v>
      </c>
      <c r="AV404" s="11" t="s">
        <v>135</v>
      </c>
      <c r="AW404" s="11" t="s">
        <v>35</v>
      </c>
      <c r="AX404" s="11" t="s">
        <v>78</v>
      </c>
      <c r="AY404" s="166" t="s">
        <v>167</v>
      </c>
    </row>
    <row r="405" spans="2:51" s="11" customFormat="1" ht="22.5" customHeight="1">
      <c r="B405" s="159"/>
      <c r="C405" s="210"/>
      <c r="D405" s="210"/>
      <c r="E405" s="211" t="s">
        <v>5</v>
      </c>
      <c r="F405" s="321" t="s">
        <v>1844</v>
      </c>
      <c r="G405" s="322"/>
      <c r="H405" s="322"/>
      <c r="I405" s="322"/>
      <c r="J405" s="210"/>
      <c r="K405" s="212">
        <v>272.3</v>
      </c>
      <c r="L405" s="210"/>
      <c r="M405" s="210"/>
      <c r="N405" s="210"/>
      <c r="O405" s="210"/>
      <c r="P405" s="210"/>
      <c r="Q405" s="210"/>
      <c r="R405" s="213"/>
      <c r="T405" s="164"/>
      <c r="U405" s="160"/>
      <c r="V405" s="160"/>
      <c r="W405" s="160"/>
      <c r="X405" s="160"/>
      <c r="Y405" s="160"/>
      <c r="Z405" s="160"/>
      <c r="AA405" s="165"/>
      <c r="AT405" s="166" t="s">
        <v>179</v>
      </c>
      <c r="AU405" s="166" t="s">
        <v>135</v>
      </c>
      <c r="AV405" s="11" t="s">
        <v>135</v>
      </c>
      <c r="AW405" s="11" t="s">
        <v>35</v>
      </c>
      <c r="AX405" s="11" t="s">
        <v>78</v>
      </c>
      <c r="AY405" s="166" t="s">
        <v>167</v>
      </c>
    </row>
    <row r="406" spans="2:51" s="11" customFormat="1" ht="22.5" customHeight="1">
      <c r="B406" s="159"/>
      <c r="C406" s="210"/>
      <c r="D406" s="210"/>
      <c r="E406" s="211" t="s">
        <v>5</v>
      </c>
      <c r="F406" s="321" t="s">
        <v>1845</v>
      </c>
      <c r="G406" s="322"/>
      <c r="H406" s="322"/>
      <c r="I406" s="322"/>
      <c r="J406" s="210"/>
      <c r="K406" s="212">
        <v>138.32</v>
      </c>
      <c r="L406" s="210"/>
      <c r="M406" s="210"/>
      <c r="N406" s="210"/>
      <c r="O406" s="210"/>
      <c r="P406" s="210"/>
      <c r="Q406" s="210"/>
      <c r="R406" s="213"/>
      <c r="T406" s="164"/>
      <c r="U406" s="160"/>
      <c r="V406" s="160"/>
      <c r="W406" s="160"/>
      <c r="X406" s="160"/>
      <c r="Y406" s="160"/>
      <c r="Z406" s="160"/>
      <c r="AA406" s="165"/>
      <c r="AT406" s="166" t="s">
        <v>179</v>
      </c>
      <c r="AU406" s="166" t="s">
        <v>135</v>
      </c>
      <c r="AV406" s="11" t="s">
        <v>135</v>
      </c>
      <c r="AW406" s="11" t="s">
        <v>35</v>
      </c>
      <c r="AX406" s="11" t="s">
        <v>78</v>
      </c>
      <c r="AY406" s="166" t="s">
        <v>167</v>
      </c>
    </row>
    <row r="407" spans="2:51" s="11" customFormat="1" ht="22.5" customHeight="1">
      <c r="B407" s="159"/>
      <c r="C407" s="210"/>
      <c r="D407" s="210"/>
      <c r="E407" s="211" t="s">
        <v>5</v>
      </c>
      <c r="F407" s="321" t="s">
        <v>1846</v>
      </c>
      <c r="G407" s="322"/>
      <c r="H407" s="322"/>
      <c r="I407" s="322"/>
      <c r="J407" s="210"/>
      <c r="K407" s="212">
        <v>60.76</v>
      </c>
      <c r="L407" s="210"/>
      <c r="M407" s="210"/>
      <c r="N407" s="210"/>
      <c r="O407" s="210"/>
      <c r="P407" s="210"/>
      <c r="Q407" s="210"/>
      <c r="R407" s="213"/>
      <c r="T407" s="164"/>
      <c r="U407" s="160"/>
      <c r="V407" s="160"/>
      <c r="W407" s="160"/>
      <c r="X407" s="160"/>
      <c r="Y407" s="160"/>
      <c r="Z407" s="160"/>
      <c r="AA407" s="165"/>
      <c r="AT407" s="166" t="s">
        <v>179</v>
      </c>
      <c r="AU407" s="166" t="s">
        <v>135</v>
      </c>
      <c r="AV407" s="11" t="s">
        <v>135</v>
      </c>
      <c r="AW407" s="11" t="s">
        <v>35</v>
      </c>
      <c r="AX407" s="11" t="s">
        <v>78</v>
      </c>
      <c r="AY407" s="166" t="s">
        <v>167</v>
      </c>
    </row>
    <row r="408" spans="2:51" s="11" customFormat="1" ht="22.5" customHeight="1">
      <c r="B408" s="159"/>
      <c r="C408" s="210"/>
      <c r="D408" s="210"/>
      <c r="E408" s="211" t="s">
        <v>5</v>
      </c>
      <c r="F408" s="321" t="s">
        <v>1847</v>
      </c>
      <c r="G408" s="322"/>
      <c r="H408" s="322"/>
      <c r="I408" s="322"/>
      <c r="J408" s="210"/>
      <c r="K408" s="212">
        <v>60.72</v>
      </c>
      <c r="L408" s="210"/>
      <c r="M408" s="210"/>
      <c r="N408" s="210"/>
      <c r="O408" s="210"/>
      <c r="P408" s="210"/>
      <c r="Q408" s="210"/>
      <c r="R408" s="213"/>
      <c r="T408" s="164"/>
      <c r="U408" s="160"/>
      <c r="V408" s="160"/>
      <c r="W408" s="160"/>
      <c r="X408" s="160"/>
      <c r="Y408" s="160"/>
      <c r="Z408" s="160"/>
      <c r="AA408" s="165"/>
      <c r="AT408" s="166" t="s">
        <v>179</v>
      </c>
      <c r="AU408" s="166" t="s">
        <v>135</v>
      </c>
      <c r="AV408" s="11" t="s">
        <v>135</v>
      </c>
      <c r="AW408" s="11" t="s">
        <v>35</v>
      </c>
      <c r="AX408" s="11" t="s">
        <v>78</v>
      </c>
      <c r="AY408" s="166" t="s">
        <v>167</v>
      </c>
    </row>
    <row r="409" spans="2:51" s="11" customFormat="1" ht="22.5" customHeight="1">
      <c r="B409" s="159"/>
      <c r="C409" s="210"/>
      <c r="D409" s="210"/>
      <c r="E409" s="211" t="s">
        <v>5</v>
      </c>
      <c r="F409" s="321" t="s">
        <v>1848</v>
      </c>
      <c r="G409" s="322"/>
      <c r="H409" s="322"/>
      <c r="I409" s="322"/>
      <c r="J409" s="210"/>
      <c r="K409" s="212">
        <v>42.224</v>
      </c>
      <c r="L409" s="210"/>
      <c r="M409" s="210"/>
      <c r="N409" s="210"/>
      <c r="O409" s="210"/>
      <c r="P409" s="210"/>
      <c r="Q409" s="210"/>
      <c r="R409" s="213"/>
      <c r="T409" s="164"/>
      <c r="U409" s="160"/>
      <c r="V409" s="160"/>
      <c r="W409" s="160"/>
      <c r="X409" s="160"/>
      <c r="Y409" s="160"/>
      <c r="Z409" s="160"/>
      <c r="AA409" s="165"/>
      <c r="AT409" s="166" t="s">
        <v>179</v>
      </c>
      <c r="AU409" s="166" t="s">
        <v>135</v>
      </c>
      <c r="AV409" s="11" t="s">
        <v>135</v>
      </c>
      <c r="AW409" s="11" t="s">
        <v>35</v>
      </c>
      <c r="AX409" s="11" t="s">
        <v>78</v>
      </c>
      <c r="AY409" s="166" t="s">
        <v>167</v>
      </c>
    </row>
    <row r="410" spans="2:51" s="11" customFormat="1" ht="22.5" customHeight="1">
      <c r="B410" s="159"/>
      <c r="C410" s="210"/>
      <c r="D410" s="210"/>
      <c r="E410" s="211" t="s">
        <v>5</v>
      </c>
      <c r="F410" s="321" t="s">
        <v>1849</v>
      </c>
      <c r="G410" s="322"/>
      <c r="H410" s="322"/>
      <c r="I410" s="322"/>
      <c r="J410" s="210"/>
      <c r="K410" s="212">
        <v>170.1</v>
      </c>
      <c r="L410" s="210"/>
      <c r="M410" s="210"/>
      <c r="N410" s="210"/>
      <c r="O410" s="210"/>
      <c r="P410" s="210"/>
      <c r="Q410" s="210"/>
      <c r="R410" s="213"/>
      <c r="T410" s="164"/>
      <c r="U410" s="160"/>
      <c r="V410" s="160"/>
      <c r="W410" s="160"/>
      <c r="X410" s="160"/>
      <c r="Y410" s="160"/>
      <c r="Z410" s="160"/>
      <c r="AA410" s="165"/>
      <c r="AT410" s="166" t="s">
        <v>179</v>
      </c>
      <c r="AU410" s="166" t="s">
        <v>135</v>
      </c>
      <c r="AV410" s="11" t="s">
        <v>135</v>
      </c>
      <c r="AW410" s="11" t="s">
        <v>35</v>
      </c>
      <c r="AX410" s="11" t="s">
        <v>78</v>
      </c>
      <c r="AY410" s="166" t="s">
        <v>167</v>
      </c>
    </row>
    <row r="411" spans="2:51" s="11" customFormat="1" ht="22.5" customHeight="1">
      <c r="B411" s="159"/>
      <c r="C411" s="210"/>
      <c r="D411" s="210"/>
      <c r="E411" s="211" t="s">
        <v>5</v>
      </c>
      <c r="F411" s="321" t="s">
        <v>1850</v>
      </c>
      <c r="G411" s="322"/>
      <c r="H411" s="322"/>
      <c r="I411" s="322"/>
      <c r="J411" s="210"/>
      <c r="K411" s="212">
        <v>61.1</v>
      </c>
      <c r="L411" s="210"/>
      <c r="M411" s="210"/>
      <c r="N411" s="210"/>
      <c r="O411" s="210"/>
      <c r="P411" s="210"/>
      <c r="Q411" s="210"/>
      <c r="R411" s="213"/>
      <c r="T411" s="164"/>
      <c r="U411" s="160"/>
      <c r="V411" s="160"/>
      <c r="W411" s="160"/>
      <c r="X411" s="160"/>
      <c r="Y411" s="160"/>
      <c r="Z411" s="160"/>
      <c r="AA411" s="165"/>
      <c r="AT411" s="166" t="s">
        <v>179</v>
      </c>
      <c r="AU411" s="166" t="s">
        <v>135</v>
      </c>
      <c r="AV411" s="11" t="s">
        <v>135</v>
      </c>
      <c r="AW411" s="11" t="s">
        <v>35</v>
      </c>
      <c r="AX411" s="11" t="s">
        <v>78</v>
      </c>
      <c r="AY411" s="166" t="s">
        <v>167</v>
      </c>
    </row>
    <row r="412" spans="2:51" s="11" customFormat="1" ht="22.5" customHeight="1">
      <c r="B412" s="159"/>
      <c r="C412" s="210"/>
      <c r="D412" s="210"/>
      <c r="E412" s="211" t="s">
        <v>5</v>
      </c>
      <c r="F412" s="321" t="s">
        <v>1851</v>
      </c>
      <c r="G412" s="322"/>
      <c r="H412" s="322"/>
      <c r="I412" s="322"/>
      <c r="J412" s="210"/>
      <c r="K412" s="212">
        <v>97.324</v>
      </c>
      <c r="L412" s="210"/>
      <c r="M412" s="210"/>
      <c r="N412" s="210"/>
      <c r="O412" s="210"/>
      <c r="P412" s="210"/>
      <c r="Q412" s="210"/>
      <c r="R412" s="213"/>
      <c r="T412" s="164"/>
      <c r="U412" s="160"/>
      <c r="V412" s="160"/>
      <c r="W412" s="160"/>
      <c r="X412" s="160"/>
      <c r="Y412" s="160"/>
      <c r="Z412" s="160"/>
      <c r="AA412" s="165"/>
      <c r="AT412" s="166" t="s">
        <v>179</v>
      </c>
      <c r="AU412" s="166" t="s">
        <v>135</v>
      </c>
      <c r="AV412" s="11" t="s">
        <v>135</v>
      </c>
      <c r="AW412" s="11" t="s">
        <v>35</v>
      </c>
      <c r="AX412" s="11" t="s">
        <v>78</v>
      </c>
      <c r="AY412" s="166" t="s">
        <v>167</v>
      </c>
    </row>
    <row r="413" spans="2:51" s="11" customFormat="1" ht="22.5" customHeight="1">
      <c r="B413" s="159"/>
      <c r="C413" s="210"/>
      <c r="D413" s="210"/>
      <c r="E413" s="211" t="s">
        <v>5</v>
      </c>
      <c r="F413" s="321" t="s">
        <v>1852</v>
      </c>
      <c r="G413" s="322"/>
      <c r="H413" s="322"/>
      <c r="I413" s="322"/>
      <c r="J413" s="210"/>
      <c r="K413" s="212">
        <v>179.424</v>
      </c>
      <c r="L413" s="210"/>
      <c r="M413" s="210"/>
      <c r="N413" s="210"/>
      <c r="O413" s="210"/>
      <c r="P413" s="210"/>
      <c r="Q413" s="210"/>
      <c r="R413" s="213"/>
      <c r="T413" s="164"/>
      <c r="U413" s="160"/>
      <c r="V413" s="160"/>
      <c r="W413" s="160"/>
      <c r="X413" s="160"/>
      <c r="Y413" s="160"/>
      <c r="Z413" s="160"/>
      <c r="AA413" s="165"/>
      <c r="AT413" s="166" t="s">
        <v>179</v>
      </c>
      <c r="AU413" s="166" t="s">
        <v>135</v>
      </c>
      <c r="AV413" s="11" t="s">
        <v>135</v>
      </c>
      <c r="AW413" s="11" t="s">
        <v>35</v>
      </c>
      <c r="AX413" s="11" t="s">
        <v>78</v>
      </c>
      <c r="AY413" s="166" t="s">
        <v>167</v>
      </c>
    </row>
    <row r="414" spans="2:51" s="11" customFormat="1" ht="22.5" customHeight="1">
      <c r="B414" s="159"/>
      <c r="C414" s="210"/>
      <c r="D414" s="210"/>
      <c r="E414" s="211" t="s">
        <v>5</v>
      </c>
      <c r="F414" s="321" t="s">
        <v>1853</v>
      </c>
      <c r="G414" s="322"/>
      <c r="H414" s="322"/>
      <c r="I414" s="322"/>
      <c r="J414" s="210"/>
      <c r="K414" s="212">
        <v>75.6</v>
      </c>
      <c r="L414" s="210"/>
      <c r="M414" s="210"/>
      <c r="N414" s="210"/>
      <c r="O414" s="210"/>
      <c r="P414" s="210"/>
      <c r="Q414" s="210"/>
      <c r="R414" s="213"/>
      <c r="T414" s="164"/>
      <c r="U414" s="160"/>
      <c r="V414" s="160"/>
      <c r="W414" s="160"/>
      <c r="X414" s="160"/>
      <c r="Y414" s="160"/>
      <c r="Z414" s="160"/>
      <c r="AA414" s="165"/>
      <c r="AT414" s="166" t="s">
        <v>179</v>
      </c>
      <c r="AU414" s="166" t="s">
        <v>135</v>
      </c>
      <c r="AV414" s="11" t="s">
        <v>135</v>
      </c>
      <c r="AW414" s="11" t="s">
        <v>35</v>
      </c>
      <c r="AX414" s="11" t="s">
        <v>78</v>
      </c>
      <c r="AY414" s="166" t="s">
        <v>167</v>
      </c>
    </row>
    <row r="415" spans="2:51" s="11" customFormat="1" ht="22.5" customHeight="1">
      <c r="B415" s="159"/>
      <c r="C415" s="210"/>
      <c r="D415" s="210"/>
      <c r="E415" s="211" t="s">
        <v>5</v>
      </c>
      <c r="F415" s="321" t="s">
        <v>1854</v>
      </c>
      <c r="G415" s="322"/>
      <c r="H415" s="322"/>
      <c r="I415" s="322"/>
      <c r="J415" s="210"/>
      <c r="K415" s="212">
        <v>76.05</v>
      </c>
      <c r="L415" s="210"/>
      <c r="M415" s="210"/>
      <c r="N415" s="210"/>
      <c r="O415" s="210"/>
      <c r="P415" s="210"/>
      <c r="Q415" s="210"/>
      <c r="R415" s="213"/>
      <c r="T415" s="164"/>
      <c r="U415" s="160"/>
      <c r="V415" s="160"/>
      <c r="W415" s="160"/>
      <c r="X415" s="160"/>
      <c r="Y415" s="160"/>
      <c r="Z415" s="160"/>
      <c r="AA415" s="165"/>
      <c r="AT415" s="166" t="s">
        <v>179</v>
      </c>
      <c r="AU415" s="166" t="s">
        <v>135</v>
      </c>
      <c r="AV415" s="11" t="s">
        <v>135</v>
      </c>
      <c r="AW415" s="11" t="s">
        <v>35</v>
      </c>
      <c r="AX415" s="11" t="s">
        <v>78</v>
      </c>
      <c r="AY415" s="166" t="s">
        <v>167</v>
      </c>
    </row>
    <row r="416" spans="2:51" s="11" customFormat="1" ht="22.5" customHeight="1">
      <c r="B416" s="159"/>
      <c r="C416" s="210"/>
      <c r="D416" s="210"/>
      <c r="E416" s="211" t="s">
        <v>5</v>
      </c>
      <c r="F416" s="321" t="s">
        <v>1855</v>
      </c>
      <c r="G416" s="322"/>
      <c r="H416" s="322"/>
      <c r="I416" s="322"/>
      <c r="J416" s="210"/>
      <c r="K416" s="212">
        <v>250</v>
      </c>
      <c r="L416" s="210"/>
      <c r="M416" s="210"/>
      <c r="N416" s="210"/>
      <c r="O416" s="210"/>
      <c r="P416" s="210"/>
      <c r="Q416" s="210"/>
      <c r="R416" s="213"/>
      <c r="T416" s="164"/>
      <c r="U416" s="160"/>
      <c r="V416" s="160"/>
      <c r="W416" s="160"/>
      <c r="X416" s="160"/>
      <c r="Y416" s="160"/>
      <c r="Z416" s="160"/>
      <c r="AA416" s="165"/>
      <c r="AT416" s="166" t="s">
        <v>179</v>
      </c>
      <c r="AU416" s="166" t="s">
        <v>135</v>
      </c>
      <c r="AV416" s="11" t="s">
        <v>135</v>
      </c>
      <c r="AW416" s="11" t="s">
        <v>35</v>
      </c>
      <c r="AX416" s="11" t="s">
        <v>78</v>
      </c>
      <c r="AY416" s="166" t="s">
        <v>167</v>
      </c>
    </row>
    <row r="417" spans="2:51" s="11" customFormat="1" ht="22.5" customHeight="1">
      <c r="B417" s="159"/>
      <c r="C417" s="210"/>
      <c r="D417" s="210"/>
      <c r="E417" s="211" t="s">
        <v>5</v>
      </c>
      <c r="F417" s="321" t="s">
        <v>1856</v>
      </c>
      <c r="G417" s="322"/>
      <c r="H417" s="322"/>
      <c r="I417" s="322"/>
      <c r="J417" s="210"/>
      <c r="K417" s="212">
        <v>85.872</v>
      </c>
      <c r="L417" s="210"/>
      <c r="M417" s="210"/>
      <c r="N417" s="210"/>
      <c r="O417" s="210"/>
      <c r="P417" s="210"/>
      <c r="Q417" s="210"/>
      <c r="R417" s="213"/>
      <c r="T417" s="164"/>
      <c r="U417" s="160"/>
      <c r="V417" s="160"/>
      <c r="W417" s="160"/>
      <c r="X417" s="160"/>
      <c r="Y417" s="160"/>
      <c r="Z417" s="160"/>
      <c r="AA417" s="165"/>
      <c r="AT417" s="166" t="s">
        <v>179</v>
      </c>
      <c r="AU417" s="166" t="s">
        <v>135</v>
      </c>
      <c r="AV417" s="11" t="s">
        <v>135</v>
      </c>
      <c r="AW417" s="11" t="s">
        <v>35</v>
      </c>
      <c r="AX417" s="11" t="s">
        <v>78</v>
      </c>
      <c r="AY417" s="166" t="s">
        <v>167</v>
      </c>
    </row>
    <row r="418" spans="2:51" s="11" customFormat="1" ht="22.5" customHeight="1">
      <c r="B418" s="159"/>
      <c r="C418" s="210"/>
      <c r="D418" s="210"/>
      <c r="E418" s="211" t="s">
        <v>5</v>
      </c>
      <c r="F418" s="321" t="s">
        <v>1857</v>
      </c>
      <c r="G418" s="322"/>
      <c r="H418" s="322"/>
      <c r="I418" s="322"/>
      <c r="J418" s="210"/>
      <c r="K418" s="212">
        <v>147.66</v>
      </c>
      <c r="L418" s="210"/>
      <c r="M418" s="210"/>
      <c r="N418" s="210"/>
      <c r="O418" s="210"/>
      <c r="P418" s="210"/>
      <c r="Q418" s="210"/>
      <c r="R418" s="213"/>
      <c r="T418" s="164"/>
      <c r="U418" s="160"/>
      <c r="V418" s="160"/>
      <c r="W418" s="160"/>
      <c r="X418" s="160"/>
      <c r="Y418" s="160"/>
      <c r="Z418" s="160"/>
      <c r="AA418" s="165"/>
      <c r="AT418" s="166" t="s">
        <v>179</v>
      </c>
      <c r="AU418" s="166" t="s">
        <v>135</v>
      </c>
      <c r="AV418" s="11" t="s">
        <v>135</v>
      </c>
      <c r="AW418" s="11" t="s">
        <v>35</v>
      </c>
      <c r="AX418" s="11" t="s">
        <v>78</v>
      </c>
      <c r="AY418" s="166" t="s">
        <v>167</v>
      </c>
    </row>
    <row r="419" spans="2:51" s="11" customFormat="1" ht="22.5" customHeight="1">
      <c r="B419" s="159"/>
      <c r="C419" s="210"/>
      <c r="D419" s="210"/>
      <c r="E419" s="211" t="s">
        <v>5</v>
      </c>
      <c r="F419" s="321" t="s">
        <v>1858</v>
      </c>
      <c r="G419" s="322"/>
      <c r="H419" s="322"/>
      <c r="I419" s="322"/>
      <c r="J419" s="210"/>
      <c r="K419" s="212">
        <v>260</v>
      </c>
      <c r="L419" s="210"/>
      <c r="M419" s="210"/>
      <c r="N419" s="210"/>
      <c r="O419" s="210"/>
      <c r="P419" s="210"/>
      <c r="Q419" s="210"/>
      <c r="R419" s="213"/>
      <c r="T419" s="164"/>
      <c r="U419" s="160"/>
      <c r="V419" s="160"/>
      <c r="W419" s="160"/>
      <c r="X419" s="160"/>
      <c r="Y419" s="160"/>
      <c r="Z419" s="160"/>
      <c r="AA419" s="165"/>
      <c r="AT419" s="166" t="s">
        <v>179</v>
      </c>
      <c r="AU419" s="166" t="s">
        <v>135</v>
      </c>
      <c r="AV419" s="11" t="s">
        <v>135</v>
      </c>
      <c r="AW419" s="11" t="s">
        <v>35</v>
      </c>
      <c r="AX419" s="11" t="s">
        <v>78</v>
      </c>
      <c r="AY419" s="166" t="s">
        <v>167</v>
      </c>
    </row>
    <row r="420" spans="2:51" s="11" customFormat="1" ht="22.5" customHeight="1">
      <c r="B420" s="159"/>
      <c r="C420" s="210"/>
      <c r="D420" s="210"/>
      <c r="E420" s="211" t="s">
        <v>5</v>
      </c>
      <c r="F420" s="321" t="s">
        <v>1859</v>
      </c>
      <c r="G420" s="322"/>
      <c r="H420" s="322"/>
      <c r="I420" s="322"/>
      <c r="J420" s="210"/>
      <c r="K420" s="212">
        <v>310</v>
      </c>
      <c r="L420" s="210"/>
      <c r="M420" s="210"/>
      <c r="N420" s="210"/>
      <c r="O420" s="210"/>
      <c r="P420" s="210"/>
      <c r="Q420" s="210"/>
      <c r="R420" s="213"/>
      <c r="T420" s="164"/>
      <c r="U420" s="160"/>
      <c r="V420" s="160"/>
      <c r="W420" s="160"/>
      <c r="X420" s="160"/>
      <c r="Y420" s="160"/>
      <c r="Z420" s="160"/>
      <c r="AA420" s="165"/>
      <c r="AT420" s="166" t="s">
        <v>179</v>
      </c>
      <c r="AU420" s="166" t="s">
        <v>135</v>
      </c>
      <c r="AV420" s="11" t="s">
        <v>135</v>
      </c>
      <c r="AW420" s="11" t="s">
        <v>35</v>
      </c>
      <c r="AX420" s="11" t="s">
        <v>78</v>
      </c>
      <c r="AY420" s="166" t="s">
        <v>167</v>
      </c>
    </row>
    <row r="421" spans="2:51" s="11" customFormat="1" ht="22.5" customHeight="1">
      <c r="B421" s="159"/>
      <c r="C421" s="210"/>
      <c r="D421" s="210"/>
      <c r="E421" s="211" t="s">
        <v>5</v>
      </c>
      <c r="F421" s="321" t="s">
        <v>1860</v>
      </c>
      <c r="G421" s="322"/>
      <c r="H421" s="322"/>
      <c r="I421" s="322"/>
      <c r="J421" s="210"/>
      <c r="K421" s="212">
        <v>272.252</v>
      </c>
      <c r="L421" s="210"/>
      <c r="M421" s="210"/>
      <c r="N421" s="210"/>
      <c r="O421" s="210"/>
      <c r="P421" s="210"/>
      <c r="Q421" s="210"/>
      <c r="R421" s="213"/>
      <c r="T421" s="164"/>
      <c r="U421" s="160"/>
      <c r="V421" s="160"/>
      <c r="W421" s="160"/>
      <c r="X421" s="160"/>
      <c r="Y421" s="160"/>
      <c r="Z421" s="160"/>
      <c r="AA421" s="165"/>
      <c r="AT421" s="166" t="s">
        <v>179</v>
      </c>
      <c r="AU421" s="166" t="s">
        <v>135</v>
      </c>
      <c r="AV421" s="11" t="s">
        <v>135</v>
      </c>
      <c r="AW421" s="11" t="s">
        <v>35</v>
      </c>
      <c r="AX421" s="11" t="s">
        <v>78</v>
      </c>
      <c r="AY421" s="166" t="s">
        <v>167</v>
      </c>
    </row>
    <row r="422" spans="2:51" s="11" customFormat="1" ht="22.5" customHeight="1">
      <c r="B422" s="159"/>
      <c r="C422" s="210"/>
      <c r="D422" s="210"/>
      <c r="E422" s="211" t="s">
        <v>5</v>
      </c>
      <c r="F422" s="321" t="s">
        <v>1861</v>
      </c>
      <c r="G422" s="322"/>
      <c r="H422" s="322"/>
      <c r="I422" s="322"/>
      <c r="J422" s="210"/>
      <c r="K422" s="212">
        <v>85.606</v>
      </c>
      <c r="L422" s="210"/>
      <c r="M422" s="210"/>
      <c r="N422" s="210"/>
      <c r="O422" s="210"/>
      <c r="P422" s="210"/>
      <c r="Q422" s="210"/>
      <c r="R422" s="213"/>
      <c r="T422" s="164"/>
      <c r="U422" s="160"/>
      <c r="V422" s="160"/>
      <c r="W422" s="160"/>
      <c r="X422" s="160"/>
      <c r="Y422" s="160"/>
      <c r="Z422" s="160"/>
      <c r="AA422" s="165"/>
      <c r="AT422" s="166" t="s">
        <v>179</v>
      </c>
      <c r="AU422" s="166" t="s">
        <v>135</v>
      </c>
      <c r="AV422" s="11" t="s">
        <v>135</v>
      </c>
      <c r="AW422" s="11" t="s">
        <v>35</v>
      </c>
      <c r="AX422" s="11" t="s">
        <v>78</v>
      </c>
      <c r="AY422" s="166" t="s">
        <v>167</v>
      </c>
    </row>
    <row r="423" spans="2:51" s="11" customFormat="1" ht="22.5" customHeight="1">
      <c r="B423" s="159"/>
      <c r="C423" s="210"/>
      <c r="D423" s="210"/>
      <c r="E423" s="211" t="s">
        <v>5</v>
      </c>
      <c r="F423" s="321" t="s">
        <v>1862</v>
      </c>
      <c r="G423" s="322"/>
      <c r="H423" s="322"/>
      <c r="I423" s="322"/>
      <c r="J423" s="210"/>
      <c r="K423" s="212">
        <v>44.96</v>
      </c>
      <c r="L423" s="210"/>
      <c r="M423" s="210"/>
      <c r="N423" s="210"/>
      <c r="O423" s="210"/>
      <c r="P423" s="210"/>
      <c r="Q423" s="210"/>
      <c r="R423" s="213"/>
      <c r="T423" s="164"/>
      <c r="U423" s="160"/>
      <c r="V423" s="160"/>
      <c r="W423" s="160"/>
      <c r="X423" s="160"/>
      <c r="Y423" s="160"/>
      <c r="Z423" s="160"/>
      <c r="AA423" s="165"/>
      <c r="AT423" s="166" t="s">
        <v>179</v>
      </c>
      <c r="AU423" s="166" t="s">
        <v>135</v>
      </c>
      <c r="AV423" s="11" t="s">
        <v>135</v>
      </c>
      <c r="AW423" s="11" t="s">
        <v>35</v>
      </c>
      <c r="AX423" s="11" t="s">
        <v>78</v>
      </c>
      <c r="AY423" s="166" t="s">
        <v>167</v>
      </c>
    </row>
    <row r="424" spans="2:51" s="11" customFormat="1" ht="22.5" customHeight="1">
      <c r="B424" s="159"/>
      <c r="C424" s="210"/>
      <c r="D424" s="210"/>
      <c r="E424" s="211" t="s">
        <v>5</v>
      </c>
      <c r="F424" s="321" t="s">
        <v>1863</v>
      </c>
      <c r="G424" s="322"/>
      <c r="H424" s="322"/>
      <c r="I424" s="322"/>
      <c r="J424" s="210"/>
      <c r="K424" s="212">
        <v>64.52</v>
      </c>
      <c r="L424" s="210"/>
      <c r="M424" s="210"/>
      <c r="N424" s="210"/>
      <c r="O424" s="210"/>
      <c r="P424" s="210"/>
      <c r="Q424" s="210"/>
      <c r="R424" s="213"/>
      <c r="T424" s="164"/>
      <c r="U424" s="160"/>
      <c r="V424" s="160"/>
      <c r="W424" s="160"/>
      <c r="X424" s="160"/>
      <c r="Y424" s="160"/>
      <c r="Z424" s="160"/>
      <c r="AA424" s="165"/>
      <c r="AT424" s="166" t="s">
        <v>179</v>
      </c>
      <c r="AU424" s="166" t="s">
        <v>135</v>
      </c>
      <c r="AV424" s="11" t="s">
        <v>135</v>
      </c>
      <c r="AW424" s="11" t="s">
        <v>35</v>
      </c>
      <c r="AX424" s="11" t="s">
        <v>78</v>
      </c>
      <c r="AY424" s="166" t="s">
        <v>167</v>
      </c>
    </row>
    <row r="425" spans="2:51" s="11" customFormat="1" ht="22.5" customHeight="1">
      <c r="B425" s="159"/>
      <c r="C425" s="210"/>
      <c r="D425" s="210"/>
      <c r="E425" s="211" t="s">
        <v>5</v>
      </c>
      <c r="F425" s="321" t="s">
        <v>1864</v>
      </c>
      <c r="G425" s="322"/>
      <c r="H425" s="322"/>
      <c r="I425" s="322"/>
      <c r="J425" s="210"/>
      <c r="K425" s="212">
        <v>99.918</v>
      </c>
      <c r="L425" s="210"/>
      <c r="M425" s="210"/>
      <c r="N425" s="210"/>
      <c r="O425" s="210"/>
      <c r="P425" s="210"/>
      <c r="Q425" s="210"/>
      <c r="R425" s="213"/>
      <c r="T425" s="164"/>
      <c r="U425" s="160"/>
      <c r="V425" s="160"/>
      <c r="W425" s="160"/>
      <c r="X425" s="160"/>
      <c r="Y425" s="160"/>
      <c r="Z425" s="160"/>
      <c r="AA425" s="165"/>
      <c r="AT425" s="166" t="s">
        <v>179</v>
      </c>
      <c r="AU425" s="166" t="s">
        <v>135</v>
      </c>
      <c r="AV425" s="11" t="s">
        <v>135</v>
      </c>
      <c r="AW425" s="11" t="s">
        <v>35</v>
      </c>
      <c r="AX425" s="11" t="s">
        <v>78</v>
      </c>
      <c r="AY425" s="166" t="s">
        <v>167</v>
      </c>
    </row>
    <row r="426" spans="2:51" s="13" customFormat="1" ht="22.5" customHeight="1">
      <c r="B426" s="186"/>
      <c r="C426" s="214"/>
      <c r="D426" s="214"/>
      <c r="E426" s="215" t="s">
        <v>5</v>
      </c>
      <c r="F426" s="323" t="s">
        <v>1278</v>
      </c>
      <c r="G426" s="324"/>
      <c r="H426" s="324"/>
      <c r="I426" s="324"/>
      <c r="J426" s="214"/>
      <c r="K426" s="216">
        <v>2997.778</v>
      </c>
      <c r="L426" s="214"/>
      <c r="M426" s="214"/>
      <c r="N426" s="214"/>
      <c r="O426" s="214"/>
      <c r="P426" s="214"/>
      <c r="Q426" s="214"/>
      <c r="R426" s="217"/>
      <c r="T426" s="191"/>
      <c r="U426" s="187"/>
      <c r="V426" s="187"/>
      <c r="W426" s="187"/>
      <c r="X426" s="187"/>
      <c r="Y426" s="187"/>
      <c r="Z426" s="187"/>
      <c r="AA426" s="192"/>
      <c r="AT426" s="193" t="s">
        <v>179</v>
      </c>
      <c r="AU426" s="193" t="s">
        <v>135</v>
      </c>
      <c r="AV426" s="13" t="s">
        <v>184</v>
      </c>
      <c r="AW426" s="13" t="s">
        <v>35</v>
      </c>
      <c r="AX426" s="13" t="s">
        <v>78</v>
      </c>
      <c r="AY426" s="193" t="s">
        <v>167</v>
      </c>
    </row>
    <row r="427" spans="2:51" s="10" customFormat="1" ht="22.5" customHeight="1">
      <c r="B427" s="151"/>
      <c r="C427" s="206"/>
      <c r="D427" s="206"/>
      <c r="E427" s="207" t="s">
        <v>5</v>
      </c>
      <c r="F427" s="325" t="s">
        <v>1748</v>
      </c>
      <c r="G427" s="326"/>
      <c r="H427" s="326"/>
      <c r="I427" s="326"/>
      <c r="J427" s="206"/>
      <c r="K427" s="208" t="s">
        <v>5</v>
      </c>
      <c r="L427" s="206"/>
      <c r="M427" s="206"/>
      <c r="N427" s="206"/>
      <c r="O427" s="206"/>
      <c r="P427" s="206"/>
      <c r="Q427" s="206"/>
      <c r="R427" s="209"/>
      <c r="T427" s="156"/>
      <c r="U427" s="152"/>
      <c r="V427" s="152"/>
      <c r="W427" s="152"/>
      <c r="X427" s="152"/>
      <c r="Y427" s="152"/>
      <c r="Z427" s="152"/>
      <c r="AA427" s="157"/>
      <c r="AT427" s="158" t="s">
        <v>179</v>
      </c>
      <c r="AU427" s="158" t="s">
        <v>135</v>
      </c>
      <c r="AV427" s="10" t="s">
        <v>21</v>
      </c>
      <c r="AW427" s="10" t="s">
        <v>35</v>
      </c>
      <c r="AX427" s="10" t="s">
        <v>78</v>
      </c>
      <c r="AY427" s="158" t="s">
        <v>167</v>
      </c>
    </row>
    <row r="428" spans="2:51" s="11" customFormat="1" ht="22.5" customHeight="1">
      <c r="B428" s="159"/>
      <c r="C428" s="210"/>
      <c r="D428" s="210"/>
      <c r="E428" s="211" t="s">
        <v>5</v>
      </c>
      <c r="F428" s="321" t="s">
        <v>1865</v>
      </c>
      <c r="G428" s="322"/>
      <c r="H428" s="322"/>
      <c r="I428" s="322"/>
      <c r="J428" s="210"/>
      <c r="K428" s="212">
        <v>308.64</v>
      </c>
      <c r="L428" s="210"/>
      <c r="M428" s="210"/>
      <c r="N428" s="210"/>
      <c r="O428" s="210"/>
      <c r="P428" s="210"/>
      <c r="Q428" s="210"/>
      <c r="R428" s="213"/>
      <c r="T428" s="164"/>
      <c r="U428" s="160"/>
      <c r="V428" s="160"/>
      <c r="W428" s="160"/>
      <c r="X428" s="160"/>
      <c r="Y428" s="160"/>
      <c r="Z428" s="160"/>
      <c r="AA428" s="165"/>
      <c r="AT428" s="166" t="s">
        <v>179</v>
      </c>
      <c r="AU428" s="166" t="s">
        <v>135</v>
      </c>
      <c r="AV428" s="11" t="s">
        <v>135</v>
      </c>
      <c r="AW428" s="11" t="s">
        <v>35</v>
      </c>
      <c r="AX428" s="11" t="s">
        <v>78</v>
      </c>
      <c r="AY428" s="166" t="s">
        <v>167</v>
      </c>
    </row>
    <row r="429" spans="2:51" s="11" customFormat="1" ht="22.5" customHeight="1">
      <c r="B429" s="159"/>
      <c r="C429" s="210"/>
      <c r="D429" s="210"/>
      <c r="E429" s="211" t="s">
        <v>5</v>
      </c>
      <c r="F429" s="321" t="s">
        <v>1866</v>
      </c>
      <c r="G429" s="322"/>
      <c r="H429" s="322"/>
      <c r="I429" s="322"/>
      <c r="J429" s="210"/>
      <c r="K429" s="212">
        <v>234</v>
      </c>
      <c r="L429" s="210"/>
      <c r="M429" s="210"/>
      <c r="N429" s="210"/>
      <c r="O429" s="210"/>
      <c r="P429" s="210"/>
      <c r="Q429" s="210"/>
      <c r="R429" s="213"/>
      <c r="T429" s="164"/>
      <c r="U429" s="160"/>
      <c r="V429" s="160"/>
      <c r="W429" s="160"/>
      <c r="X429" s="160"/>
      <c r="Y429" s="160"/>
      <c r="Z429" s="160"/>
      <c r="AA429" s="165"/>
      <c r="AT429" s="166" t="s">
        <v>179</v>
      </c>
      <c r="AU429" s="166" t="s">
        <v>135</v>
      </c>
      <c r="AV429" s="11" t="s">
        <v>135</v>
      </c>
      <c r="AW429" s="11" t="s">
        <v>35</v>
      </c>
      <c r="AX429" s="11" t="s">
        <v>78</v>
      </c>
      <c r="AY429" s="166" t="s">
        <v>167</v>
      </c>
    </row>
    <row r="430" spans="2:51" s="11" customFormat="1" ht="22.5" customHeight="1">
      <c r="B430" s="159"/>
      <c r="C430" s="210"/>
      <c r="D430" s="210"/>
      <c r="E430" s="211" t="s">
        <v>5</v>
      </c>
      <c r="F430" s="321" t="s">
        <v>1867</v>
      </c>
      <c r="G430" s="322"/>
      <c r="H430" s="322"/>
      <c r="I430" s="322"/>
      <c r="J430" s="210"/>
      <c r="K430" s="212">
        <v>225</v>
      </c>
      <c r="L430" s="210"/>
      <c r="M430" s="210"/>
      <c r="N430" s="210"/>
      <c r="O430" s="210"/>
      <c r="P430" s="210"/>
      <c r="Q430" s="210"/>
      <c r="R430" s="213"/>
      <c r="T430" s="164"/>
      <c r="U430" s="160"/>
      <c r="V430" s="160"/>
      <c r="W430" s="160"/>
      <c r="X430" s="160"/>
      <c r="Y430" s="160"/>
      <c r="Z430" s="160"/>
      <c r="AA430" s="165"/>
      <c r="AT430" s="166" t="s">
        <v>179</v>
      </c>
      <c r="AU430" s="166" t="s">
        <v>135</v>
      </c>
      <c r="AV430" s="11" t="s">
        <v>135</v>
      </c>
      <c r="AW430" s="11" t="s">
        <v>35</v>
      </c>
      <c r="AX430" s="11" t="s">
        <v>78</v>
      </c>
      <c r="AY430" s="166" t="s">
        <v>167</v>
      </c>
    </row>
    <row r="431" spans="2:51" s="11" customFormat="1" ht="22.5" customHeight="1">
      <c r="B431" s="159"/>
      <c r="C431" s="210"/>
      <c r="D431" s="210"/>
      <c r="E431" s="211" t="s">
        <v>5</v>
      </c>
      <c r="F431" s="321" t="s">
        <v>1868</v>
      </c>
      <c r="G431" s="322"/>
      <c r="H431" s="322"/>
      <c r="I431" s="322"/>
      <c r="J431" s="210"/>
      <c r="K431" s="212">
        <v>215.952</v>
      </c>
      <c r="L431" s="210"/>
      <c r="M431" s="210"/>
      <c r="N431" s="210"/>
      <c r="O431" s="210"/>
      <c r="P431" s="210"/>
      <c r="Q431" s="210"/>
      <c r="R431" s="213"/>
      <c r="T431" s="164"/>
      <c r="U431" s="160"/>
      <c r="V431" s="160"/>
      <c r="W431" s="160"/>
      <c r="X431" s="160"/>
      <c r="Y431" s="160"/>
      <c r="Z431" s="160"/>
      <c r="AA431" s="165"/>
      <c r="AT431" s="166" t="s">
        <v>179</v>
      </c>
      <c r="AU431" s="166" t="s">
        <v>135</v>
      </c>
      <c r="AV431" s="11" t="s">
        <v>135</v>
      </c>
      <c r="AW431" s="11" t="s">
        <v>35</v>
      </c>
      <c r="AX431" s="11" t="s">
        <v>78</v>
      </c>
      <c r="AY431" s="166" t="s">
        <v>167</v>
      </c>
    </row>
    <row r="432" spans="2:51" s="11" customFormat="1" ht="22.5" customHeight="1">
      <c r="B432" s="159"/>
      <c r="C432" s="210"/>
      <c r="D432" s="210"/>
      <c r="E432" s="211" t="s">
        <v>5</v>
      </c>
      <c r="F432" s="321" t="s">
        <v>1869</v>
      </c>
      <c r="G432" s="322"/>
      <c r="H432" s="322"/>
      <c r="I432" s="322"/>
      <c r="J432" s="210"/>
      <c r="K432" s="212">
        <v>341.458</v>
      </c>
      <c r="L432" s="210"/>
      <c r="M432" s="210"/>
      <c r="N432" s="210"/>
      <c r="O432" s="210"/>
      <c r="P432" s="210"/>
      <c r="Q432" s="210"/>
      <c r="R432" s="213"/>
      <c r="T432" s="164"/>
      <c r="U432" s="160"/>
      <c r="V432" s="160"/>
      <c r="W432" s="160"/>
      <c r="X432" s="160"/>
      <c r="Y432" s="160"/>
      <c r="Z432" s="160"/>
      <c r="AA432" s="165"/>
      <c r="AT432" s="166" t="s">
        <v>179</v>
      </c>
      <c r="AU432" s="166" t="s">
        <v>135</v>
      </c>
      <c r="AV432" s="11" t="s">
        <v>135</v>
      </c>
      <c r="AW432" s="11" t="s">
        <v>35</v>
      </c>
      <c r="AX432" s="11" t="s">
        <v>78</v>
      </c>
      <c r="AY432" s="166" t="s">
        <v>167</v>
      </c>
    </row>
    <row r="433" spans="2:51" s="13" customFormat="1" ht="22.5" customHeight="1">
      <c r="B433" s="186"/>
      <c r="C433" s="214"/>
      <c r="D433" s="214"/>
      <c r="E433" s="215" t="s">
        <v>5</v>
      </c>
      <c r="F433" s="323" t="s">
        <v>1278</v>
      </c>
      <c r="G433" s="324"/>
      <c r="H433" s="324"/>
      <c r="I433" s="324"/>
      <c r="J433" s="214"/>
      <c r="K433" s="216">
        <v>1325.05</v>
      </c>
      <c r="L433" s="214"/>
      <c r="M433" s="214"/>
      <c r="N433" s="214"/>
      <c r="O433" s="214"/>
      <c r="P433" s="214"/>
      <c r="Q433" s="214"/>
      <c r="R433" s="217"/>
      <c r="T433" s="191"/>
      <c r="U433" s="187"/>
      <c r="V433" s="187"/>
      <c r="W433" s="187"/>
      <c r="X433" s="187"/>
      <c r="Y433" s="187"/>
      <c r="Z433" s="187"/>
      <c r="AA433" s="192"/>
      <c r="AT433" s="193" t="s">
        <v>179</v>
      </c>
      <c r="AU433" s="193" t="s">
        <v>135</v>
      </c>
      <c r="AV433" s="13" t="s">
        <v>184</v>
      </c>
      <c r="AW433" s="13" t="s">
        <v>35</v>
      </c>
      <c r="AX433" s="13" t="s">
        <v>78</v>
      </c>
      <c r="AY433" s="193" t="s">
        <v>167</v>
      </c>
    </row>
    <row r="434" spans="2:51" s="10" customFormat="1" ht="22.5" customHeight="1">
      <c r="B434" s="151"/>
      <c r="C434" s="206"/>
      <c r="D434" s="206"/>
      <c r="E434" s="207" t="s">
        <v>5</v>
      </c>
      <c r="F434" s="325" t="s">
        <v>1753</v>
      </c>
      <c r="G434" s="326"/>
      <c r="H434" s="326"/>
      <c r="I434" s="326"/>
      <c r="J434" s="206"/>
      <c r="K434" s="208" t="s">
        <v>5</v>
      </c>
      <c r="L434" s="206"/>
      <c r="M434" s="206"/>
      <c r="N434" s="206"/>
      <c r="O434" s="206"/>
      <c r="P434" s="206"/>
      <c r="Q434" s="206"/>
      <c r="R434" s="209"/>
      <c r="T434" s="156"/>
      <c r="U434" s="152"/>
      <c r="V434" s="152"/>
      <c r="W434" s="152"/>
      <c r="X434" s="152"/>
      <c r="Y434" s="152"/>
      <c r="Z434" s="152"/>
      <c r="AA434" s="157"/>
      <c r="AT434" s="158" t="s">
        <v>179</v>
      </c>
      <c r="AU434" s="158" t="s">
        <v>135</v>
      </c>
      <c r="AV434" s="10" t="s">
        <v>21</v>
      </c>
      <c r="AW434" s="10" t="s">
        <v>35</v>
      </c>
      <c r="AX434" s="10" t="s">
        <v>78</v>
      </c>
      <c r="AY434" s="158" t="s">
        <v>167</v>
      </c>
    </row>
    <row r="435" spans="2:51" s="11" customFormat="1" ht="22.5" customHeight="1">
      <c r="B435" s="159"/>
      <c r="C435" s="210"/>
      <c r="D435" s="210"/>
      <c r="E435" s="211" t="s">
        <v>5</v>
      </c>
      <c r="F435" s="321">
        <v>0</v>
      </c>
      <c r="G435" s="322"/>
      <c r="H435" s="322"/>
      <c r="I435" s="322"/>
      <c r="J435" s="210"/>
      <c r="K435" s="212">
        <v>0</v>
      </c>
      <c r="L435" s="210"/>
      <c r="M435" s="210"/>
      <c r="N435" s="210"/>
      <c r="O435" s="210"/>
      <c r="P435" s="210"/>
      <c r="Q435" s="210"/>
      <c r="R435" s="213"/>
      <c r="T435" s="164"/>
      <c r="U435" s="160"/>
      <c r="V435" s="160"/>
      <c r="W435" s="160"/>
      <c r="X435" s="160"/>
      <c r="Y435" s="160"/>
      <c r="Z435" s="160"/>
      <c r="AA435" s="165"/>
      <c r="AT435" s="166" t="s">
        <v>179</v>
      </c>
      <c r="AU435" s="166" t="s">
        <v>135</v>
      </c>
      <c r="AV435" s="11" t="s">
        <v>135</v>
      </c>
      <c r="AW435" s="11" t="s">
        <v>35</v>
      </c>
      <c r="AX435" s="11" t="s">
        <v>78</v>
      </c>
      <c r="AY435" s="166" t="s">
        <v>167</v>
      </c>
    </row>
    <row r="436" spans="2:51" s="11" customFormat="1" ht="22.5" customHeight="1">
      <c r="B436" s="159"/>
      <c r="C436" s="210"/>
      <c r="D436" s="210"/>
      <c r="E436" s="211" t="s">
        <v>5</v>
      </c>
      <c r="F436" s="321">
        <v>0</v>
      </c>
      <c r="G436" s="322"/>
      <c r="H436" s="322"/>
      <c r="I436" s="322"/>
      <c r="J436" s="210"/>
      <c r="K436" s="212">
        <v>0</v>
      </c>
      <c r="L436" s="210"/>
      <c r="M436" s="210"/>
      <c r="N436" s="210"/>
      <c r="O436" s="210"/>
      <c r="P436" s="210"/>
      <c r="Q436" s="210"/>
      <c r="R436" s="213"/>
      <c r="T436" s="164"/>
      <c r="U436" s="160"/>
      <c r="V436" s="160"/>
      <c r="W436" s="160"/>
      <c r="X436" s="160"/>
      <c r="Y436" s="160"/>
      <c r="Z436" s="160"/>
      <c r="AA436" s="165"/>
      <c r="AT436" s="166" t="s">
        <v>179</v>
      </c>
      <c r="AU436" s="166" t="s">
        <v>135</v>
      </c>
      <c r="AV436" s="11" t="s">
        <v>135</v>
      </c>
      <c r="AW436" s="11" t="s">
        <v>35</v>
      </c>
      <c r="AX436" s="11" t="s">
        <v>78</v>
      </c>
      <c r="AY436" s="166" t="s">
        <v>167</v>
      </c>
    </row>
    <row r="437" spans="2:51" s="13" customFormat="1" ht="22.5" customHeight="1">
      <c r="B437" s="186"/>
      <c r="C437" s="214"/>
      <c r="D437" s="214"/>
      <c r="E437" s="215" t="s">
        <v>5</v>
      </c>
      <c r="F437" s="323" t="s">
        <v>1278</v>
      </c>
      <c r="G437" s="324"/>
      <c r="H437" s="324"/>
      <c r="I437" s="324"/>
      <c r="J437" s="214"/>
      <c r="K437" s="216">
        <f>SUM(K435:K436)</f>
        <v>0</v>
      </c>
      <c r="L437" s="214"/>
      <c r="M437" s="214"/>
      <c r="N437" s="214"/>
      <c r="O437" s="214"/>
      <c r="P437" s="214"/>
      <c r="Q437" s="214"/>
      <c r="R437" s="217"/>
      <c r="T437" s="191"/>
      <c r="U437" s="187"/>
      <c r="V437" s="187"/>
      <c r="W437" s="187"/>
      <c r="X437" s="187"/>
      <c r="Y437" s="187"/>
      <c r="Z437" s="187"/>
      <c r="AA437" s="192"/>
      <c r="AT437" s="193" t="s">
        <v>179</v>
      </c>
      <c r="AU437" s="193" t="s">
        <v>135</v>
      </c>
      <c r="AV437" s="13" t="s">
        <v>184</v>
      </c>
      <c r="AW437" s="13" t="s">
        <v>35</v>
      </c>
      <c r="AX437" s="13" t="s">
        <v>78</v>
      </c>
      <c r="AY437" s="193" t="s">
        <v>167</v>
      </c>
    </row>
    <row r="438" spans="2:51" s="10" customFormat="1" ht="22.5" customHeight="1">
      <c r="B438" s="151"/>
      <c r="C438" s="206"/>
      <c r="D438" s="206"/>
      <c r="E438" s="207" t="s">
        <v>5</v>
      </c>
      <c r="F438" s="325" t="s">
        <v>1754</v>
      </c>
      <c r="G438" s="326"/>
      <c r="H438" s="326"/>
      <c r="I438" s="326"/>
      <c r="J438" s="206"/>
      <c r="K438" s="208" t="s">
        <v>5</v>
      </c>
      <c r="L438" s="206"/>
      <c r="M438" s="206"/>
      <c r="N438" s="206"/>
      <c r="O438" s="206"/>
      <c r="P438" s="206"/>
      <c r="Q438" s="206"/>
      <c r="R438" s="209"/>
      <c r="T438" s="156"/>
      <c r="U438" s="152"/>
      <c r="V438" s="152"/>
      <c r="W438" s="152"/>
      <c r="X438" s="152"/>
      <c r="Y438" s="152"/>
      <c r="Z438" s="152"/>
      <c r="AA438" s="157"/>
      <c r="AT438" s="158" t="s">
        <v>179</v>
      </c>
      <c r="AU438" s="158" t="s">
        <v>135</v>
      </c>
      <c r="AV438" s="10" t="s">
        <v>21</v>
      </c>
      <c r="AW438" s="10" t="s">
        <v>35</v>
      </c>
      <c r="AX438" s="10" t="s">
        <v>78</v>
      </c>
      <c r="AY438" s="158" t="s">
        <v>167</v>
      </c>
    </row>
    <row r="439" spans="2:51" s="11" customFormat="1" ht="22.5" customHeight="1">
      <c r="B439" s="159"/>
      <c r="C439" s="210"/>
      <c r="D439" s="210"/>
      <c r="E439" s="211" t="s">
        <v>5</v>
      </c>
      <c r="F439" s="321" t="s">
        <v>1870</v>
      </c>
      <c r="G439" s="322"/>
      <c r="H439" s="322"/>
      <c r="I439" s="322"/>
      <c r="J439" s="210"/>
      <c r="K439" s="212">
        <v>1104</v>
      </c>
      <c r="L439" s="210"/>
      <c r="M439" s="210"/>
      <c r="N439" s="210"/>
      <c r="O439" s="210"/>
      <c r="P439" s="210"/>
      <c r="Q439" s="210"/>
      <c r="R439" s="213"/>
      <c r="T439" s="164"/>
      <c r="U439" s="160"/>
      <c r="V439" s="160"/>
      <c r="W439" s="160"/>
      <c r="X439" s="160"/>
      <c r="Y439" s="160"/>
      <c r="Z439" s="160"/>
      <c r="AA439" s="165"/>
      <c r="AT439" s="166" t="s">
        <v>179</v>
      </c>
      <c r="AU439" s="166" t="s">
        <v>135</v>
      </c>
      <c r="AV439" s="11" t="s">
        <v>135</v>
      </c>
      <c r="AW439" s="11" t="s">
        <v>35</v>
      </c>
      <c r="AX439" s="11" t="s">
        <v>78</v>
      </c>
      <c r="AY439" s="166" t="s">
        <v>167</v>
      </c>
    </row>
    <row r="440" spans="2:51" s="13" customFormat="1" ht="22.5" customHeight="1">
      <c r="B440" s="186"/>
      <c r="C440" s="214"/>
      <c r="D440" s="214"/>
      <c r="E440" s="215" t="s">
        <v>5</v>
      </c>
      <c r="F440" s="323" t="s">
        <v>1278</v>
      </c>
      <c r="G440" s="324"/>
      <c r="H440" s="324"/>
      <c r="I440" s="324"/>
      <c r="J440" s="214"/>
      <c r="K440" s="216">
        <v>1104</v>
      </c>
      <c r="L440" s="214"/>
      <c r="M440" s="214"/>
      <c r="N440" s="214"/>
      <c r="O440" s="214"/>
      <c r="P440" s="214"/>
      <c r="Q440" s="214"/>
      <c r="R440" s="217"/>
      <c r="T440" s="191"/>
      <c r="U440" s="187"/>
      <c r="V440" s="187"/>
      <c r="W440" s="187"/>
      <c r="X440" s="187"/>
      <c r="Y440" s="187"/>
      <c r="Z440" s="187"/>
      <c r="AA440" s="192"/>
      <c r="AT440" s="193" t="s">
        <v>179</v>
      </c>
      <c r="AU440" s="193" t="s">
        <v>135</v>
      </c>
      <c r="AV440" s="13" t="s">
        <v>184</v>
      </c>
      <c r="AW440" s="13" t="s">
        <v>35</v>
      </c>
      <c r="AX440" s="13" t="s">
        <v>78</v>
      </c>
      <c r="AY440" s="193" t="s">
        <v>167</v>
      </c>
    </row>
    <row r="441" spans="2:51" s="12" customFormat="1" ht="22.5" customHeight="1">
      <c r="B441" s="167"/>
      <c r="C441" s="218"/>
      <c r="D441" s="218"/>
      <c r="E441" s="219" t="s">
        <v>5</v>
      </c>
      <c r="F441" s="327" t="s">
        <v>183</v>
      </c>
      <c r="G441" s="328"/>
      <c r="H441" s="328"/>
      <c r="I441" s="328"/>
      <c r="J441" s="218"/>
      <c r="K441" s="220">
        <f>+K440+K437+K433+K426+K402+K399</f>
        <v>9317.408</v>
      </c>
      <c r="L441" s="218"/>
      <c r="M441" s="218"/>
      <c r="N441" s="218"/>
      <c r="O441" s="218"/>
      <c r="P441" s="218"/>
      <c r="Q441" s="218"/>
      <c r="R441" s="221"/>
      <c r="T441" s="172"/>
      <c r="U441" s="168"/>
      <c r="V441" s="168"/>
      <c r="W441" s="168"/>
      <c r="X441" s="168"/>
      <c r="Y441" s="168"/>
      <c r="Z441" s="168"/>
      <c r="AA441" s="173"/>
      <c r="AT441" s="174" t="s">
        <v>179</v>
      </c>
      <c r="AU441" s="174" t="s">
        <v>135</v>
      </c>
      <c r="AV441" s="12" t="s">
        <v>172</v>
      </c>
      <c r="AW441" s="12" t="s">
        <v>35</v>
      </c>
      <c r="AX441" s="12" t="s">
        <v>21</v>
      </c>
      <c r="AY441" s="174" t="s">
        <v>167</v>
      </c>
    </row>
    <row r="442" spans="2:65" s="1" customFormat="1" ht="31.5" customHeight="1">
      <c r="B442" s="141"/>
      <c r="C442" s="201" t="s">
        <v>477</v>
      </c>
      <c r="D442" s="201" t="s">
        <v>168</v>
      </c>
      <c r="E442" s="202" t="s">
        <v>1466</v>
      </c>
      <c r="F442" s="317" t="s">
        <v>1467</v>
      </c>
      <c r="G442" s="317"/>
      <c r="H442" s="317"/>
      <c r="I442" s="317"/>
      <c r="J442" s="203" t="s">
        <v>199</v>
      </c>
      <c r="K442" s="204">
        <f>+K441</f>
        <v>9317.408</v>
      </c>
      <c r="L442" s="318"/>
      <c r="M442" s="318"/>
      <c r="N442" s="318">
        <f>ROUND(L442*K442,2)</f>
        <v>0</v>
      </c>
      <c r="O442" s="318"/>
      <c r="P442" s="318"/>
      <c r="Q442" s="318"/>
      <c r="R442" s="205"/>
      <c r="T442" s="147" t="s">
        <v>5</v>
      </c>
      <c r="U442" s="44" t="s">
        <v>43</v>
      </c>
      <c r="V442" s="148">
        <v>0.07</v>
      </c>
      <c r="W442" s="148">
        <f>V442*K442</f>
        <v>652.21856</v>
      </c>
      <c r="X442" s="148">
        <v>0</v>
      </c>
      <c r="Y442" s="148">
        <f>X442*K442</f>
        <v>0</v>
      </c>
      <c r="Z442" s="148">
        <v>0</v>
      </c>
      <c r="AA442" s="149">
        <f>Z442*K442</f>
        <v>0</v>
      </c>
      <c r="AR442" s="21" t="s">
        <v>172</v>
      </c>
      <c r="AT442" s="21" t="s">
        <v>168</v>
      </c>
      <c r="AU442" s="21" t="s">
        <v>135</v>
      </c>
      <c r="AY442" s="21" t="s">
        <v>167</v>
      </c>
      <c r="BE442" s="150">
        <f>IF(U442="základní",N442,0)</f>
        <v>0</v>
      </c>
      <c r="BF442" s="150">
        <f>IF(U442="snížená",N442,0)</f>
        <v>0</v>
      </c>
      <c r="BG442" s="150">
        <f>IF(U442="zákl. přenesená",N442,0)</f>
        <v>0</v>
      </c>
      <c r="BH442" s="150">
        <f>IF(U442="sníž. přenesená",N442,0)</f>
        <v>0</v>
      </c>
      <c r="BI442" s="150">
        <f>IF(U442="nulová",N442,0)</f>
        <v>0</v>
      </c>
      <c r="BJ442" s="21" t="s">
        <v>21</v>
      </c>
      <c r="BK442" s="150">
        <f>ROUND(L442*K442,2)</f>
        <v>0</v>
      </c>
      <c r="BL442" s="21" t="s">
        <v>172</v>
      </c>
      <c r="BM442" s="21" t="s">
        <v>1468</v>
      </c>
    </row>
    <row r="443" spans="2:65" s="1" customFormat="1" ht="44.25" customHeight="1">
      <c r="B443" s="141"/>
      <c r="C443" s="201" t="s">
        <v>478</v>
      </c>
      <c r="D443" s="201" t="s">
        <v>168</v>
      </c>
      <c r="E443" s="202" t="s">
        <v>1469</v>
      </c>
      <c r="F443" s="317" t="s">
        <v>1470</v>
      </c>
      <c r="G443" s="317"/>
      <c r="H443" s="317"/>
      <c r="I443" s="317"/>
      <c r="J443" s="203" t="s">
        <v>199</v>
      </c>
      <c r="K443" s="204">
        <v>103.4</v>
      </c>
      <c r="L443" s="318"/>
      <c r="M443" s="318"/>
      <c r="N443" s="318">
        <f>ROUND(L443*K443,2)</f>
        <v>0</v>
      </c>
      <c r="O443" s="318"/>
      <c r="P443" s="318"/>
      <c r="Q443" s="318"/>
      <c r="R443" s="205"/>
      <c r="T443" s="147" t="s">
        <v>5</v>
      </c>
      <c r="U443" s="44" t="s">
        <v>43</v>
      </c>
      <c r="V443" s="148">
        <v>1.82</v>
      </c>
      <c r="W443" s="148">
        <f>V443*K443</f>
        <v>188.18800000000002</v>
      </c>
      <c r="X443" s="148">
        <v>0</v>
      </c>
      <c r="Y443" s="148">
        <f>X443*K443</f>
        <v>0</v>
      </c>
      <c r="Z443" s="148">
        <v>0</v>
      </c>
      <c r="AA443" s="149">
        <f>Z443*K443</f>
        <v>0</v>
      </c>
      <c r="AR443" s="21" t="s">
        <v>172</v>
      </c>
      <c r="AT443" s="21" t="s">
        <v>168</v>
      </c>
      <c r="AU443" s="21" t="s">
        <v>135</v>
      </c>
      <c r="AY443" s="21" t="s">
        <v>167</v>
      </c>
      <c r="BE443" s="150">
        <f>IF(U443="základní",N443,0)</f>
        <v>0</v>
      </c>
      <c r="BF443" s="150">
        <f>IF(U443="snížená",N443,0)</f>
        <v>0</v>
      </c>
      <c r="BG443" s="150">
        <f>IF(U443="zákl. přenesená",N443,0)</f>
        <v>0</v>
      </c>
      <c r="BH443" s="150">
        <f>IF(U443="sníž. přenesená",N443,0)</f>
        <v>0</v>
      </c>
      <c r="BI443" s="150">
        <f>IF(U443="nulová",N443,0)</f>
        <v>0</v>
      </c>
      <c r="BJ443" s="21" t="s">
        <v>21</v>
      </c>
      <c r="BK443" s="150">
        <f>ROUND(L443*K443,2)</f>
        <v>0</v>
      </c>
      <c r="BL443" s="21" t="s">
        <v>172</v>
      </c>
      <c r="BM443" s="21" t="s">
        <v>1471</v>
      </c>
    </row>
    <row r="444" spans="2:51" s="10" customFormat="1" ht="22.5" customHeight="1">
      <c r="B444" s="151"/>
      <c r="C444" s="206"/>
      <c r="D444" s="206"/>
      <c r="E444" s="207" t="s">
        <v>5</v>
      </c>
      <c r="F444" s="319" t="s">
        <v>1871</v>
      </c>
      <c r="G444" s="320"/>
      <c r="H444" s="320"/>
      <c r="I444" s="320"/>
      <c r="J444" s="206"/>
      <c r="K444" s="208" t="s">
        <v>5</v>
      </c>
      <c r="L444" s="206"/>
      <c r="M444" s="206"/>
      <c r="N444" s="206"/>
      <c r="O444" s="206"/>
      <c r="P444" s="206"/>
      <c r="Q444" s="206"/>
      <c r="R444" s="209"/>
      <c r="T444" s="156"/>
      <c r="U444" s="152"/>
      <c r="V444" s="152"/>
      <c r="W444" s="152"/>
      <c r="X444" s="152"/>
      <c r="Y444" s="152"/>
      <c r="Z444" s="152"/>
      <c r="AA444" s="157"/>
      <c r="AT444" s="158" t="s">
        <v>179</v>
      </c>
      <c r="AU444" s="158" t="s">
        <v>135</v>
      </c>
      <c r="AV444" s="10" t="s">
        <v>21</v>
      </c>
      <c r="AW444" s="10" t="s">
        <v>35</v>
      </c>
      <c r="AX444" s="10" t="s">
        <v>78</v>
      </c>
      <c r="AY444" s="158" t="s">
        <v>167</v>
      </c>
    </row>
    <row r="445" spans="2:51" s="11" customFormat="1" ht="22.5" customHeight="1">
      <c r="B445" s="159"/>
      <c r="C445" s="210"/>
      <c r="D445" s="210"/>
      <c r="E445" s="211" t="s">
        <v>5</v>
      </c>
      <c r="F445" s="321" t="s">
        <v>1872</v>
      </c>
      <c r="G445" s="322"/>
      <c r="H445" s="322"/>
      <c r="I445" s="322"/>
      <c r="J445" s="210"/>
      <c r="K445" s="212">
        <v>103.4</v>
      </c>
      <c r="L445" s="210"/>
      <c r="M445" s="210"/>
      <c r="N445" s="210"/>
      <c r="O445" s="210"/>
      <c r="P445" s="210"/>
      <c r="Q445" s="210"/>
      <c r="R445" s="213"/>
      <c r="T445" s="164"/>
      <c r="U445" s="160"/>
      <c r="V445" s="160"/>
      <c r="W445" s="160"/>
      <c r="X445" s="160"/>
      <c r="Y445" s="160"/>
      <c r="Z445" s="160"/>
      <c r="AA445" s="165"/>
      <c r="AT445" s="166" t="s">
        <v>179</v>
      </c>
      <c r="AU445" s="166" t="s">
        <v>135</v>
      </c>
      <c r="AV445" s="11" t="s">
        <v>135</v>
      </c>
      <c r="AW445" s="11" t="s">
        <v>35</v>
      </c>
      <c r="AX445" s="11" t="s">
        <v>21</v>
      </c>
      <c r="AY445" s="166" t="s">
        <v>167</v>
      </c>
    </row>
    <row r="446" spans="2:65" s="1" customFormat="1" ht="31.5" customHeight="1">
      <c r="B446" s="141"/>
      <c r="C446" s="201" t="s">
        <v>619</v>
      </c>
      <c r="D446" s="201" t="s">
        <v>168</v>
      </c>
      <c r="E446" s="202" t="s">
        <v>1474</v>
      </c>
      <c r="F446" s="317" t="s">
        <v>1475</v>
      </c>
      <c r="G446" s="317"/>
      <c r="H446" s="317"/>
      <c r="I446" s="317"/>
      <c r="J446" s="203" t="s">
        <v>176</v>
      </c>
      <c r="K446" s="204">
        <f>+K447</f>
        <v>7151.078</v>
      </c>
      <c r="L446" s="318"/>
      <c r="M446" s="318"/>
      <c r="N446" s="318">
        <f>ROUND(L446*K446,2)</f>
        <v>0</v>
      </c>
      <c r="O446" s="318"/>
      <c r="P446" s="318"/>
      <c r="Q446" s="318"/>
      <c r="R446" s="205"/>
      <c r="T446" s="147" t="s">
        <v>5</v>
      </c>
      <c r="U446" s="44" t="s">
        <v>43</v>
      </c>
      <c r="V446" s="148">
        <v>0.097</v>
      </c>
      <c r="W446" s="148">
        <f>V446*K446</f>
        <v>693.654566</v>
      </c>
      <c r="X446" s="148">
        <v>0</v>
      </c>
      <c r="Y446" s="148">
        <f>X446*K446</f>
        <v>0</v>
      </c>
      <c r="Z446" s="148">
        <v>0</v>
      </c>
      <c r="AA446" s="149">
        <f>Z446*K446</f>
        <v>0</v>
      </c>
      <c r="AR446" s="21" t="s">
        <v>172</v>
      </c>
      <c r="AT446" s="21" t="s">
        <v>168</v>
      </c>
      <c r="AU446" s="21" t="s">
        <v>135</v>
      </c>
      <c r="AY446" s="21" t="s">
        <v>167</v>
      </c>
      <c r="BE446" s="150">
        <f>IF(U446="základní",N446,0)</f>
        <v>0</v>
      </c>
      <c r="BF446" s="150">
        <f>IF(U446="snížená",N446,0)</f>
        <v>0</v>
      </c>
      <c r="BG446" s="150">
        <f>IF(U446="zákl. přenesená",N446,0)</f>
        <v>0</v>
      </c>
      <c r="BH446" s="150">
        <f>IF(U446="sníž. přenesená",N446,0)</f>
        <v>0</v>
      </c>
      <c r="BI446" s="150">
        <f>IF(U446="nulová",N446,0)</f>
        <v>0</v>
      </c>
      <c r="BJ446" s="21" t="s">
        <v>21</v>
      </c>
      <c r="BK446" s="150">
        <f>ROUND(L446*K446,2)</f>
        <v>0</v>
      </c>
      <c r="BL446" s="21" t="s">
        <v>172</v>
      </c>
      <c r="BM446" s="21" t="s">
        <v>1476</v>
      </c>
    </row>
    <row r="447" spans="2:51" s="11" customFormat="1" ht="22.5" customHeight="1">
      <c r="B447" s="159"/>
      <c r="C447" s="210"/>
      <c r="D447" s="210"/>
      <c r="E447" s="211" t="s">
        <v>5</v>
      </c>
      <c r="F447" s="329" t="s">
        <v>2191</v>
      </c>
      <c r="G447" s="330"/>
      <c r="H447" s="330"/>
      <c r="I447" s="330"/>
      <c r="J447" s="210"/>
      <c r="K447" s="212">
        <f>3575.539*2</f>
        <v>7151.078</v>
      </c>
      <c r="L447" s="210"/>
      <c r="M447" s="210"/>
      <c r="N447" s="210"/>
      <c r="O447" s="210"/>
      <c r="P447" s="210"/>
      <c r="Q447" s="210"/>
      <c r="R447" s="213"/>
      <c r="T447" s="164"/>
      <c r="U447" s="160"/>
      <c r="V447" s="160"/>
      <c r="W447" s="160"/>
      <c r="X447" s="160"/>
      <c r="Y447" s="160"/>
      <c r="Z447" s="160"/>
      <c r="AA447" s="165"/>
      <c r="AT447" s="166" t="s">
        <v>179</v>
      </c>
      <c r="AU447" s="166" t="s">
        <v>135</v>
      </c>
      <c r="AV447" s="11" t="s">
        <v>135</v>
      </c>
      <c r="AW447" s="11" t="s">
        <v>35</v>
      </c>
      <c r="AX447" s="11" t="s">
        <v>21</v>
      </c>
      <c r="AY447" s="166" t="s">
        <v>167</v>
      </c>
    </row>
    <row r="448" spans="2:65" s="1" customFormat="1" ht="31.5" customHeight="1">
      <c r="B448" s="141"/>
      <c r="C448" s="201" t="s">
        <v>623</v>
      </c>
      <c r="D448" s="201" t="s">
        <v>168</v>
      </c>
      <c r="E448" s="202" t="s">
        <v>1477</v>
      </c>
      <c r="F448" s="317" t="s">
        <v>1478</v>
      </c>
      <c r="G448" s="317"/>
      <c r="H448" s="317"/>
      <c r="I448" s="317"/>
      <c r="J448" s="203" t="s">
        <v>176</v>
      </c>
      <c r="K448" s="204">
        <f>+K449</f>
        <v>3575.539</v>
      </c>
      <c r="L448" s="318"/>
      <c r="M448" s="318"/>
      <c r="N448" s="318">
        <f>ROUND(L448*K448,2)</f>
        <v>0</v>
      </c>
      <c r="O448" s="318"/>
      <c r="P448" s="318"/>
      <c r="Q448" s="318"/>
      <c r="R448" s="205"/>
      <c r="T448" s="147" t="s">
        <v>5</v>
      </c>
      <c r="U448" s="44" t="s">
        <v>43</v>
      </c>
      <c r="V448" s="148">
        <v>0.046</v>
      </c>
      <c r="W448" s="148">
        <f>V448*K448</f>
        <v>164.474794</v>
      </c>
      <c r="X448" s="148">
        <v>0</v>
      </c>
      <c r="Y448" s="148">
        <f>X448*K448</f>
        <v>0</v>
      </c>
      <c r="Z448" s="148">
        <v>0</v>
      </c>
      <c r="AA448" s="149">
        <f>Z448*K448</f>
        <v>0</v>
      </c>
      <c r="AR448" s="21" t="s">
        <v>172</v>
      </c>
      <c r="AT448" s="21" t="s">
        <v>168</v>
      </c>
      <c r="AU448" s="21" t="s">
        <v>135</v>
      </c>
      <c r="AY448" s="21" t="s">
        <v>167</v>
      </c>
      <c r="BE448" s="150">
        <f>IF(U448="základní",N448,0)</f>
        <v>0</v>
      </c>
      <c r="BF448" s="150">
        <f>IF(U448="snížená",N448,0)</f>
        <v>0</v>
      </c>
      <c r="BG448" s="150">
        <f>IF(U448="zákl. přenesená",N448,0)</f>
        <v>0</v>
      </c>
      <c r="BH448" s="150">
        <f>IF(U448="sníž. přenesená",N448,0)</f>
        <v>0</v>
      </c>
      <c r="BI448" s="150">
        <f>IF(U448="nulová",N448,0)</f>
        <v>0</v>
      </c>
      <c r="BJ448" s="21" t="s">
        <v>21</v>
      </c>
      <c r="BK448" s="150">
        <f>ROUND(L448*K448,2)</f>
        <v>0</v>
      </c>
      <c r="BL448" s="21" t="s">
        <v>172</v>
      </c>
      <c r="BM448" s="21" t="s">
        <v>1479</v>
      </c>
    </row>
    <row r="449" spans="2:51" s="11" customFormat="1" ht="22.5" customHeight="1">
      <c r="B449" s="159"/>
      <c r="C449" s="210"/>
      <c r="D449" s="210"/>
      <c r="E449" s="211" t="s">
        <v>5</v>
      </c>
      <c r="F449" s="329">
        <v>3575.539</v>
      </c>
      <c r="G449" s="330"/>
      <c r="H449" s="330"/>
      <c r="I449" s="330"/>
      <c r="J449" s="210"/>
      <c r="K449" s="212">
        <v>3575.539</v>
      </c>
      <c r="L449" s="210"/>
      <c r="M449" s="210"/>
      <c r="N449" s="210"/>
      <c r="O449" s="210"/>
      <c r="P449" s="210"/>
      <c r="Q449" s="210"/>
      <c r="R449" s="213"/>
      <c r="T449" s="164"/>
      <c r="U449" s="160"/>
      <c r="V449" s="160"/>
      <c r="W449" s="160"/>
      <c r="X449" s="160"/>
      <c r="Y449" s="160"/>
      <c r="Z449" s="160"/>
      <c r="AA449" s="165"/>
      <c r="AT449" s="166" t="s">
        <v>179</v>
      </c>
      <c r="AU449" s="166" t="s">
        <v>135</v>
      </c>
      <c r="AV449" s="11" t="s">
        <v>135</v>
      </c>
      <c r="AW449" s="11" t="s">
        <v>35</v>
      </c>
      <c r="AX449" s="11" t="s">
        <v>21</v>
      </c>
      <c r="AY449" s="166" t="s">
        <v>167</v>
      </c>
    </row>
    <row r="450" spans="2:65" s="1" customFormat="1" ht="22.5" customHeight="1">
      <c r="B450" s="141"/>
      <c r="C450" s="201" t="s">
        <v>628</v>
      </c>
      <c r="D450" s="201" t="s">
        <v>168</v>
      </c>
      <c r="E450" s="202" t="s">
        <v>1480</v>
      </c>
      <c r="F450" s="317" t="s">
        <v>1481</v>
      </c>
      <c r="G450" s="317"/>
      <c r="H450" s="317"/>
      <c r="I450" s="317"/>
      <c r="J450" s="203" t="s">
        <v>176</v>
      </c>
      <c r="K450" s="204">
        <f>+K452</f>
        <v>186.88670000000002</v>
      </c>
      <c r="L450" s="318"/>
      <c r="M450" s="318"/>
      <c r="N450" s="318">
        <f>ROUND(L450*K450,2)</f>
        <v>0</v>
      </c>
      <c r="O450" s="318"/>
      <c r="P450" s="318"/>
      <c r="Q450" s="318"/>
      <c r="R450" s="205"/>
      <c r="T450" s="147" t="s">
        <v>5</v>
      </c>
      <c r="U450" s="44" t="s">
        <v>43</v>
      </c>
      <c r="V450" s="148">
        <v>1.695</v>
      </c>
      <c r="W450" s="148">
        <f>V450*K450</f>
        <v>316.7729565</v>
      </c>
      <c r="X450" s="148">
        <v>0</v>
      </c>
      <c r="Y450" s="148">
        <f>X450*K450</f>
        <v>0</v>
      </c>
      <c r="Z450" s="148">
        <v>0</v>
      </c>
      <c r="AA450" s="149">
        <f>Z450*K450</f>
        <v>0</v>
      </c>
      <c r="AR450" s="21" t="s">
        <v>172</v>
      </c>
      <c r="AT450" s="21" t="s">
        <v>168</v>
      </c>
      <c r="AU450" s="21" t="s">
        <v>135</v>
      </c>
      <c r="AY450" s="21" t="s">
        <v>167</v>
      </c>
      <c r="BE450" s="150">
        <f>IF(U450="základní",N450,0)</f>
        <v>0</v>
      </c>
      <c r="BF450" s="150">
        <f>IF(U450="snížená",N450,0)</f>
        <v>0</v>
      </c>
      <c r="BG450" s="150">
        <f>IF(U450="zákl. přenesená",N450,0)</f>
        <v>0</v>
      </c>
      <c r="BH450" s="150">
        <f>IF(U450="sníž. přenesená",N450,0)</f>
        <v>0</v>
      </c>
      <c r="BI450" s="150">
        <f>IF(U450="nulová",N450,0)</f>
        <v>0</v>
      </c>
      <c r="BJ450" s="21" t="s">
        <v>21</v>
      </c>
      <c r="BK450" s="150">
        <f>ROUND(L450*K450,2)</f>
        <v>0</v>
      </c>
      <c r="BL450" s="21" t="s">
        <v>172</v>
      </c>
      <c r="BM450" s="21" t="s">
        <v>1482</v>
      </c>
    </row>
    <row r="451" spans="2:51" s="10" customFormat="1" ht="22.5" customHeight="1">
      <c r="B451" s="151"/>
      <c r="C451" s="206"/>
      <c r="D451" s="206"/>
      <c r="E451" s="207" t="s">
        <v>5</v>
      </c>
      <c r="F451" s="319" t="s">
        <v>1483</v>
      </c>
      <c r="G451" s="320"/>
      <c r="H451" s="320"/>
      <c r="I451" s="320"/>
      <c r="J451" s="206"/>
      <c r="K451" s="208" t="s">
        <v>5</v>
      </c>
      <c r="L451" s="206"/>
      <c r="M451" s="206"/>
      <c r="N451" s="206"/>
      <c r="O451" s="206"/>
      <c r="P451" s="206"/>
      <c r="Q451" s="206"/>
      <c r="R451" s="209"/>
      <c r="T451" s="156"/>
      <c r="U451" s="152"/>
      <c r="V451" s="152"/>
      <c r="W451" s="152"/>
      <c r="X451" s="152"/>
      <c r="Y451" s="152"/>
      <c r="Z451" s="152"/>
      <c r="AA451" s="157"/>
      <c r="AT451" s="158" t="s">
        <v>179</v>
      </c>
      <c r="AU451" s="158" t="s">
        <v>135</v>
      </c>
      <c r="AV451" s="10" t="s">
        <v>21</v>
      </c>
      <c r="AW451" s="10" t="s">
        <v>35</v>
      </c>
      <c r="AX451" s="10" t="s">
        <v>78</v>
      </c>
      <c r="AY451" s="158" t="s">
        <v>167</v>
      </c>
    </row>
    <row r="452" spans="2:51" s="11" customFormat="1" ht="22.5" customHeight="1">
      <c r="B452" s="159"/>
      <c r="C452" s="210"/>
      <c r="D452" s="210"/>
      <c r="E452" s="211" t="s">
        <v>5</v>
      </c>
      <c r="F452" s="321" t="s">
        <v>2188</v>
      </c>
      <c r="G452" s="322"/>
      <c r="H452" s="322"/>
      <c r="I452" s="322"/>
      <c r="J452" s="210"/>
      <c r="K452" s="212">
        <f>1698.97*1.1*0.1</f>
        <v>186.88670000000002</v>
      </c>
      <c r="L452" s="210"/>
      <c r="M452" s="210"/>
      <c r="N452" s="210"/>
      <c r="O452" s="210"/>
      <c r="P452" s="210"/>
      <c r="Q452" s="210"/>
      <c r="R452" s="213"/>
      <c r="T452" s="164"/>
      <c r="U452" s="198"/>
      <c r="V452" s="198"/>
      <c r="W452" s="198"/>
      <c r="X452" s="198"/>
      <c r="Y452" s="198"/>
      <c r="Z452" s="198"/>
      <c r="AA452" s="165"/>
      <c r="AT452" s="166" t="s">
        <v>179</v>
      </c>
      <c r="AU452" s="166" t="s">
        <v>135</v>
      </c>
      <c r="AV452" s="11" t="s">
        <v>135</v>
      </c>
      <c r="AW452" s="11" t="s">
        <v>35</v>
      </c>
      <c r="AX452" s="11" t="s">
        <v>21</v>
      </c>
      <c r="AY452" s="166" t="s">
        <v>167</v>
      </c>
    </row>
    <row r="453" spans="2:65" s="1" customFormat="1" ht="31.5" customHeight="1">
      <c r="B453" s="141"/>
      <c r="C453" s="201" t="s">
        <v>633</v>
      </c>
      <c r="D453" s="201" t="s">
        <v>168</v>
      </c>
      <c r="E453" s="202" t="s">
        <v>1202</v>
      </c>
      <c r="F453" s="317" t="s">
        <v>1203</v>
      </c>
      <c r="G453" s="317"/>
      <c r="H453" s="317"/>
      <c r="I453" s="317"/>
      <c r="J453" s="203" t="s">
        <v>176</v>
      </c>
      <c r="K453" s="204">
        <f>+K455</f>
        <v>747.5468000000001</v>
      </c>
      <c r="L453" s="318"/>
      <c r="M453" s="318"/>
      <c r="N453" s="318">
        <f>ROUND(L453*K453,2)</f>
        <v>0</v>
      </c>
      <c r="O453" s="318"/>
      <c r="P453" s="318"/>
      <c r="Q453" s="318"/>
      <c r="R453" s="205"/>
      <c r="T453" s="147" t="s">
        <v>5</v>
      </c>
      <c r="U453" s="44" t="s">
        <v>43</v>
      </c>
      <c r="V453" s="148">
        <v>1.5</v>
      </c>
      <c r="W453" s="148">
        <f>V453*K453</f>
        <v>1121.3202</v>
      </c>
      <c r="X453" s="148">
        <v>0</v>
      </c>
      <c r="Y453" s="148">
        <f>X453*K453</f>
        <v>0</v>
      </c>
      <c r="Z453" s="148">
        <v>0</v>
      </c>
      <c r="AA453" s="149">
        <f>Z453*K453</f>
        <v>0</v>
      </c>
      <c r="AR453" s="21" t="s">
        <v>172</v>
      </c>
      <c r="AT453" s="21" t="s">
        <v>168</v>
      </c>
      <c r="AU453" s="21" t="s">
        <v>135</v>
      </c>
      <c r="AY453" s="21" t="s">
        <v>167</v>
      </c>
      <c r="BE453" s="150">
        <f>IF(U453="základní",N453,0)</f>
        <v>0</v>
      </c>
      <c r="BF453" s="150">
        <f>IF(U453="snížená",N453,0)</f>
        <v>0</v>
      </c>
      <c r="BG453" s="150">
        <f>IF(U453="zákl. přenesená",N453,0)</f>
        <v>0</v>
      </c>
      <c r="BH453" s="150">
        <f>IF(U453="sníž. přenesená",N453,0)</f>
        <v>0</v>
      </c>
      <c r="BI453" s="150">
        <f>IF(U453="nulová",N453,0)</f>
        <v>0</v>
      </c>
      <c r="BJ453" s="21" t="s">
        <v>21</v>
      </c>
      <c r="BK453" s="150">
        <f>ROUND(L453*K453,2)</f>
        <v>0</v>
      </c>
      <c r="BL453" s="21" t="s">
        <v>172</v>
      </c>
      <c r="BM453" s="21" t="s">
        <v>1204</v>
      </c>
    </row>
    <row r="454" spans="2:51" s="10" customFormat="1" ht="22.5" customHeight="1">
      <c r="B454" s="151"/>
      <c r="C454" s="206"/>
      <c r="D454" s="206"/>
      <c r="E454" s="207" t="s">
        <v>5</v>
      </c>
      <c r="F454" s="319" t="s">
        <v>1483</v>
      </c>
      <c r="G454" s="320"/>
      <c r="H454" s="320"/>
      <c r="I454" s="320"/>
      <c r="J454" s="206"/>
      <c r="K454" s="208" t="s">
        <v>5</v>
      </c>
      <c r="L454" s="206"/>
      <c r="M454" s="206"/>
      <c r="N454" s="206"/>
      <c r="O454" s="206"/>
      <c r="P454" s="206"/>
      <c r="Q454" s="206"/>
      <c r="R454" s="209"/>
      <c r="T454" s="156"/>
      <c r="U454" s="152"/>
      <c r="V454" s="152"/>
      <c r="W454" s="152"/>
      <c r="X454" s="152"/>
      <c r="Y454" s="152"/>
      <c r="Z454" s="152"/>
      <c r="AA454" s="157"/>
      <c r="AT454" s="158" t="s">
        <v>179</v>
      </c>
      <c r="AU454" s="158" t="s">
        <v>135</v>
      </c>
      <c r="AV454" s="10" t="s">
        <v>21</v>
      </c>
      <c r="AW454" s="10" t="s">
        <v>35</v>
      </c>
      <c r="AX454" s="10" t="s">
        <v>78</v>
      </c>
      <c r="AY454" s="158" t="s">
        <v>167</v>
      </c>
    </row>
    <row r="455" spans="2:51" s="11" customFormat="1" ht="22.5" customHeight="1">
      <c r="B455" s="159"/>
      <c r="C455" s="210"/>
      <c r="D455" s="210"/>
      <c r="E455" s="211" t="s">
        <v>5</v>
      </c>
      <c r="F455" s="321" t="s">
        <v>2186</v>
      </c>
      <c r="G455" s="322"/>
      <c r="H455" s="322"/>
      <c r="I455" s="322"/>
      <c r="J455" s="210"/>
      <c r="K455" s="212">
        <f>1698.97*1.1*0.4</f>
        <v>747.5468000000001</v>
      </c>
      <c r="L455" s="210"/>
      <c r="M455" s="210"/>
      <c r="N455" s="210"/>
      <c r="O455" s="210"/>
      <c r="P455" s="210"/>
      <c r="Q455" s="210"/>
      <c r="R455" s="213"/>
      <c r="T455" s="164"/>
      <c r="U455" s="160"/>
      <c r="V455" s="160"/>
      <c r="W455" s="160"/>
      <c r="X455" s="160"/>
      <c r="Y455" s="160"/>
      <c r="Z455" s="160"/>
      <c r="AA455" s="165"/>
      <c r="AT455" s="166" t="s">
        <v>179</v>
      </c>
      <c r="AU455" s="166" t="s">
        <v>135</v>
      </c>
      <c r="AV455" s="11" t="s">
        <v>135</v>
      </c>
      <c r="AW455" s="11" t="s">
        <v>35</v>
      </c>
      <c r="AX455" s="11" t="s">
        <v>21</v>
      </c>
      <c r="AY455" s="166" t="s">
        <v>167</v>
      </c>
    </row>
    <row r="456" spans="2:65" s="1" customFormat="1" ht="22.5" customHeight="1">
      <c r="B456" s="141"/>
      <c r="C456" s="225" t="s">
        <v>638</v>
      </c>
      <c r="D456" s="225" t="s">
        <v>317</v>
      </c>
      <c r="E456" s="226" t="s">
        <v>1208</v>
      </c>
      <c r="F456" s="331" t="s">
        <v>1209</v>
      </c>
      <c r="G456" s="331"/>
      <c r="H456" s="331"/>
      <c r="I456" s="331"/>
      <c r="J456" s="227" t="s">
        <v>210</v>
      </c>
      <c r="K456" s="228">
        <f>+K457</f>
        <v>1136.27144</v>
      </c>
      <c r="L456" s="332"/>
      <c r="M456" s="332"/>
      <c r="N456" s="332">
        <f>ROUND(L456*K456,2)</f>
        <v>0</v>
      </c>
      <c r="O456" s="318"/>
      <c r="P456" s="318"/>
      <c r="Q456" s="318"/>
      <c r="R456" s="205"/>
      <c r="T456" s="147" t="s">
        <v>5</v>
      </c>
      <c r="U456" s="44" t="s">
        <v>43</v>
      </c>
      <c r="V456" s="148">
        <v>0</v>
      </c>
      <c r="W456" s="148">
        <f>V456*K456</f>
        <v>0</v>
      </c>
      <c r="X456" s="148">
        <v>1</v>
      </c>
      <c r="Y456" s="148">
        <f>X456*K456</f>
        <v>1136.27144</v>
      </c>
      <c r="Z456" s="148">
        <v>0</v>
      </c>
      <c r="AA456" s="149">
        <f>Z456*K456</f>
        <v>0</v>
      </c>
      <c r="AR456" s="21" t="s">
        <v>213</v>
      </c>
      <c r="AT456" s="21" t="s">
        <v>317</v>
      </c>
      <c r="AU456" s="21" t="s">
        <v>135</v>
      </c>
      <c r="AY456" s="21" t="s">
        <v>167</v>
      </c>
      <c r="BE456" s="150">
        <f>IF(U456="základní",N456,0)</f>
        <v>0</v>
      </c>
      <c r="BF456" s="150">
        <f>IF(U456="snížená",N456,0)</f>
        <v>0</v>
      </c>
      <c r="BG456" s="150">
        <f>IF(U456="zákl. přenesená",N456,0)</f>
        <v>0</v>
      </c>
      <c r="BH456" s="150">
        <f>IF(U456="sníž. přenesená",N456,0)</f>
        <v>0</v>
      </c>
      <c r="BI456" s="150">
        <f>IF(U456="nulová",N456,0)</f>
        <v>0</v>
      </c>
      <c r="BJ456" s="21" t="s">
        <v>21</v>
      </c>
      <c r="BK456" s="150">
        <f>ROUND(L456*K456,2)</f>
        <v>0</v>
      </c>
      <c r="BL456" s="21" t="s">
        <v>172</v>
      </c>
      <c r="BM456" s="21" t="s">
        <v>1210</v>
      </c>
    </row>
    <row r="457" spans="2:51" s="11" customFormat="1" ht="22.5" customHeight="1">
      <c r="B457" s="159"/>
      <c r="C457" s="210"/>
      <c r="D457" s="210"/>
      <c r="E457" s="211" t="s">
        <v>5</v>
      </c>
      <c r="F457" s="329" t="s">
        <v>2187</v>
      </c>
      <c r="G457" s="330"/>
      <c r="H457" s="330"/>
      <c r="I457" s="330"/>
      <c r="J457" s="210"/>
      <c r="K457" s="212">
        <f>747.547*1.52</f>
        <v>1136.27144</v>
      </c>
      <c r="L457" s="210"/>
      <c r="M457" s="210"/>
      <c r="N457" s="210"/>
      <c r="O457" s="210"/>
      <c r="P457" s="210"/>
      <c r="Q457" s="210"/>
      <c r="R457" s="213"/>
      <c r="T457" s="164"/>
      <c r="U457" s="160"/>
      <c r="V457" s="160"/>
      <c r="W457" s="160"/>
      <c r="X457" s="160"/>
      <c r="Y457" s="160"/>
      <c r="Z457" s="160"/>
      <c r="AA457" s="165"/>
      <c r="AT457" s="166" t="s">
        <v>179</v>
      </c>
      <c r="AU457" s="166" t="s">
        <v>135</v>
      </c>
      <c r="AV457" s="11" t="s">
        <v>135</v>
      </c>
      <c r="AW457" s="11" t="s">
        <v>35</v>
      </c>
      <c r="AX457" s="11" t="s">
        <v>21</v>
      </c>
      <c r="AY457" s="166" t="s">
        <v>167</v>
      </c>
    </row>
    <row r="458" spans="2:65" s="1" customFormat="1" ht="22.5" customHeight="1">
      <c r="B458" s="141"/>
      <c r="C458" s="201" t="s">
        <v>775</v>
      </c>
      <c r="D458" s="201" t="s">
        <v>168</v>
      </c>
      <c r="E458" s="202" t="s">
        <v>1484</v>
      </c>
      <c r="F458" s="317" t="s">
        <v>1485</v>
      </c>
      <c r="G458" s="317"/>
      <c r="H458" s="317"/>
      <c r="I458" s="317"/>
      <c r="J458" s="203" t="s">
        <v>176</v>
      </c>
      <c r="K458" s="204">
        <f>+K467</f>
        <v>3575.5388999999996</v>
      </c>
      <c r="L458" s="318"/>
      <c r="M458" s="318"/>
      <c r="N458" s="318">
        <f>ROUND(L458*K458,2)</f>
        <v>0</v>
      </c>
      <c r="O458" s="318"/>
      <c r="P458" s="318"/>
      <c r="Q458" s="318"/>
      <c r="R458" s="205"/>
      <c r="T458" s="147" t="s">
        <v>5</v>
      </c>
      <c r="U458" s="44" t="s">
        <v>43</v>
      </c>
      <c r="V458" s="148">
        <v>1.5</v>
      </c>
      <c r="W458" s="148">
        <f>V458*K458</f>
        <v>5363.308349999999</v>
      </c>
      <c r="X458" s="148">
        <v>0</v>
      </c>
      <c r="Y458" s="148">
        <f>X458*K458</f>
        <v>0</v>
      </c>
      <c r="Z458" s="148">
        <v>0</v>
      </c>
      <c r="AA458" s="149">
        <f>Z458*K458</f>
        <v>0</v>
      </c>
      <c r="AR458" s="21" t="s">
        <v>172</v>
      </c>
      <c r="AT458" s="21" t="s">
        <v>168</v>
      </c>
      <c r="AU458" s="21" t="s">
        <v>135</v>
      </c>
      <c r="AY458" s="21" t="s">
        <v>167</v>
      </c>
      <c r="BE458" s="150">
        <f>IF(U458="základní",N458,0)</f>
        <v>0</v>
      </c>
      <c r="BF458" s="150">
        <f>IF(U458="snížená",N458,0)</f>
        <v>0</v>
      </c>
      <c r="BG458" s="150">
        <f>IF(U458="zákl. přenesená",N458,0)</f>
        <v>0</v>
      </c>
      <c r="BH458" s="150">
        <f>IF(U458="sníž. přenesená",N458,0)</f>
        <v>0</v>
      </c>
      <c r="BI458" s="150">
        <f>IF(U458="nulová",N458,0)</f>
        <v>0</v>
      </c>
      <c r="BJ458" s="21" t="s">
        <v>21</v>
      </c>
      <c r="BK458" s="150">
        <f>ROUND(L458*K458,2)</f>
        <v>0</v>
      </c>
      <c r="BL458" s="21" t="s">
        <v>172</v>
      </c>
      <c r="BM458" s="21" t="s">
        <v>1486</v>
      </c>
    </row>
    <row r="459" spans="2:51" s="10" customFormat="1" ht="22.5" customHeight="1">
      <c r="B459" s="151"/>
      <c r="C459" s="206"/>
      <c r="D459" s="206"/>
      <c r="E459" s="207" t="s">
        <v>5</v>
      </c>
      <c r="F459" s="319" t="s">
        <v>1487</v>
      </c>
      <c r="G459" s="320"/>
      <c r="H459" s="320"/>
      <c r="I459" s="320"/>
      <c r="J459" s="206"/>
      <c r="K459" s="208" t="s">
        <v>5</v>
      </c>
      <c r="L459" s="206"/>
      <c r="M459" s="206"/>
      <c r="N459" s="206"/>
      <c r="O459" s="206"/>
      <c r="P459" s="206"/>
      <c r="Q459" s="206"/>
      <c r="R459" s="209"/>
      <c r="T459" s="156"/>
      <c r="U459" s="152"/>
      <c r="V459" s="152"/>
      <c r="W459" s="152"/>
      <c r="X459" s="152"/>
      <c r="Y459" s="152"/>
      <c r="Z459" s="152"/>
      <c r="AA459" s="157"/>
      <c r="AT459" s="158" t="s">
        <v>179</v>
      </c>
      <c r="AU459" s="158" t="s">
        <v>135</v>
      </c>
      <c r="AV459" s="10" t="s">
        <v>21</v>
      </c>
      <c r="AW459" s="10" t="s">
        <v>35</v>
      </c>
      <c r="AX459" s="10" t="s">
        <v>78</v>
      </c>
      <c r="AY459" s="158" t="s">
        <v>167</v>
      </c>
    </row>
    <row r="460" spans="2:51" s="11" customFormat="1" ht="22.5" customHeight="1">
      <c r="B460" s="233"/>
      <c r="C460" s="234"/>
      <c r="D460" s="210"/>
      <c r="E460" s="211" t="s">
        <v>5</v>
      </c>
      <c r="F460" s="321" t="s">
        <v>2184</v>
      </c>
      <c r="G460" s="322"/>
      <c r="H460" s="322"/>
      <c r="I460" s="322"/>
      <c r="J460" s="210"/>
      <c r="K460" s="212">
        <v>5124.577</v>
      </c>
      <c r="L460" s="210"/>
      <c r="M460" s="210"/>
      <c r="N460" s="210"/>
      <c r="O460" s="210"/>
      <c r="P460" s="210"/>
      <c r="Q460" s="210"/>
      <c r="R460" s="213"/>
      <c r="T460" s="164"/>
      <c r="U460" s="160"/>
      <c r="V460" s="160"/>
      <c r="W460" s="160"/>
      <c r="X460" s="160"/>
      <c r="Y460" s="160"/>
      <c r="Z460" s="160"/>
      <c r="AA460" s="165"/>
      <c r="AT460" s="166" t="s">
        <v>179</v>
      </c>
      <c r="AU460" s="166" t="s">
        <v>135</v>
      </c>
      <c r="AV460" s="11" t="s">
        <v>135</v>
      </c>
      <c r="AW460" s="11" t="s">
        <v>35</v>
      </c>
      <c r="AX460" s="11" t="s">
        <v>78</v>
      </c>
      <c r="AY460" s="166" t="s">
        <v>167</v>
      </c>
    </row>
    <row r="461" spans="2:51" s="11" customFormat="1" ht="31.5" customHeight="1">
      <c r="B461" s="233"/>
      <c r="C461" s="234"/>
      <c r="D461" s="210"/>
      <c r="E461" s="211" t="s">
        <v>5</v>
      </c>
      <c r="F461" s="321" t="s">
        <v>2185</v>
      </c>
      <c r="G461" s="322"/>
      <c r="H461" s="322"/>
      <c r="I461" s="322"/>
      <c r="J461" s="210"/>
      <c r="K461" s="212">
        <f>-1326.27*1.1*0.3</f>
        <v>-437.6691</v>
      </c>
      <c r="L461" s="210"/>
      <c r="M461" s="210"/>
      <c r="N461" s="210"/>
      <c r="O461" s="210"/>
      <c r="P461" s="210"/>
      <c r="Q461" s="210"/>
      <c r="R461" s="213"/>
      <c r="T461" s="164"/>
      <c r="U461" s="160"/>
      <c r="V461" s="160"/>
      <c r="W461" s="160"/>
      <c r="X461" s="160"/>
      <c r="Y461" s="160"/>
      <c r="Z461" s="160"/>
      <c r="AA461" s="165"/>
      <c r="AT461" s="166" t="s">
        <v>179</v>
      </c>
      <c r="AU461" s="166" t="s">
        <v>135</v>
      </c>
      <c r="AV461" s="11" t="s">
        <v>135</v>
      </c>
      <c r="AW461" s="11" t="s">
        <v>35</v>
      </c>
      <c r="AX461" s="11" t="s">
        <v>78</v>
      </c>
      <c r="AY461" s="166" t="s">
        <v>167</v>
      </c>
    </row>
    <row r="462" spans="2:51" s="11" customFormat="1" ht="31.5" customHeight="1">
      <c r="B462" s="159"/>
      <c r="C462" s="210"/>
      <c r="D462" s="210"/>
      <c r="E462" s="211" t="s">
        <v>5</v>
      </c>
      <c r="F462" s="321" t="s">
        <v>1794</v>
      </c>
      <c r="G462" s="322"/>
      <c r="H462" s="322"/>
      <c r="I462" s="322"/>
      <c r="J462" s="210"/>
      <c r="K462" s="212">
        <v>-176.935</v>
      </c>
      <c r="L462" s="210"/>
      <c r="M462" s="210"/>
      <c r="N462" s="210"/>
      <c r="O462" s="210"/>
      <c r="P462" s="210"/>
      <c r="Q462" s="210"/>
      <c r="R462" s="213"/>
      <c r="T462" s="164"/>
      <c r="U462" s="160"/>
      <c r="V462" s="160"/>
      <c r="W462" s="160"/>
      <c r="X462" s="160"/>
      <c r="Y462" s="160"/>
      <c r="Z462" s="160"/>
      <c r="AA462" s="165"/>
      <c r="AT462" s="166" t="s">
        <v>179</v>
      </c>
      <c r="AU462" s="166" t="s">
        <v>135</v>
      </c>
      <c r="AV462" s="11" t="s">
        <v>135</v>
      </c>
      <c r="AW462" s="11" t="s">
        <v>35</v>
      </c>
      <c r="AX462" s="11" t="s">
        <v>78</v>
      </c>
      <c r="AY462" s="166" t="s">
        <v>167</v>
      </c>
    </row>
    <row r="463" spans="2:51" s="13" customFormat="1" ht="22.5" customHeight="1">
      <c r="B463" s="186"/>
      <c r="C463" s="214"/>
      <c r="D463" s="214"/>
      <c r="E463" s="215" t="s">
        <v>5</v>
      </c>
      <c r="F463" s="323" t="s">
        <v>1278</v>
      </c>
      <c r="G463" s="324"/>
      <c r="H463" s="324"/>
      <c r="I463" s="324"/>
      <c r="J463" s="214"/>
      <c r="K463" s="216">
        <f>SUM(K460:K462)</f>
        <v>4509.9729</v>
      </c>
      <c r="L463" s="214"/>
      <c r="M463" s="214"/>
      <c r="N463" s="214"/>
      <c r="O463" s="214"/>
      <c r="P463" s="214"/>
      <c r="Q463" s="214"/>
      <c r="R463" s="217"/>
      <c r="T463" s="191"/>
      <c r="U463" s="187"/>
      <c r="V463" s="187"/>
      <c r="W463" s="187"/>
      <c r="X463" s="187"/>
      <c r="Y463" s="187"/>
      <c r="Z463" s="187"/>
      <c r="AA463" s="192"/>
      <c r="AT463" s="193" t="s">
        <v>179</v>
      </c>
      <c r="AU463" s="193" t="s">
        <v>135</v>
      </c>
      <c r="AV463" s="13" t="s">
        <v>184</v>
      </c>
      <c r="AW463" s="13" t="s">
        <v>35</v>
      </c>
      <c r="AX463" s="13" t="s">
        <v>78</v>
      </c>
      <c r="AY463" s="193" t="s">
        <v>167</v>
      </c>
    </row>
    <row r="464" spans="2:51" s="11" customFormat="1" ht="22.5" customHeight="1">
      <c r="B464" s="159"/>
      <c r="C464" s="210"/>
      <c r="D464" s="210"/>
      <c r="E464" s="211" t="s">
        <v>5</v>
      </c>
      <c r="F464" s="321" t="s">
        <v>2189</v>
      </c>
      <c r="G464" s="322"/>
      <c r="H464" s="322"/>
      <c r="I464" s="322"/>
      <c r="J464" s="210"/>
      <c r="K464" s="212">
        <v>-186.887</v>
      </c>
      <c r="L464" s="210"/>
      <c r="M464" s="210"/>
      <c r="N464" s="210"/>
      <c r="O464" s="210"/>
      <c r="P464" s="210"/>
      <c r="Q464" s="210"/>
      <c r="R464" s="213"/>
      <c r="T464" s="164"/>
      <c r="U464" s="160"/>
      <c r="V464" s="160"/>
      <c r="W464" s="160"/>
      <c r="X464" s="160"/>
      <c r="Y464" s="160"/>
      <c r="Z464" s="160"/>
      <c r="AA464" s="165"/>
      <c r="AT464" s="166" t="s">
        <v>179</v>
      </c>
      <c r="AU464" s="166" t="s">
        <v>135</v>
      </c>
      <c r="AV464" s="11" t="s">
        <v>135</v>
      </c>
      <c r="AW464" s="11" t="s">
        <v>35</v>
      </c>
      <c r="AX464" s="11" t="s">
        <v>78</v>
      </c>
      <c r="AY464" s="166" t="s">
        <v>167</v>
      </c>
    </row>
    <row r="465" spans="2:51" s="11" customFormat="1" ht="22.5" customHeight="1">
      <c r="B465" s="159"/>
      <c r="C465" s="210"/>
      <c r="D465" s="210"/>
      <c r="E465" s="211" t="s">
        <v>5</v>
      </c>
      <c r="F465" s="321" t="s">
        <v>2190</v>
      </c>
      <c r="G465" s="322"/>
      <c r="H465" s="322"/>
      <c r="I465" s="322"/>
      <c r="J465" s="210"/>
      <c r="K465" s="212">
        <v>-747.547</v>
      </c>
      <c r="L465" s="210"/>
      <c r="M465" s="210"/>
      <c r="N465" s="210"/>
      <c r="O465" s="210"/>
      <c r="P465" s="210"/>
      <c r="Q465" s="210"/>
      <c r="R465" s="213"/>
      <c r="T465" s="164"/>
      <c r="U465" s="160"/>
      <c r="V465" s="160"/>
      <c r="W465" s="160"/>
      <c r="X465" s="160"/>
      <c r="Y465" s="160"/>
      <c r="Z465" s="160"/>
      <c r="AA465" s="165"/>
      <c r="AT465" s="166" t="s">
        <v>179</v>
      </c>
      <c r="AU465" s="166" t="s">
        <v>135</v>
      </c>
      <c r="AV465" s="11" t="s">
        <v>135</v>
      </c>
      <c r="AW465" s="11" t="s">
        <v>35</v>
      </c>
      <c r="AX465" s="11" t="s">
        <v>78</v>
      </c>
      <c r="AY465" s="166" t="s">
        <v>167</v>
      </c>
    </row>
    <row r="466" spans="2:51" s="13" customFormat="1" ht="22.5" customHeight="1">
      <c r="B466" s="186"/>
      <c r="C466" s="214"/>
      <c r="D466" s="214"/>
      <c r="E466" s="215" t="s">
        <v>5</v>
      </c>
      <c r="F466" s="323" t="s">
        <v>1278</v>
      </c>
      <c r="G466" s="324"/>
      <c r="H466" s="324"/>
      <c r="I466" s="324"/>
      <c r="J466" s="214"/>
      <c r="K466" s="216">
        <f>SUM(K464:K465)</f>
        <v>-934.434</v>
      </c>
      <c r="L466" s="214"/>
      <c r="M466" s="214"/>
      <c r="N466" s="214"/>
      <c r="O466" s="214"/>
      <c r="P466" s="214"/>
      <c r="Q466" s="214"/>
      <c r="R466" s="217"/>
      <c r="T466" s="191"/>
      <c r="U466" s="187"/>
      <c r="V466" s="187"/>
      <c r="W466" s="187"/>
      <c r="X466" s="187"/>
      <c r="Y466" s="187"/>
      <c r="Z466" s="187"/>
      <c r="AA466" s="192"/>
      <c r="AT466" s="193" t="s">
        <v>179</v>
      </c>
      <c r="AU466" s="193" t="s">
        <v>135</v>
      </c>
      <c r="AV466" s="13" t="s">
        <v>184</v>
      </c>
      <c r="AW466" s="13" t="s">
        <v>35</v>
      </c>
      <c r="AX466" s="13" t="s">
        <v>78</v>
      </c>
      <c r="AY466" s="193" t="s">
        <v>167</v>
      </c>
    </row>
    <row r="467" spans="2:51" s="12" customFormat="1" ht="22.5" customHeight="1">
      <c r="B467" s="167"/>
      <c r="C467" s="218"/>
      <c r="D467" s="218"/>
      <c r="E467" s="219" t="s">
        <v>5</v>
      </c>
      <c r="F467" s="327" t="s">
        <v>183</v>
      </c>
      <c r="G467" s="328"/>
      <c r="H467" s="328"/>
      <c r="I467" s="328"/>
      <c r="J467" s="218"/>
      <c r="K467" s="220">
        <f>+K466+K463</f>
        <v>3575.5388999999996</v>
      </c>
      <c r="L467" s="218"/>
      <c r="M467" s="218"/>
      <c r="N467" s="218"/>
      <c r="O467" s="218"/>
      <c r="P467" s="218"/>
      <c r="Q467" s="218"/>
      <c r="R467" s="221"/>
      <c r="T467" s="172"/>
      <c r="U467" s="168"/>
      <c r="V467" s="168"/>
      <c r="W467" s="168"/>
      <c r="X467" s="168"/>
      <c r="Y467" s="168"/>
      <c r="Z467" s="168"/>
      <c r="AA467" s="173"/>
      <c r="AT467" s="174" t="s">
        <v>179</v>
      </c>
      <c r="AU467" s="174" t="s">
        <v>135</v>
      </c>
      <c r="AV467" s="12" t="s">
        <v>172</v>
      </c>
      <c r="AW467" s="12" t="s">
        <v>35</v>
      </c>
      <c r="AX467" s="12" t="s">
        <v>21</v>
      </c>
      <c r="AY467" s="174" t="s">
        <v>167</v>
      </c>
    </row>
    <row r="468" spans="2:65" s="1" customFormat="1" ht="31.5" customHeight="1">
      <c r="B468" s="141"/>
      <c r="C468" s="201" t="s">
        <v>779</v>
      </c>
      <c r="D468" s="201" t="s">
        <v>168</v>
      </c>
      <c r="E468" s="202" t="s">
        <v>1488</v>
      </c>
      <c r="F468" s="317" t="s">
        <v>1489</v>
      </c>
      <c r="G468" s="317"/>
      <c r="H468" s="317"/>
      <c r="I468" s="317"/>
      <c r="J468" s="203" t="s">
        <v>176</v>
      </c>
      <c r="K468" s="204">
        <v>85.906</v>
      </c>
      <c r="L468" s="318"/>
      <c r="M468" s="318"/>
      <c r="N468" s="318">
        <f>ROUND(L468*K468,2)</f>
        <v>0</v>
      </c>
      <c r="O468" s="318"/>
      <c r="P468" s="318"/>
      <c r="Q468" s="318"/>
      <c r="R468" s="205"/>
      <c r="T468" s="147" t="s">
        <v>5</v>
      </c>
      <c r="U468" s="44" t="s">
        <v>43</v>
      </c>
      <c r="V468" s="148">
        <v>1.239</v>
      </c>
      <c r="W468" s="148">
        <f>V468*K468</f>
        <v>106.43753400000001</v>
      </c>
      <c r="X468" s="148">
        <v>0</v>
      </c>
      <c r="Y468" s="148">
        <f>X468*K468</f>
        <v>0</v>
      </c>
      <c r="Z468" s="148">
        <v>0</v>
      </c>
      <c r="AA468" s="149">
        <f>Z468*K468</f>
        <v>0</v>
      </c>
      <c r="AR468" s="21" t="s">
        <v>172</v>
      </c>
      <c r="AT468" s="21" t="s">
        <v>168</v>
      </c>
      <c r="AU468" s="21" t="s">
        <v>135</v>
      </c>
      <c r="AY468" s="21" t="s">
        <v>167</v>
      </c>
      <c r="BE468" s="150">
        <f>IF(U468="základní",N468,0)</f>
        <v>0</v>
      </c>
      <c r="BF468" s="150">
        <f>IF(U468="snížená",N468,0)</f>
        <v>0</v>
      </c>
      <c r="BG468" s="150">
        <f>IF(U468="zákl. přenesená",N468,0)</f>
        <v>0</v>
      </c>
      <c r="BH468" s="150">
        <f>IF(U468="sníž. přenesená",N468,0)</f>
        <v>0</v>
      </c>
      <c r="BI468" s="150">
        <f>IF(U468="nulová",N468,0)</f>
        <v>0</v>
      </c>
      <c r="BJ468" s="21" t="s">
        <v>21</v>
      </c>
      <c r="BK468" s="150">
        <f>ROUND(L468*K468,2)</f>
        <v>0</v>
      </c>
      <c r="BL468" s="21" t="s">
        <v>172</v>
      </c>
      <c r="BM468" s="21" t="s">
        <v>1490</v>
      </c>
    </row>
    <row r="469" spans="2:51" s="10" customFormat="1" ht="22.5" customHeight="1">
      <c r="B469" s="151"/>
      <c r="C469" s="206"/>
      <c r="D469" s="206"/>
      <c r="E469" s="207" t="s">
        <v>5</v>
      </c>
      <c r="F469" s="319" t="s">
        <v>1873</v>
      </c>
      <c r="G469" s="320"/>
      <c r="H469" s="320"/>
      <c r="I469" s="320"/>
      <c r="J469" s="206"/>
      <c r="K469" s="208" t="s">
        <v>5</v>
      </c>
      <c r="L469" s="206"/>
      <c r="M469" s="206"/>
      <c r="N469" s="206"/>
      <c r="O469" s="206"/>
      <c r="P469" s="206"/>
      <c r="Q469" s="206"/>
      <c r="R469" s="209"/>
      <c r="T469" s="156"/>
      <c r="U469" s="152"/>
      <c r="V469" s="152"/>
      <c r="W469" s="152"/>
      <c r="X469" s="152"/>
      <c r="Y469" s="152"/>
      <c r="Z469" s="152"/>
      <c r="AA469" s="157"/>
      <c r="AT469" s="158" t="s">
        <v>179</v>
      </c>
      <c r="AU469" s="158" t="s">
        <v>135</v>
      </c>
      <c r="AV469" s="10" t="s">
        <v>21</v>
      </c>
      <c r="AW469" s="10" t="s">
        <v>35</v>
      </c>
      <c r="AX469" s="10" t="s">
        <v>78</v>
      </c>
      <c r="AY469" s="158" t="s">
        <v>167</v>
      </c>
    </row>
    <row r="470" spans="2:51" s="11" customFormat="1" ht="22.5" customHeight="1">
      <c r="B470" s="159"/>
      <c r="C470" s="210"/>
      <c r="D470" s="210"/>
      <c r="E470" s="211" t="s">
        <v>5</v>
      </c>
      <c r="F470" s="321" t="s">
        <v>1874</v>
      </c>
      <c r="G470" s="322"/>
      <c r="H470" s="322"/>
      <c r="I470" s="322"/>
      <c r="J470" s="210"/>
      <c r="K470" s="212">
        <v>85.906</v>
      </c>
      <c r="L470" s="210"/>
      <c r="M470" s="210"/>
      <c r="N470" s="210"/>
      <c r="O470" s="210"/>
      <c r="P470" s="210"/>
      <c r="Q470" s="210"/>
      <c r="R470" s="213"/>
      <c r="T470" s="164"/>
      <c r="U470" s="160"/>
      <c r="V470" s="160"/>
      <c r="W470" s="160"/>
      <c r="X470" s="160"/>
      <c r="Y470" s="160"/>
      <c r="Z470" s="160"/>
      <c r="AA470" s="165"/>
      <c r="AT470" s="166" t="s">
        <v>179</v>
      </c>
      <c r="AU470" s="166" t="s">
        <v>135</v>
      </c>
      <c r="AV470" s="11" t="s">
        <v>135</v>
      </c>
      <c r="AW470" s="11" t="s">
        <v>35</v>
      </c>
      <c r="AX470" s="11" t="s">
        <v>21</v>
      </c>
      <c r="AY470" s="166" t="s">
        <v>167</v>
      </c>
    </row>
    <row r="471" spans="2:65" s="1" customFormat="1" ht="31.5" customHeight="1">
      <c r="B471" s="141"/>
      <c r="C471" s="201" t="s">
        <v>783</v>
      </c>
      <c r="D471" s="201" t="s">
        <v>168</v>
      </c>
      <c r="E471" s="202" t="s">
        <v>1148</v>
      </c>
      <c r="F471" s="317" t="s">
        <v>1149</v>
      </c>
      <c r="G471" s="317"/>
      <c r="H471" s="317"/>
      <c r="I471" s="317"/>
      <c r="J471" s="203" t="s">
        <v>199</v>
      </c>
      <c r="K471" s="204">
        <v>10</v>
      </c>
      <c r="L471" s="318"/>
      <c r="M471" s="318"/>
      <c r="N471" s="318">
        <f>ROUND(L471*K471,2)</f>
        <v>0</v>
      </c>
      <c r="O471" s="318"/>
      <c r="P471" s="318"/>
      <c r="Q471" s="318"/>
      <c r="R471" s="205"/>
      <c r="T471" s="147" t="s">
        <v>5</v>
      </c>
      <c r="U471" s="44" t="s">
        <v>43</v>
      </c>
      <c r="V471" s="148">
        <v>0.019</v>
      </c>
      <c r="W471" s="148">
        <f>V471*K471</f>
        <v>0.19</v>
      </c>
      <c r="X471" s="148">
        <v>0</v>
      </c>
      <c r="Y471" s="148">
        <f>X471*K471</f>
        <v>0</v>
      </c>
      <c r="Z471" s="148">
        <v>0</v>
      </c>
      <c r="AA471" s="149">
        <f>Z471*K471</f>
        <v>0</v>
      </c>
      <c r="AR471" s="21" t="s">
        <v>172</v>
      </c>
      <c r="AT471" s="21" t="s">
        <v>168</v>
      </c>
      <c r="AU471" s="21" t="s">
        <v>135</v>
      </c>
      <c r="AY471" s="21" t="s">
        <v>167</v>
      </c>
      <c r="BE471" s="150">
        <f>IF(U471="základní",N471,0)</f>
        <v>0</v>
      </c>
      <c r="BF471" s="150">
        <f>IF(U471="snížená",N471,0)</f>
        <v>0</v>
      </c>
      <c r="BG471" s="150">
        <f>IF(U471="zákl. přenesená",N471,0)</f>
        <v>0</v>
      </c>
      <c r="BH471" s="150">
        <f>IF(U471="sníž. přenesená",N471,0)</f>
        <v>0</v>
      </c>
      <c r="BI471" s="150">
        <f>IF(U471="nulová",N471,0)</f>
        <v>0</v>
      </c>
      <c r="BJ471" s="21" t="s">
        <v>21</v>
      </c>
      <c r="BK471" s="150">
        <f>ROUND(L471*K471,2)</f>
        <v>0</v>
      </c>
      <c r="BL471" s="21" t="s">
        <v>172</v>
      </c>
      <c r="BM471" s="21" t="s">
        <v>1493</v>
      </c>
    </row>
    <row r="472" spans="2:51" s="11" customFormat="1" ht="22.5" customHeight="1">
      <c r="B472" s="159"/>
      <c r="C472" s="210"/>
      <c r="D472" s="210"/>
      <c r="E472" s="211" t="s">
        <v>5</v>
      </c>
      <c r="F472" s="329" t="s">
        <v>1682</v>
      </c>
      <c r="G472" s="330"/>
      <c r="H472" s="330"/>
      <c r="I472" s="330"/>
      <c r="J472" s="210"/>
      <c r="K472" s="212">
        <v>10</v>
      </c>
      <c r="L472" s="210"/>
      <c r="M472" s="210"/>
      <c r="N472" s="210"/>
      <c r="O472" s="210"/>
      <c r="P472" s="210"/>
      <c r="Q472" s="210"/>
      <c r="R472" s="213"/>
      <c r="T472" s="164"/>
      <c r="U472" s="160"/>
      <c r="V472" s="160"/>
      <c r="W472" s="160"/>
      <c r="X472" s="160"/>
      <c r="Y472" s="160"/>
      <c r="Z472" s="160"/>
      <c r="AA472" s="165"/>
      <c r="AT472" s="166" t="s">
        <v>179</v>
      </c>
      <c r="AU472" s="166" t="s">
        <v>135</v>
      </c>
      <c r="AV472" s="11" t="s">
        <v>135</v>
      </c>
      <c r="AW472" s="11" t="s">
        <v>35</v>
      </c>
      <c r="AX472" s="11" t="s">
        <v>21</v>
      </c>
      <c r="AY472" s="166" t="s">
        <v>167</v>
      </c>
    </row>
    <row r="473" spans="2:65" s="1" customFormat="1" ht="31.5" customHeight="1">
      <c r="B473" s="141"/>
      <c r="C473" s="201" t="s">
        <v>787</v>
      </c>
      <c r="D473" s="201" t="s">
        <v>168</v>
      </c>
      <c r="E473" s="202" t="s">
        <v>1495</v>
      </c>
      <c r="F473" s="317" t="s">
        <v>1496</v>
      </c>
      <c r="G473" s="317"/>
      <c r="H473" s="317"/>
      <c r="I473" s="317"/>
      <c r="J473" s="203" t="s">
        <v>199</v>
      </c>
      <c r="K473" s="204">
        <v>10</v>
      </c>
      <c r="L473" s="318"/>
      <c r="M473" s="318"/>
      <c r="N473" s="318">
        <f>ROUND(L473*K473,2)</f>
        <v>0</v>
      </c>
      <c r="O473" s="318"/>
      <c r="P473" s="318"/>
      <c r="Q473" s="318"/>
      <c r="R473" s="205"/>
      <c r="T473" s="147" t="s">
        <v>5</v>
      </c>
      <c r="U473" s="44" t="s">
        <v>43</v>
      </c>
      <c r="V473" s="148">
        <v>0.007</v>
      </c>
      <c r="W473" s="148">
        <f>V473*K473</f>
        <v>0.07</v>
      </c>
      <c r="X473" s="148">
        <v>0</v>
      </c>
      <c r="Y473" s="148">
        <f>X473*K473</f>
        <v>0</v>
      </c>
      <c r="Z473" s="148">
        <v>0</v>
      </c>
      <c r="AA473" s="149">
        <f>Z473*K473</f>
        <v>0</v>
      </c>
      <c r="AR473" s="21" t="s">
        <v>172</v>
      </c>
      <c r="AT473" s="21" t="s">
        <v>168</v>
      </c>
      <c r="AU473" s="21" t="s">
        <v>135</v>
      </c>
      <c r="AY473" s="21" t="s">
        <v>167</v>
      </c>
      <c r="BE473" s="150">
        <f>IF(U473="základní",N473,0)</f>
        <v>0</v>
      </c>
      <c r="BF473" s="150">
        <f>IF(U473="snížená",N473,0)</f>
        <v>0</v>
      </c>
      <c r="BG473" s="150">
        <f>IF(U473="zákl. přenesená",N473,0)</f>
        <v>0</v>
      </c>
      <c r="BH473" s="150">
        <f>IF(U473="sníž. přenesená",N473,0)</f>
        <v>0</v>
      </c>
      <c r="BI473" s="150">
        <f>IF(U473="nulová",N473,0)</f>
        <v>0</v>
      </c>
      <c r="BJ473" s="21" t="s">
        <v>21</v>
      </c>
      <c r="BK473" s="150">
        <f>ROUND(L473*K473,2)</f>
        <v>0</v>
      </c>
      <c r="BL473" s="21" t="s">
        <v>172</v>
      </c>
      <c r="BM473" s="21" t="s">
        <v>1497</v>
      </c>
    </row>
    <row r="474" spans="2:65" s="1" customFormat="1" ht="22.5" customHeight="1">
      <c r="B474" s="141"/>
      <c r="C474" s="225" t="s">
        <v>791</v>
      </c>
      <c r="D474" s="225" t="s">
        <v>317</v>
      </c>
      <c r="E474" s="226" t="s">
        <v>1498</v>
      </c>
      <c r="F474" s="331" t="s">
        <v>1499</v>
      </c>
      <c r="G474" s="331"/>
      <c r="H474" s="331"/>
      <c r="I474" s="331"/>
      <c r="J474" s="227" t="s">
        <v>1160</v>
      </c>
      <c r="K474" s="228">
        <v>1</v>
      </c>
      <c r="L474" s="332"/>
      <c r="M474" s="332"/>
      <c r="N474" s="332">
        <f>ROUND(L474*K474,2)</f>
        <v>0</v>
      </c>
      <c r="O474" s="318"/>
      <c r="P474" s="318"/>
      <c r="Q474" s="318"/>
      <c r="R474" s="205"/>
      <c r="T474" s="147" t="s">
        <v>5</v>
      </c>
      <c r="U474" s="44" t="s">
        <v>43</v>
      </c>
      <c r="V474" s="148">
        <v>0</v>
      </c>
      <c r="W474" s="148">
        <f>V474*K474</f>
        <v>0</v>
      </c>
      <c r="X474" s="148">
        <v>0.001</v>
      </c>
      <c r="Y474" s="148">
        <f>X474*K474</f>
        <v>0.001</v>
      </c>
      <c r="Z474" s="148">
        <v>0</v>
      </c>
      <c r="AA474" s="149">
        <f>Z474*K474</f>
        <v>0</v>
      </c>
      <c r="AR474" s="21" t="s">
        <v>213</v>
      </c>
      <c r="AT474" s="21" t="s">
        <v>317</v>
      </c>
      <c r="AU474" s="21" t="s">
        <v>135</v>
      </c>
      <c r="AY474" s="21" t="s">
        <v>167</v>
      </c>
      <c r="BE474" s="150">
        <f>IF(U474="základní",N474,0)</f>
        <v>0</v>
      </c>
      <c r="BF474" s="150">
        <f>IF(U474="snížená",N474,0)</f>
        <v>0</v>
      </c>
      <c r="BG474" s="150">
        <f>IF(U474="zákl. přenesená",N474,0)</f>
        <v>0</v>
      </c>
      <c r="BH474" s="150">
        <f>IF(U474="sníž. přenesená",N474,0)</f>
        <v>0</v>
      </c>
      <c r="BI474" s="150">
        <f>IF(U474="nulová",N474,0)</f>
        <v>0</v>
      </c>
      <c r="BJ474" s="21" t="s">
        <v>21</v>
      </c>
      <c r="BK474" s="150">
        <f>ROUND(L474*K474,2)</f>
        <v>0</v>
      </c>
      <c r="BL474" s="21" t="s">
        <v>172</v>
      </c>
      <c r="BM474" s="21" t="s">
        <v>1500</v>
      </c>
    </row>
    <row r="475" spans="2:65" s="1" customFormat="1" ht="31.5" customHeight="1">
      <c r="B475" s="141"/>
      <c r="C475" s="201" t="s">
        <v>795</v>
      </c>
      <c r="D475" s="201" t="s">
        <v>168</v>
      </c>
      <c r="E475" s="202" t="s">
        <v>1501</v>
      </c>
      <c r="F475" s="317" t="s">
        <v>1502</v>
      </c>
      <c r="G475" s="317"/>
      <c r="H475" s="317"/>
      <c r="I475" s="317"/>
      <c r="J475" s="203" t="s">
        <v>171</v>
      </c>
      <c r="K475" s="204">
        <v>1</v>
      </c>
      <c r="L475" s="318"/>
      <c r="M475" s="318"/>
      <c r="N475" s="318">
        <f>ROUND(L475*K475,2)</f>
        <v>0</v>
      </c>
      <c r="O475" s="318"/>
      <c r="P475" s="318"/>
      <c r="Q475" s="318"/>
      <c r="R475" s="205"/>
      <c r="T475" s="147" t="s">
        <v>5</v>
      </c>
      <c r="U475" s="44" t="s">
        <v>43</v>
      </c>
      <c r="V475" s="148">
        <v>1.82</v>
      </c>
      <c r="W475" s="148">
        <f>V475*K475</f>
        <v>1.82</v>
      </c>
      <c r="X475" s="148">
        <v>0</v>
      </c>
      <c r="Y475" s="148">
        <f>X475*K475</f>
        <v>0</v>
      </c>
      <c r="Z475" s="148">
        <v>0</v>
      </c>
      <c r="AA475" s="149">
        <f>Z475*K475</f>
        <v>0</v>
      </c>
      <c r="AR475" s="21" t="s">
        <v>172</v>
      </c>
      <c r="AT475" s="21" t="s">
        <v>168</v>
      </c>
      <c r="AU475" s="21" t="s">
        <v>135</v>
      </c>
      <c r="AY475" s="21" t="s">
        <v>167</v>
      </c>
      <c r="BE475" s="150">
        <f>IF(U475="základní",N475,0)</f>
        <v>0</v>
      </c>
      <c r="BF475" s="150">
        <f>IF(U475="snížená",N475,0)</f>
        <v>0</v>
      </c>
      <c r="BG475" s="150">
        <f>IF(U475="zákl. přenesená",N475,0)</f>
        <v>0</v>
      </c>
      <c r="BH475" s="150">
        <f>IF(U475="sníž. přenesená",N475,0)</f>
        <v>0</v>
      </c>
      <c r="BI475" s="150">
        <f>IF(U475="nulová",N475,0)</f>
        <v>0</v>
      </c>
      <c r="BJ475" s="21" t="s">
        <v>21</v>
      </c>
      <c r="BK475" s="150">
        <f>ROUND(L475*K475,2)</f>
        <v>0</v>
      </c>
      <c r="BL475" s="21" t="s">
        <v>172</v>
      </c>
      <c r="BM475" s="21" t="s">
        <v>1503</v>
      </c>
    </row>
    <row r="476" spans="2:63" s="9" customFormat="1" ht="29.85" customHeight="1">
      <c r="B476" s="130"/>
      <c r="C476" s="222"/>
      <c r="D476" s="223" t="s">
        <v>149</v>
      </c>
      <c r="E476" s="223"/>
      <c r="F476" s="223"/>
      <c r="G476" s="223"/>
      <c r="H476" s="223"/>
      <c r="I476" s="223"/>
      <c r="J476" s="223"/>
      <c r="K476" s="223"/>
      <c r="L476" s="223"/>
      <c r="M476" s="223"/>
      <c r="N476" s="335">
        <f>BK476</f>
        <v>0</v>
      </c>
      <c r="O476" s="336"/>
      <c r="P476" s="336"/>
      <c r="Q476" s="336"/>
      <c r="R476" s="224"/>
      <c r="T476" s="134"/>
      <c r="U476" s="131"/>
      <c r="V476" s="131"/>
      <c r="W476" s="135">
        <f>SUM(W477:W484)</f>
        <v>242.95271000000002</v>
      </c>
      <c r="X476" s="131"/>
      <c r="Y476" s="135">
        <f>SUM(Y477:Y484)</f>
        <v>218.78725992</v>
      </c>
      <c r="Z476" s="131"/>
      <c r="AA476" s="136">
        <f>SUM(AA477:AA484)</f>
        <v>0</v>
      </c>
      <c r="AR476" s="137" t="s">
        <v>21</v>
      </c>
      <c r="AT476" s="138" t="s">
        <v>77</v>
      </c>
      <c r="AU476" s="138" t="s">
        <v>21</v>
      </c>
      <c r="AY476" s="137" t="s">
        <v>167</v>
      </c>
      <c r="BK476" s="139">
        <f>SUM(BK477:BK484)</f>
        <v>0</v>
      </c>
    </row>
    <row r="477" spans="2:65" s="1" customFormat="1" ht="31.5" customHeight="1">
      <c r="B477" s="141"/>
      <c r="C477" s="201" t="s">
        <v>800</v>
      </c>
      <c r="D477" s="201" t="s">
        <v>168</v>
      </c>
      <c r="E477" s="202" t="s">
        <v>1504</v>
      </c>
      <c r="F477" s="317" t="s">
        <v>1505</v>
      </c>
      <c r="G477" s="317"/>
      <c r="H477" s="317"/>
      <c r="I477" s="317"/>
      <c r="J477" s="203" t="s">
        <v>259</v>
      </c>
      <c r="K477" s="204">
        <f>+K479</f>
        <v>679.5880000000001</v>
      </c>
      <c r="L477" s="318"/>
      <c r="M477" s="318"/>
      <c r="N477" s="318">
        <f>ROUND(L477*K477,2)</f>
        <v>0</v>
      </c>
      <c r="O477" s="318"/>
      <c r="P477" s="318"/>
      <c r="Q477" s="318"/>
      <c r="R477" s="205"/>
      <c r="T477" s="147" t="s">
        <v>5</v>
      </c>
      <c r="U477" s="44" t="s">
        <v>43</v>
      </c>
      <c r="V477" s="148">
        <v>0.05</v>
      </c>
      <c r="W477" s="148">
        <f>V477*K477</f>
        <v>33.979400000000005</v>
      </c>
      <c r="X477" s="148">
        <v>0.01034</v>
      </c>
      <c r="Y477" s="148">
        <f>X477*K477</f>
        <v>7.026939920000001</v>
      </c>
      <c r="Z477" s="148">
        <v>0</v>
      </c>
      <c r="AA477" s="149">
        <f>Z477*K477</f>
        <v>0</v>
      </c>
      <c r="AR477" s="21" t="s">
        <v>172</v>
      </c>
      <c r="AT477" s="21" t="s">
        <v>168</v>
      </c>
      <c r="AU477" s="21" t="s">
        <v>135</v>
      </c>
      <c r="AY477" s="21" t="s">
        <v>167</v>
      </c>
      <c r="BE477" s="150">
        <f>IF(U477="základní",N477,0)</f>
        <v>0</v>
      </c>
      <c r="BF477" s="150">
        <f>IF(U477="snížená",N477,0)</f>
        <v>0</v>
      </c>
      <c r="BG477" s="150">
        <f>IF(U477="zákl. přenesená",N477,0)</f>
        <v>0</v>
      </c>
      <c r="BH477" s="150">
        <f>IF(U477="sníž. přenesená",N477,0)</f>
        <v>0</v>
      </c>
      <c r="BI477" s="150">
        <f>IF(U477="nulová",N477,0)</f>
        <v>0</v>
      </c>
      <c r="BJ477" s="21" t="s">
        <v>21</v>
      </c>
      <c r="BK477" s="150">
        <f>ROUND(L477*K477,2)</f>
        <v>0</v>
      </c>
      <c r="BL477" s="21" t="s">
        <v>172</v>
      </c>
      <c r="BM477" s="21" t="s">
        <v>1506</v>
      </c>
    </row>
    <row r="478" spans="2:51" s="10" customFormat="1" ht="31.5" customHeight="1">
      <c r="B478" s="151"/>
      <c r="C478" s="206"/>
      <c r="D478" s="206"/>
      <c r="E478" s="207" t="s">
        <v>5</v>
      </c>
      <c r="F478" s="319" t="s">
        <v>1507</v>
      </c>
      <c r="G478" s="320"/>
      <c r="H478" s="320"/>
      <c r="I478" s="320"/>
      <c r="J478" s="206"/>
      <c r="K478" s="208" t="s">
        <v>5</v>
      </c>
      <c r="L478" s="206"/>
      <c r="M478" s="206"/>
      <c r="N478" s="206"/>
      <c r="O478" s="206"/>
      <c r="P478" s="206"/>
      <c r="Q478" s="206"/>
      <c r="R478" s="209"/>
      <c r="T478" s="156"/>
      <c r="U478" s="152"/>
      <c r="V478" s="152"/>
      <c r="W478" s="152"/>
      <c r="X478" s="152"/>
      <c r="Y478" s="152"/>
      <c r="Z478" s="152"/>
      <c r="AA478" s="157"/>
      <c r="AT478" s="158" t="s">
        <v>179</v>
      </c>
      <c r="AU478" s="158" t="s">
        <v>135</v>
      </c>
      <c r="AV478" s="10" t="s">
        <v>21</v>
      </c>
      <c r="AW478" s="10" t="s">
        <v>35</v>
      </c>
      <c r="AX478" s="10" t="s">
        <v>78</v>
      </c>
      <c r="AY478" s="158" t="s">
        <v>167</v>
      </c>
    </row>
    <row r="479" spans="2:51" s="11" customFormat="1" ht="22.5" customHeight="1">
      <c r="B479" s="159"/>
      <c r="C479" s="210"/>
      <c r="D479" s="210"/>
      <c r="E479" s="211" t="s">
        <v>5</v>
      </c>
      <c r="F479" s="321" t="s">
        <v>2192</v>
      </c>
      <c r="G479" s="322"/>
      <c r="H479" s="322"/>
      <c r="I479" s="322"/>
      <c r="J479" s="210"/>
      <c r="K479" s="212">
        <f>1698.97*0.4</f>
        <v>679.5880000000001</v>
      </c>
      <c r="L479" s="210"/>
      <c r="M479" s="210"/>
      <c r="N479" s="210"/>
      <c r="O479" s="210"/>
      <c r="P479" s="210"/>
      <c r="Q479" s="210"/>
      <c r="R479" s="213"/>
      <c r="T479" s="164"/>
      <c r="U479" s="160"/>
      <c r="V479" s="160"/>
      <c r="W479" s="160"/>
      <c r="X479" s="160"/>
      <c r="Y479" s="160"/>
      <c r="Z479" s="160"/>
      <c r="AA479" s="165"/>
      <c r="AT479" s="166" t="s">
        <v>179</v>
      </c>
      <c r="AU479" s="166" t="s">
        <v>135</v>
      </c>
      <c r="AV479" s="11" t="s">
        <v>135</v>
      </c>
      <c r="AW479" s="11" t="s">
        <v>35</v>
      </c>
      <c r="AX479" s="11" t="s">
        <v>21</v>
      </c>
      <c r="AY479" s="166" t="s">
        <v>167</v>
      </c>
    </row>
    <row r="480" spans="2:65" s="1" customFormat="1" ht="31.5" customHeight="1">
      <c r="B480" s="141"/>
      <c r="C480" s="201" t="s">
        <v>804</v>
      </c>
      <c r="D480" s="201" t="s">
        <v>168</v>
      </c>
      <c r="E480" s="202" t="s">
        <v>1202</v>
      </c>
      <c r="F480" s="317" t="s">
        <v>1203</v>
      </c>
      <c r="G480" s="317"/>
      <c r="H480" s="317"/>
      <c r="I480" s="317"/>
      <c r="J480" s="203" t="s">
        <v>176</v>
      </c>
      <c r="K480" s="204">
        <f>+K482</f>
        <v>139.31554000000003</v>
      </c>
      <c r="L480" s="318"/>
      <c r="M480" s="318"/>
      <c r="N480" s="318">
        <f>ROUND(L480*K480,2)</f>
        <v>0</v>
      </c>
      <c r="O480" s="318"/>
      <c r="P480" s="318"/>
      <c r="Q480" s="318"/>
      <c r="R480" s="205"/>
      <c r="T480" s="147" t="s">
        <v>5</v>
      </c>
      <c r="U480" s="44" t="s">
        <v>43</v>
      </c>
      <c r="V480" s="148">
        <v>1.5</v>
      </c>
      <c r="W480" s="148">
        <f>V480*K480</f>
        <v>208.97331000000003</v>
      </c>
      <c r="X480" s="148">
        <v>0</v>
      </c>
      <c r="Y480" s="148">
        <f>X480*K480</f>
        <v>0</v>
      </c>
      <c r="Z480" s="148">
        <v>0</v>
      </c>
      <c r="AA480" s="149">
        <f>Z480*K480</f>
        <v>0</v>
      </c>
      <c r="AR480" s="21" t="s">
        <v>172</v>
      </c>
      <c r="AT480" s="21" t="s">
        <v>168</v>
      </c>
      <c r="AU480" s="21" t="s">
        <v>135</v>
      </c>
      <c r="AY480" s="21" t="s">
        <v>167</v>
      </c>
      <c r="BE480" s="150">
        <f>IF(U480="základní",N480,0)</f>
        <v>0</v>
      </c>
      <c r="BF480" s="150">
        <f>IF(U480="snížená",N480,0)</f>
        <v>0</v>
      </c>
      <c r="BG480" s="150">
        <f>IF(U480="zákl. přenesená",N480,0)</f>
        <v>0</v>
      </c>
      <c r="BH480" s="150">
        <f>IF(U480="sníž. přenesená",N480,0)</f>
        <v>0</v>
      </c>
      <c r="BI480" s="150">
        <f>IF(U480="nulová",N480,0)</f>
        <v>0</v>
      </c>
      <c r="BJ480" s="21" t="s">
        <v>21</v>
      </c>
      <c r="BK480" s="150">
        <f>ROUND(L480*K480,2)</f>
        <v>0</v>
      </c>
      <c r="BL480" s="21" t="s">
        <v>172</v>
      </c>
      <c r="BM480" s="21" t="s">
        <v>1508</v>
      </c>
    </row>
    <row r="481" spans="2:51" s="10" customFormat="1" ht="31.5" customHeight="1">
      <c r="B481" s="151"/>
      <c r="C481" s="206"/>
      <c r="D481" s="206"/>
      <c r="E481" s="207" t="s">
        <v>5</v>
      </c>
      <c r="F481" s="319" t="s">
        <v>1509</v>
      </c>
      <c r="G481" s="320"/>
      <c r="H481" s="320"/>
      <c r="I481" s="320"/>
      <c r="J481" s="206"/>
      <c r="K481" s="208" t="s">
        <v>5</v>
      </c>
      <c r="L481" s="206"/>
      <c r="M481" s="206"/>
      <c r="N481" s="206"/>
      <c r="O481" s="206"/>
      <c r="P481" s="206"/>
      <c r="Q481" s="206"/>
      <c r="R481" s="209"/>
      <c r="T481" s="156"/>
      <c r="U481" s="152"/>
      <c r="V481" s="152"/>
      <c r="W481" s="152"/>
      <c r="X481" s="152"/>
      <c r="Y481" s="152"/>
      <c r="Z481" s="152"/>
      <c r="AA481" s="157"/>
      <c r="AT481" s="158" t="s">
        <v>179</v>
      </c>
      <c r="AU481" s="158" t="s">
        <v>135</v>
      </c>
      <c r="AV481" s="10" t="s">
        <v>21</v>
      </c>
      <c r="AW481" s="10" t="s">
        <v>35</v>
      </c>
      <c r="AX481" s="10" t="s">
        <v>78</v>
      </c>
      <c r="AY481" s="158" t="s">
        <v>167</v>
      </c>
    </row>
    <row r="482" spans="2:51" s="11" customFormat="1" ht="22.5" customHeight="1">
      <c r="B482" s="159"/>
      <c r="C482" s="210"/>
      <c r="D482" s="210"/>
      <c r="E482" s="211" t="s">
        <v>5</v>
      </c>
      <c r="F482" s="321" t="s">
        <v>2193</v>
      </c>
      <c r="G482" s="322"/>
      <c r="H482" s="322"/>
      <c r="I482" s="322"/>
      <c r="J482" s="210"/>
      <c r="K482" s="212">
        <f>1698.97*(1.1*0.15+0.2*0.2)*0.4</f>
        <v>139.31554000000003</v>
      </c>
      <c r="L482" s="210"/>
      <c r="M482" s="210"/>
      <c r="N482" s="210"/>
      <c r="O482" s="210"/>
      <c r="P482" s="210"/>
      <c r="Q482" s="210"/>
      <c r="R482" s="213"/>
      <c r="T482" s="164"/>
      <c r="U482" s="198"/>
      <c r="V482" s="198"/>
      <c r="W482" s="198"/>
      <c r="X482" s="198"/>
      <c r="Y482" s="198"/>
      <c r="Z482" s="198"/>
      <c r="AA482" s="165"/>
      <c r="AT482" s="166" t="s">
        <v>179</v>
      </c>
      <c r="AU482" s="166" t="s">
        <v>135</v>
      </c>
      <c r="AV482" s="11" t="s">
        <v>135</v>
      </c>
      <c r="AW482" s="11" t="s">
        <v>35</v>
      </c>
      <c r="AX482" s="11" t="s">
        <v>21</v>
      </c>
      <c r="AY482" s="166" t="s">
        <v>167</v>
      </c>
    </row>
    <row r="483" spans="2:65" s="1" customFormat="1" ht="22.5" customHeight="1">
      <c r="B483" s="141"/>
      <c r="C483" s="225" t="s">
        <v>809</v>
      </c>
      <c r="D483" s="225" t="s">
        <v>317</v>
      </c>
      <c r="E483" s="226" t="s">
        <v>1208</v>
      </c>
      <c r="F483" s="331" t="s">
        <v>1209</v>
      </c>
      <c r="G483" s="331"/>
      <c r="H483" s="331"/>
      <c r="I483" s="331"/>
      <c r="J483" s="227" t="s">
        <v>210</v>
      </c>
      <c r="K483" s="228">
        <f>+K484</f>
        <v>211.76032</v>
      </c>
      <c r="L483" s="332"/>
      <c r="M483" s="332"/>
      <c r="N483" s="332">
        <f>ROUND(L483*K483,2)</f>
        <v>0</v>
      </c>
      <c r="O483" s="318"/>
      <c r="P483" s="318"/>
      <c r="Q483" s="318"/>
      <c r="R483" s="205"/>
      <c r="T483" s="147" t="s">
        <v>5</v>
      </c>
      <c r="U483" s="44" t="s">
        <v>43</v>
      </c>
      <c r="V483" s="148">
        <v>0</v>
      </c>
      <c r="W483" s="148">
        <f>V483*K483</f>
        <v>0</v>
      </c>
      <c r="X483" s="148">
        <v>1</v>
      </c>
      <c r="Y483" s="148">
        <f>X483*K483</f>
        <v>211.76032</v>
      </c>
      <c r="Z483" s="148">
        <v>0</v>
      </c>
      <c r="AA483" s="149">
        <f>Z483*K483</f>
        <v>0</v>
      </c>
      <c r="AR483" s="21" t="s">
        <v>213</v>
      </c>
      <c r="AT483" s="21" t="s">
        <v>317</v>
      </c>
      <c r="AU483" s="21" t="s">
        <v>135</v>
      </c>
      <c r="AY483" s="21" t="s">
        <v>167</v>
      </c>
      <c r="BE483" s="150">
        <f>IF(U483="základní",N483,0)</f>
        <v>0</v>
      </c>
      <c r="BF483" s="150">
        <f>IF(U483="snížená",N483,0)</f>
        <v>0</v>
      </c>
      <c r="BG483" s="150">
        <f>IF(U483="zákl. přenesená",N483,0)</f>
        <v>0</v>
      </c>
      <c r="BH483" s="150">
        <f>IF(U483="sníž. přenesená",N483,0)</f>
        <v>0</v>
      </c>
      <c r="BI483" s="150">
        <f>IF(U483="nulová",N483,0)</f>
        <v>0</v>
      </c>
      <c r="BJ483" s="21" t="s">
        <v>21</v>
      </c>
      <c r="BK483" s="150">
        <f>ROUND(L483*K483,2)</f>
        <v>0</v>
      </c>
      <c r="BL483" s="21" t="s">
        <v>172</v>
      </c>
      <c r="BM483" s="21" t="s">
        <v>1510</v>
      </c>
    </row>
    <row r="484" spans="2:51" s="11" customFormat="1" ht="22.5" customHeight="1">
      <c r="B484" s="159"/>
      <c r="C484" s="210"/>
      <c r="D484" s="210"/>
      <c r="E484" s="211" t="s">
        <v>5</v>
      </c>
      <c r="F484" s="329" t="s">
        <v>2194</v>
      </c>
      <c r="G484" s="330"/>
      <c r="H484" s="330"/>
      <c r="I484" s="330"/>
      <c r="J484" s="210"/>
      <c r="K484" s="212">
        <f>139.316*1.52</f>
        <v>211.76032</v>
      </c>
      <c r="L484" s="210"/>
      <c r="M484" s="210"/>
      <c r="N484" s="210"/>
      <c r="O484" s="210"/>
      <c r="P484" s="210"/>
      <c r="Q484" s="210"/>
      <c r="R484" s="213"/>
      <c r="T484" s="164"/>
      <c r="U484" s="160"/>
      <c r="V484" s="160"/>
      <c r="W484" s="160"/>
      <c r="X484" s="160"/>
      <c r="Y484" s="160"/>
      <c r="Z484" s="160"/>
      <c r="AA484" s="165"/>
      <c r="AT484" s="166" t="s">
        <v>179</v>
      </c>
      <c r="AU484" s="166" t="s">
        <v>135</v>
      </c>
      <c r="AV484" s="11" t="s">
        <v>135</v>
      </c>
      <c r="AW484" s="11" t="s">
        <v>35</v>
      </c>
      <c r="AX484" s="11" t="s">
        <v>21</v>
      </c>
      <c r="AY484" s="166" t="s">
        <v>167</v>
      </c>
    </row>
    <row r="485" spans="2:63" s="9" customFormat="1" ht="29.85" customHeight="1">
      <c r="B485" s="130"/>
      <c r="C485" s="222"/>
      <c r="D485" s="223" t="s">
        <v>227</v>
      </c>
      <c r="E485" s="223"/>
      <c r="F485" s="223"/>
      <c r="G485" s="223"/>
      <c r="H485" s="223"/>
      <c r="I485" s="223"/>
      <c r="J485" s="223"/>
      <c r="K485" s="223"/>
      <c r="L485" s="223"/>
      <c r="M485" s="223"/>
      <c r="N485" s="333">
        <f>BK485</f>
        <v>0</v>
      </c>
      <c r="O485" s="334"/>
      <c r="P485" s="334"/>
      <c r="Q485" s="334"/>
      <c r="R485" s="224"/>
      <c r="T485" s="134"/>
      <c r="U485" s="131"/>
      <c r="V485" s="131"/>
      <c r="W485" s="135">
        <f>SUM(W486:W493)</f>
        <v>31.865616000000003</v>
      </c>
      <c r="X485" s="131"/>
      <c r="Y485" s="135">
        <f>SUM(Y486:Y493)</f>
        <v>47.470800000000004</v>
      </c>
      <c r="Z485" s="131"/>
      <c r="AA485" s="136">
        <f>SUM(AA486:AA493)</f>
        <v>0</v>
      </c>
      <c r="AR485" s="137" t="s">
        <v>21</v>
      </c>
      <c r="AT485" s="138" t="s">
        <v>77</v>
      </c>
      <c r="AU485" s="138" t="s">
        <v>21</v>
      </c>
      <c r="AY485" s="137" t="s">
        <v>167</v>
      </c>
      <c r="BK485" s="139">
        <f>SUM(BK486:BK493)</f>
        <v>0</v>
      </c>
    </row>
    <row r="486" spans="2:65" s="1" customFormat="1" ht="31.5" customHeight="1">
      <c r="B486" s="141"/>
      <c r="C486" s="201" t="s">
        <v>813</v>
      </c>
      <c r="D486" s="201" t="s">
        <v>168</v>
      </c>
      <c r="E486" s="202" t="s">
        <v>1511</v>
      </c>
      <c r="F486" s="317" t="s">
        <v>1512</v>
      </c>
      <c r="G486" s="317"/>
      <c r="H486" s="317"/>
      <c r="I486" s="317"/>
      <c r="J486" s="203" t="s">
        <v>199</v>
      </c>
      <c r="K486" s="204">
        <f>+K488</f>
        <v>114.75</v>
      </c>
      <c r="L486" s="318"/>
      <c r="M486" s="318"/>
      <c r="N486" s="318">
        <f>ROUND(L486*K486,2)</f>
        <v>0</v>
      </c>
      <c r="O486" s="318"/>
      <c r="P486" s="318"/>
      <c r="Q486" s="318"/>
      <c r="R486" s="205"/>
      <c r="T486" s="147" t="s">
        <v>5</v>
      </c>
      <c r="U486" s="44" t="s">
        <v>43</v>
      </c>
      <c r="V486" s="148">
        <v>0.166</v>
      </c>
      <c r="W486" s="148">
        <f>V486*K486</f>
        <v>19.0485</v>
      </c>
      <c r="X486" s="148">
        <v>0</v>
      </c>
      <c r="Y486" s="148">
        <f>X486*K486</f>
        <v>0</v>
      </c>
      <c r="Z486" s="148">
        <v>0</v>
      </c>
      <c r="AA486" s="149">
        <f>Z486*K486</f>
        <v>0</v>
      </c>
      <c r="AR486" s="21" t="s">
        <v>172</v>
      </c>
      <c r="AT486" s="21" t="s">
        <v>168</v>
      </c>
      <c r="AU486" s="21" t="s">
        <v>135</v>
      </c>
      <c r="AY486" s="21" t="s">
        <v>167</v>
      </c>
      <c r="BE486" s="150">
        <f>IF(U486="základní",N486,0)</f>
        <v>0</v>
      </c>
      <c r="BF486" s="150">
        <f>IF(U486="snížená",N486,0)</f>
        <v>0</v>
      </c>
      <c r="BG486" s="150">
        <f>IF(U486="zákl. přenesená",N486,0)</f>
        <v>0</v>
      </c>
      <c r="BH486" s="150">
        <f>IF(U486="sníž. přenesená",N486,0)</f>
        <v>0</v>
      </c>
      <c r="BI486" s="150">
        <f>IF(U486="nulová",N486,0)</f>
        <v>0</v>
      </c>
      <c r="BJ486" s="21" t="s">
        <v>21</v>
      </c>
      <c r="BK486" s="150">
        <f>ROUND(L486*K486,2)</f>
        <v>0</v>
      </c>
      <c r="BL486" s="21" t="s">
        <v>172</v>
      </c>
      <c r="BM486" s="21" t="s">
        <v>1513</v>
      </c>
    </row>
    <row r="487" spans="2:51" s="10" customFormat="1" ht="22.5" customHeight="1">
      <c r="B487" s="151"/>
      <c r="C487" s="206"/>
      <c r="D487" s="206"/>
      <c r="E487" s="207" t="s">
        <v>5</v>
      </c>
      <c r="F487" s="319" t="s">
        <v>1514</v>
      </c>
      <c r="G487" s="320"/>
      <c r="H487" s="320"/>
      <c r="I487" s="320"/>
      <c r="J487" s="206"/>
      <c r="K487" s="208" t="s">
        <v>5</v>
      </c>
      <c r="L487" s="206"/>
      <c r="M487" s="206"/>
      <c r="N487" s="206"/>
      <c r="O487" s="206"/>
      <c r="P487" s="206"/>
      <c r="Q487" s="206"/>
      <c r="R487" s="209"/>
      <c r="T487" s="156"/>
      <c r="U487" s="152"/>
      <c r="V487" s="152"/>
      <c r="W487" s="152"/>
      <c r="X487" s="152"/>
      <c r="Y487" s="152"/>
      <c r="Z487" s="152"/>
      <c r="AA487" s="157"/>
      <c r="AT487" s="158" t="s">
        <v>179</v>
      </c>
      <c r="AU487" s="158" t="s">
        <v>135</v>
      </c>
      <c r="AV487" s="10" t="s">
        <v>21</v>
      </c>
      <c r="AW487" s="10" t="s">
        <v>35</v>
      </c>
      <c r="AX487" s="10" t="s">
        <v>78</v>
      </c>
      <c r="AY487" s="158" t="s">
        <v>167</v>
      </c>
    </row>
    <row r="488" spans="2:51" s="11" customFormat="1" ht="22.5" customHeight="1">
      <c r="B488" s="159"/>
      <c r="C488" s="210"/>
      <c r="D488" s="210"/>
      <c r="E488" s="211" t="s">
        <v>5</v>
      </c>
      <c r="F488" s="321" t="s">
        <v>2199</v>
      </c>
      <c r="G488" s="322"/>
      <c r="H488" s="322"/>
      <c r="I488" s="322"/>
      <c r="J488" s="210"/>
      <c r="K488" s="212">
        <f>51*1.5*1.5</f>
        <v>114.75</v>
      </c>
      <c r="L488" s="210"/>
      <c r="M488" s="210"/>
      <c r="N488" s="210"/>
      <c r="O488" s="210"/>
      <c r="P488" s="210"/>
      <c r="Q488" s="210"/>
      <c r="R488" s="213"/>
      <c r="T488" s="164"/>
      <c r="U488" s="160"/>
      <c r="V488" s="160"/>
      <c r="W488" s="160"/>
      <c r="X488" s="160"/>
      <c r="Y488" s="160"/>
      <c r="Z488" s="160"/>
      <c r="AA488" s="165"/>
      <c r="AT488" s="166" t="s">
        <v>179</v>
      </c>
      <c r="AU488" s="166" t="s">
        <v>135</v>
      </c>
      <c r="AV488" s="11" t="s">
        <v>135</v>
      </c>
      <c r="AW488" s="11" t="s">
        <v>35</v>
      </c>
      <c r="AX488" s="11" t="s">
        <v>21</v>
      </c>
      <c r="AY488" s="166" t="s">
        <v>167</v>
      </c>
    </row>
    <row r="489" spans="2:65" s="1" customFormat="1" ht="31.5" customHeight="1">
      <c r="B489" s="141"/>
      <c r="C489" s="201" t="s">
        <v>817</v>
      </c>
      <c r="D489" s="201" t="s">
        <v>168</v>
      </c>
      <c r="E489" s="202" t="s">
        <v>1515</v>
      </c>
      <c r="F489" s="317" t="s">
        <v>1516</v>
      </c>
      <c r="G489" s="317"/>
      <c r="H489" s="317"/>
      <c r="I489" s="317"/>
      <c r="J489" s="203" t="s">
        <v>199</v>
      </c>
      <c r="K489" s="204">
        <f>+K493</f>
        <v>118.677</v>
      </c>
      <c r="L489" s="318"/>
      <c r="M489" s="318"/>
      <c r="N489" s="318">
        <f>ROUND(L489*K489,2)</f>
        <v>0</v>
      </c>
      <c r="O489" s="318"/>
      <c r="P489" s="318"/>
      <c r="Q489" s="318"/>
      <c r="R489" s="205"/>
      <c r="T489" s="147" t="s">
        <v>5</v>
      </c>
      <c r="U489" s="44" t="s">
        <v>43</v>
      </c>
      <c r="V489" s="148">
        <v>0.108</v>
      </c>
      <c r="W489" s="148">
        <f>V489*K489</f>
        <v>12.817116</v>
      </c>
      <c r="X489" s="148">
        <v>0.4</v>
      </c>
      <c r="Y489" s="148">
        <f>X489*K489</f>
        <v>47.470800000000004</v>
      </c>
      <c r="Z489" s="148">
        <v>0</v>
      </c>
      <c r="AA489" s="149">
        <f>Z489*K489</f>
        <v>0</v>
      </c>
      <c r="AR489" s="21" t="s">
        <v>172</v>
      </c>
      <c r="AT489" s="21" t="s">
        <v>168</v>
      </c>
      <c r="AU489" s="21" t="s">
        <v>135</v>
      </c>
      <c r="AY489" s="21" t="s">
        <v>167</v>
      </c>
      <c r="BE489" s="150">
        <f>IF(U489="základní",N489,0)</f>
        <v>0</v>
      </c>
      <c r="BF489" s="150">
        <f>IF(U489="snížená",N489,0)</f>
        <v>0</v>
      </c>
      <c r="BG489" s="150">
        <f>IF(U489="zákl. přenesená",N489,0)</f>
        <v>0</v>
      </c>
      <c r="BH489" s="150">
        <f>IF(U489="sníž. přenesená",N489,0)</f>
        <v>0</v>
      </c>
      <c r="BI489" s="150">
        <f>IF(U489="nulová",N489,0)</f>
        <v>0</v>
      </c>
      <c r="BJ489" s="21" t="s">
        <v>21</v>
      </c>
      <c r="BK489" s="150">
        <f>ROUND(L489*K489,2)</f>
        <v>0</v>
      </c>
      <c r="BL489" s="21" t="s">
        <v>172</v>
      </c>
      <c r="BM489" s="21" t="s">
        <v>1517</v>
      </c>
    </row>
    <row r="490" spans="2:51" s="10" customFormat="1" ht="22.5" customHeight="1">
      <c r="B490" s="151"/>
      <c r="C490" s="206"/>
      <c r="D490" s="206"/>
      <c r="E490" s="207" t="s">
        <v>5</v>
      </c>
      <c r="F490" s="319" t="s">
        <v>1875</v>
      </c>
      <c r="G490" s="320"/>
      <c r="H490" s="320"/>
      <c r="I490" s="320"/>
      <c r="J490" s="206"/>
      <c r="K490" s="208" t="s">
        <v>5</v>
      </c>
      <c r="L490" s="206"/>
      <c r="M490" s="206"/>
      <c r="N490" s="206"/>
      <c r="O490" s="206"/>
      <c r="P490" s="206"/>
      <c r="Q490" s="206"/>
      <c r="R490" s="209"/>
      <c r="T490" s="156"/>
      <c r="U490" s="152"/>
      <c r="V490" s="152"/>
      <c r="W490" s="152"/>
      <c r="X490" s="152"/>
      <c r="Y490" s="152"/>
      <c r="Z490" s="152"/>
      <c r="AA490" s="157"/>
      <c r="AT490" s="158" t="s">
        <v>179</v>
      </c>
      <c r="AU490" s="158" t="s">
        <v>135</v>
      </c>
      <c r="AV490" s="10" t="s">
        <v>21</v>
      </c>
      <c r="AW490" s="10" t="s">
        <v>35</v>
      </c>
      <c r="AX490" s="10" t="s">
        <v>78</v>
      </c>
      <c r="AY490" s="158" t="s">
        <v>167</v>
      </c>
    </row>
    <row r="491" spans="2:51" s="11" customFormat="1" ht="22.5" customHeight="1">
      <c r="B491" s="159"/>
      <c r="C491" s="210"/>
      <c r="D491" s="210"/>
      <c r="E491" s="211" t="s">
        <v>5</v>
      </c>
      <c r="F491" s="321" t="s">
        <v>2199</v>
      </c>
      <c r="G491" s="322"/>
      <c r="H491" s="322"/>
      <c r="I491" s="322"/>
      <c r="J491" s="210"/>
      <c r="K491" s="212">
        <f>51*1.5*1.5</f>
        <v>114.75</v>
      </c>
      <c r="L491" s="210"/>
      <c r="M491" s="210"/>
      <c r="N491" s="210"/>
      <c r="O491" s="210"/>
      <c r="P491" s="210"/>
      <c r="Q491" s="210"/>
      <c r="R491" s="213"/>
      <c r="T491" s="164"/>
      <c r="U491" s="198"/>
      <c r="V491" s="198"/>
      <c r="W491" s="198"/>
      <c r="X491" s="198"/>
      <c r="Y491" s="198"/>
      <c r="Z491" s="198"/>
      <c r="AA491" s="165"/>
      <c r="AT491" s="166" t="s">
        <v>179</v>
      </c>
      <c r="AU491" s="166" t="s">
        <v>135</v>
      </c>
      <c r="AV491" s="11" t="s">
        <v>135</v>
      </c>
      <c r="AW491" s="11" t="s">
        <v>35</v>
      </c>
      <c r="AX491" s="11" t="s">
        <v>21</v>
      </c>
      <c r="AY491" s="166" t="s">
        <v>167</v>
      </c>
    </row>
    <row r="492" spans="2:51" s="11" customFormat="1" ht="22.5" customHeight="1">
      <c r="B492" s="159"/>
      <c r="C492" s="210"/>
      <c r="D492" s="210"/>
      <c r="E492" s="211" t="s">
        <v>5</v>
      </c>
      <c r="F492" s="321" t="s">
        <v>1518</v>
      </c>
      <c r="G492" s="322"/>
      <c r="H492" s="322"/>
      <c r="I492" s="322"/>
      <c r="J492" s="210"/>
      <c r="K492" s="212">
        <v>3.927</v>
      </c>
      <c r="L492" s="210"/>
      <c r="M492" s="210"/>
      <c r="N492" s="210"/>
      <c r="O492" s="210"/>
      <c r="P492" s="210"/>
      <c r="Q492" s="210"/>
      <c r="R492" s="213"/>
      <c r="T492" s="164"/>
      <c r="U492" s="160"/>
      <c r="V492" s="160"/>
      <c r="W492" s="160"/>
      <c r="X492" s="160"/>
      <c r="Y492" s="160"/>
      <c r="Z492" s="160"/>
      <c r="AA492" s="165"/>
      <c r="AT492" s="166" t="s">
        <v>179</v>
      </c>
      <c r="AU492" s="166" t="s">
        <v>135</v>
      </c>
      <c r="AV492" s="11" t="s">
        <v>135</v>
      </c>
      <c r="AW492" s="11" t="s">
        <v>35</v>
      </c>
      <c r="AX492" s="11" t="s">
        <v>78</v>
      </c>
      <c r="AY492" s="166" t="s">
        <v>167</v>
      </c>
    </row>
    <row r="493" spans="2:51" s="12" customFormat="1" ht="22.5" customHeight="1">
      <c r="B493" s="167"/>
      <c r="C493" s="218"/>
      <c r="D493" s="218"/>
      <c r="E493" s="219" t="s">
        <v>5</v>
      </c>
      <c r="F493" s="327" t="s">
        <v>183</v>
      </c>
      <c r="G493" s="328"/>
      <c r="H493" s="328"/>
      <c r="I493" s="328"/>
      <c r="J493" s="218"/>
      <c r="K493" s="220">
        <f>SUM(K491:K492)</f>
        <v>118.677</v>
      </c>
      <c r="L493" s="218"/>
      <c r="M493" s="218"/>
      <c r="N493" s="218"/>
      <c r="O493" s="218"/>
      <c r="P493" s="218"/>
      <c r="Q493" s="218"/>
      <c r="R493" s="221"/>
      <c r="T493" s="172"/>
      <c r="U493" s="168"/>
      <c r="V493" s="168"/>
      <c r="W493" s="168"/>
      <c r="X493" s="168"/>
      <c r="Y493" s="168"/>
      <c r="Z493" s="168"/>
      <c r="AA493" s="173"/>
      <c r="AT493" s="174" t="s">
        <v>179</v>
      </c>
      <c r="AU493" s="174" t="s">
        <v>135</v>
      </c>
      <c r="AV493" s="12" t="s">
        <v>172</v>
      </c>
      <c r="AW493" s="12" t="s">
        <v>35</v>
      </c>
      <c r="AX493" s="12" t="s">
        <v>21</v>
      </c>
      <c r="AY493" s="174" t="s">
        <v>167</v>
      </c>
    </row>
    <row r="494" spans="2:63" s="9" customFormat="1" ht="29.85" customHeight="1">
      <c r="B494" s="130"/>
      <c r="C494" s="222"/>
      <c r="D494" s="223" t="s">
        <v>1094</v>
      </c>
      <c r="E494" s="223"/>
      <c r="F494" s="223"/>
      <c r="G494" s="223"/>
      <c r="H494" s="223"/>
      <c r="I494" s="223"/>
      <c r="J494" s="223"/>
      <c r="K494" s="223"/>
      <c r="L494" s="223"/>
      <c r="M494" s="223"/>
      <c r="N494" s="333">
        <f>BK494</f>
        <v>0</v>
      </c>
      <c r="O494" s="334"/>
      <c r="P494" s="334"/>
      <c r="Q494" s="334"/>
      <c r="R494" s="224"/>
      <c r="T494" s="134"/>
      <c r="U494" s="131"/>
      <c r="V494" s="131"/>
      <c r="W494" s="135">
        <f>SUM(W495:W508)</f>
        <v>217.013662</v>
      </c>
      <c r="X494" s="131"/>
      <c r="Y494" s="135">
        <f>SUM(Y495:Y508)</f>
        <v>2.27762178</v>
      </c>
      <c r="Z494" s="131"/>
      <c r="AA494" s="136">
        <f>SUM(AA495:AA508)</f>
        <v>0</v>
      </c>
      <c r="AR494" s="137" t="s">
        <v>21</v>
      </c>
      <c r="AT494" s="138" t="s">
        <v>77</v>
      </c>
      <c r="AU494" s="138" t="s">
        <v>21</v>
      </c>
      <c r="AY494" s="137" t="s">
        <v>167</v>
      </c>
      <c r="BK494" s="139">
        <f>SUM(BK495:BK508)</f>
        <v>0</v>
      </c>
    </row>
    <row r="495" spans="2:65" s="1" customFormat="1" ht="22.5" customHeight="1">
      <c r="B495" s="141"/>
      <c r="C495" s="201" t="s">
        <v>821</v>
      </c>
      <c r="D495" s="201" t="s">
        <v>168</v>
      </c>
      <c r="E495" s="202" t="s">
        <v>1551</v>
      </c>
      <c r="F495" s="317" t="s">
        <v>1552</v>
      </c>
      <c r="G495" s="317"/>
      <c r="H495" s="317"/>
      <c r="I495" s="317"/>
      <c r="J495" s="203" t="s">
        <v>199</v>
      </c>
      <c r="K495" s="204">
        <v>353.87</v>
      </c>
      <c r="L495" s="318"/>
      <c r="M495" s="318"/>
      <c r="N495" s="318">
        <f>ROUND(L495*K495,2)</f>
        <v>0</v>
      </c>
      <c r="O495" s="318"/>
      <c r="P495" s="318"/>
      <c r="Q495" s="318"/>
      <c r="R495" s="205"/>
      <c r="T495" s="147" t="s">
        <v>5</v>
      </c>
      <c r="U495" s="44" t="s">
        <v>43</v>
      </c>
      <c r="V495" s="148">
        <v>0.041</v>
      </c>
      <c r="W495" s="148">
        <f>V495*K495</f>
        <v>14.50867</v>
      </c>
      <c r="X495" s="148">
        <v>0</v>
      </c>
      <c r="Y495" s="148">
        <f>X495*K495</f>
        <v>0</v>
      </c>
      <c r="Z495" s="148">
        <v>0</v>
      </c>
      <c r="AA495" s="149">
        <f>Z495*K495</f>
        <v>0</v>
      </c>
      <c r="AR495" s="21" t="s">
        <v>172</v>
      </c>
      <c r="AT495" s="21" t="s">
        <v>168</v>
      </c>
      <c r="AU495" s="21" t="s">
        <v>135</v>
      </c>
      <c r="AY495" s="21" t="s">
        <v>167</v>
      </c>
      <c r="BE495" s="150">
        <f>IF(U495="základní",N495,0)</f>
        <v>0</v>
      </c>
      <c r="BF495" s="150">
        <f>IF(U495="snížená",N495,0)</f>
        <v>0</v>
      </c>
      <c r="BG495" s="150">
        <f>IF(U495="zákl. přenesená",N495,0)</f>
        <v>0</v>
      </c>
      <c r="BH495" s="150">
        <f>IF(U495="sníž. přenesená",N495,0)</f>
        <v>0</v>
      </c>
      <c r="BI495" s="150">
        <f>IF(U495="nulová",N495,0)</f>
        <v>0</v>
      </c>
      <c r="BJ495" s="21" t="s">
        <v>21</v>
      </c>
      <c r="BK495" s="150">
        <f>ROUND(L495*K495,2)</f>
        <v>0</v>
      </c>
      <c r="BL495" s="21" t="s">
        <v>172</v>
      </c>
      <c r="BM495" s="21" t="s">
        <v>1553</v>
      </c>
    </row>
    <row r="496" spans="2:51" s="11" customFormat="1" ht="22.5" customHeight="1">
      <c r="B496" s="159"/>
      <c r="C496" s="210"/>
      <c r="D496" s="210"/>
      <c r="E496" s="211" t="s">
        <v>5</v>
      </c>
      <c r="F496" s="329" t="s">
        <v>1786</v>
      </c>
      <c r="G496" s="330"/>
      <c r="H496" s="330"/>
      <c r="I496" s="330"/>
      <c r="J496" s="210"/>
      <c r="K496" s="212">
        <v>353.87</v>
      </c>
      <c r="L496" s="210"/>
      <c r="M496" s="210"/>
      <c r="N496" s="210"/>
      <c r="O496" s="210"/>
      <c r="P496" s="210"/>
      <c r="Q496" s="210"/>
      <c r="R496" s="213"/>
      <c r="T496" s="164"/>
      <c r="U496" s="160"/>
      <c r="V496" s="160"/>
      <c r="W496" s="160"/>
      <c r="X496" s="160"/>
      <c r="Y496" s="160"/>
      <c r="Z496" s="160"/>
      <c r="AA496" s="165"/>
      <c r="AT496" s="166" t="s">
        <v>179</v>
      </c>
      <c r="AU496" s="166" t="s">
        <v>135</v>
      </c>
      <c r="AV496" s="11" t="s">
        <v>135</v>
      </c>
      <c r="AW496" s="11" t="s">
        <v>35</v>
      </c>
      <c r="AX496" s="11" t="s">
        <v>21</v>
      </c>
      <c r="AY496" s="166" t="s">
        <v>167</v>
      </c>
    </row>
    <row r="497" spans="2:65" s="1" customFormat="1" ht="31.5" customHeight="1">
      <c r="B497" s="141"/>
      <c r="C497" s="201" t="s">
        <v>825</v>
      </c>
      <c r="D497" s="201" t="s">
        <v>168</v>
      </c>
      <c r="E497" s="202" t="s">
        <v>1555</v>
      </c>
      <c r="F497" s="317" t="s">
        <v>1556</v>
      </c>
      <c r="G497" s="317"/>
      <c r="H497" s="317"/>
      <c r="I497" s="317"/>
      <c r="J497" s="203" t="s">
        <v>199</v>
      </c>
      <c r="K497" s="204">
        <v>353.87</v>
      </c>
      <c r="L497" s="318"/>
      <c r="M497" s="318"/>
      <c r="N497" s="318">
        <f>ROUND(L497*K497,2)</f>
        <v>0</v>
      </c>
      <c r="O497" s="318"/>
      <c r="P497" s="318"/>
      <c r="Q497" s="318"/>
      <c r="R497" s="205"/>
      <c r="T497" s="147" t="s">
        <v>5</v>
      </c>
      <c r="U497" s="44" t="s">
        <v>43</v>
      </c>
      <c r="V497" s="148">
        <v>0.099</v>
      </c>
      <c r="W497" s="148">
        <f>V497*K497</f>
        <v>35.03313</v>
      </c>
      <c r="X497" s="148">
        <v>0</v>
      </c>
      <c r="Y497" s="148">
        <f>X497*K497</f>
        <v>0</v>
      </c>
      <c r="Z497" s="148">
        <v>0</v>
      </c>
      <c r="AA497" s="149">
        <f>Z497*K497</f>
        <v>0</v>
      </c>
      <c r="AR497" s="21" t="s">
        <v>172</v>
      </c>
      <c r="AT497" s="21" t="s">
        <v>168</v>
      </c>
      <c r="AU497" s="21" t="s">
        <v>135</v>
      </c>
      <c r="AY497" s="21" t="s">
        <v>167</v>
      </c>
      <c r="BE497" s="150">
        <f>IF(U497="základní",N497,0)</f>
        <v>0</v>
      </c>
      <c r="BF497" s="150">
        <f>IF(U497="snížená",N497,0)</f>
        <v>0</v>
      </c>
      <c r="BG497" s="150">
        <f>IF(U497="zákl. přenesená",N497,0)</f>
        <v>0</v>
      </c>
      <c r="BH497" s="150">
        <f>IF(U497="sníž. přenesená",N497,0)</f>
        <v>0</v>
      </c>
      <c r="BI497" s="150">
        <f>IF(U497="nulová",N497,0)</f>
        <v>0</v>
      </c>
      <c r="BJ497" s="21" t="s">
        <v>21</v>
      </c>
      <c r="BK497" s="150">
        <f>ROUND(L497*K497,2)</f>
        <v>0</v>
      </c>
      <c r="BL497" s="21" t="s">
        <v>172</v>
      </c>
      <c r="BM497" s="21" t="s">
        <v>1557</v>
      </c>
    </row>
    <row r="498" spans="2:65" s="1" customFormat="1" ht="31.5" customHeight="1">
      <c r="B498" s="141"/>
      <c r="C498" s="201" t="s">
        <v>829</v>
      </c>
      <c r="D498" s="201" t="s">
        <v>168</v>
      </c>
      <c r="E498" s="202" t="s">
        <v>1558</v>
      </c>
      <c r="F498" s="317" t="s">
        <v>1559</v>
      </c>
      <c r="G498" s="317"/>
      <c r="H498" s="317"/>
      <c r="I498" s="317"/>
      <c r="J498" s="203" t="s">
        <v>199</v>
      </c>
      <c r="K498" s="204">
        <v>353.87</v>
      </c>
      <c r="L498" s="318"/>
      <c r="M498" s="318"/>
      <c r="N498" s="318">
        <f>ROUND(L498*K498,2)</f>
        <v>0</v>
      </c>
      <c r="O498" s="318"/>
      <c r="P498" s="318"/>
      <c r="Q498" s="318"/>
      <c r="R498" s="205"/>
      <c r="T498" s="147" t="s">
        <v>5</v>
      </c>
      <c r="U498" s="44" t="s">
        <v>43</v>
      </c>
      <c r="V498" s="148">
        <v>0.09</v>
      </c>
      <c r="W498" s="148">
        <f>V498*K498</f>
        <v>31.8483</v>
      </c>
      <c r="X498" s="148">
        <v>0</v>
      </c>
      <c r="Y498" s="148">
        <f>X498*K498</f>
        <v>0</v>
      </c>
      <c r="Z498" s="148">
        <v>0</v>
      </c>
      <c r="AA498" s="149">
        <f>Z498*K498</f>
        <v>0</v>
      </c>
      <c r="AR498" s="21" t="s">
        <v>172</v>
      </c>
      <c r="AT498" s="21" t="s">
        <v>168</v>
      </c>
      <c r="AU498" s="21" t="s">
        <v>135</v>
      </c>
      <c r="AY498" s="21" t="s">
        <v>167</v>
      </c>
      <c r="BE498" s="150">
        <f>IF(U498="základní",N498,0)</f>
        <v>0</v>
      </c>
      <c r="BF498" s="150">
        <f>IF(U498="snížená",N498,0)</f>
        <v>0</v>
      </c>
      <c r="BG498" s="150">
        <f>IF(U498="zákl. přenesená",N498,0)</f>
        <v>0</v>
      </c>
      <c r="BH498" s="150">
        <f>IF(U498="sníž. přenesená",N498,0)</f>
        <v>0</v>
      </c>
      <c r="BI498" s="150">
        <f>IF(U498="nulová",N498,0)</f>
        <v>0</v>
      </c>
      <c r="BJ498" s="21" t="s">
        <v>21</v>
      </c>
      <c r="BK498" s="150">
        <f>ROUND(L498*K498,2)</f>
        <v>0</v>
      </c>
      <c r="BL498" s="21" t="s">
        <v>172</v>
      </c>
      <c r="BM498" s="21" t="s">
        <v>1560</v>
      </c>
    </row>
    <row r="499" spans="2:65" s="1" customFormat="1" ht="31.5" customHeight="1">
      <c r="B499" s="141"/>
      <c r="C499" s="201" t="s">
        <v>833</v>
      </c>
      <c r="D499" s="201" t="s">
        <v>168</v>
      </c>
      <c r="E499" s="202" t="s">
        <v>1876</v>
      </c>
      <c r="F499" s="317" t="s">
        <v>1877</v>
      </c>
      <c r="G499" s="317"/>
      <c r="H499" s="317"/>
      <c r="I499" s="317"/>
      <c r="J499" s="203" t="s">
        <v>199</v>
      </c>
      <c r="K499" s="204">
        <v>675.57</v>
      </c>
      <c r="L499" s="318"/>
      <c r="M499" s="318"/>
      <c r="N499" s="318">
        <f>ROUND(L499*K499,2)</f>
        <v>0</v>
      </c>
      <c r="O499" s="318"/>
      <c r="P499" s="318"/>
      <c r="Q499" s="318"/>
      <c r="R499" s="205"/>
      <c r="T499" s="147" t="s">
        <v>5</v>
      </c>
      <c r="U499" s="44" t="s">
        <v>43</v>
      </c>
      <c r="V499" s="148">
        <v>0.013</v>
      </c>
      <c r="W499" s="148">
        <f>V499*K499</f>
        <v>8.78241</v>
      </c>
      <c r="X499" s="148">
        <v>0</v>
      </c>
      <c r="Y499" s="148">
        <f>X499*K499</f>
        <v>0</v>
      </c>
      <c r="Z499" s="148">
        <v>0</v>
      </c>
      <c r="AA499" s="149">
        <f>Z499*K499</f>
        <v>0</v>
      </c>
      <c r="AR499" s="21" t="s">
        <v>172</v>
      </c>
      <c r="AT499" s="21" t="s">
        <v>168</v>
      </c>
      <c r="AU499" s="21" t="s">
        <v>135</v>
      </c>
      <c r="AY499" s="21" t="s">
        <v>167</v>
      </c>
      <c r="BE499" s="150">
        <f>IF(U499="základní",N499,0)</f>
        <v>0</v>
      </c>
      <c r="BF499" s="150">
        <f>IF(U499="snížená",N499,0)</f>
        <v>0</v>
      </c>
      <c r="BG499" s="150">
        <f>IF(U499="zákl. přenesená",N499,0)</f>
        <v>0</v>
      </c>
      <c r="BH499" s="150">
        <f>IF(U499="sníž. přenesená",N499,0)</f>
        <v>0</v>
      </c>
      <c r="BI499" s="150">
        <f>IF(U499="nulová",N499,0)</f>
        <v>0</v>
      </c>
      <c r="BJ499" s="21" t="s">
        <v>21</v>
      </c>
      <c r="BK499" s="150">
        <f>ROUND(L499*K499,2)</f>
        <v>0</v>
      </c>
      <c r="BL499" s="21" t="s">
        <v>172</v>
      </c>
      <c r="BM499" s="21" t="s">
        <v>1878</v>
      </c>
    </row>
    <row r="500" spans="2:51" s="11" customFormat="1" ht="22.5" customHeight="1">
      <c r="B500" s="159"/>
      <c r="C500" s="210"/>
      <c r="D500" s="210"/>
      <c r="E500" s="211" t="s">
        <v>5</v>
      </c>
      <c r="F500" s="329" t="s">
        <v>1784</v>
      </c>
      <c r="G500" s="330"/>
      <c r="H500" s="330"/>
      <c r="I500" s="330"/>
      <c r="J500" s="210"/>
      <c r="K500" s="212">
        <v>675.57</v>
      </c>
      <c r="L500" s="210"/>
      <c r="M500" s="210"/>
      <c r="N500" s="210"/>
      <c r="O500" s="210"/>
      <c r="P500" s="210"/>
      <c r="Q500" s="210"/>
      <c r="R500" s="213"/>
      <c r="T500" s="164"/>
      <c r="U500" s="160"/>
      <c r="V500" s="160"/>
      <c r="W500" s="160"/>
      <c r="X500" s="160"/>
      <c r="Y500" s="160"/>
      <c r="Z500" s="160"/>
      <c r="AA500" s="165"/>
      <c r="AT500" s="166" t="s">
        <v>179</v>
      </c>
      <c r="AU500" s="166" t="s">
        <v>135</v>
      </c>
      <c r="AV500" s="11" t="s">
        <v>135</v>
      </c>
      <c r="AW500" s="11" t="s">
        <v>35</v>
      </c>
      <c r="AX500" s="11" t="s">
        <v>21</v>
      </c>
      <c r="AY500" s="166" t="s">
        <v>167</v>
      </c>
    </row>
    <row r="501" spans="2:65" s="1" customFormat="1" ht="31.5" customHeight="1">
      <c r="B501" s="141"/>
      <c r="C501" s="201" t="s">
        <v>837</v>
      </c>
      <c r="D501" s="201" t="s">
        <v>168</v>
      </c>
      <c r="E501" s="202" t="s">
        <v>1565</v>
      </c>
      <c r="F501" s="317" t="s">
        <v>1566</v>
      </c>
      <c r="G501" s="317"/>
      <c r="H501" s="317"/>
      <c r="I501" s="317"/>
      <c r="J501" s="203" t="s">
        <v>199</v>
      </c>
      <c r="K501" s="204">
        <v>675.57</v>
      </c>
      <c r="L501" s="318"/>
      <c r="M501" s="318"/>
      <c r="N501" s="318">
        <f>ROUND(L501*K501,2)</f>
        <v>0</v>
      </c>
      <c r="O501" s="318"/>
      <c r="P501" s="318"/>
      <c r="Q501" s="318"/>
      <c r="R501" s="205"/>
      <c r="T501" s="147" t="s">
        <v>5</v>
      </c>
      <c r="U501" s="44" t="s">
        <v>43</v>
      </c>
      <c r="V501" s="148">
        <v>0.002</v>
      </c>
      <c r="W501" s="148">
        <f>V501*K501</f>
        <v>1.3511400000000002</v>
      </c>
      <c r="X501" s="148">
        <v>0.00071</v>
      </c>
      <c r="Y501" s="148">
        <f>X501*K501</f>
        <v>0.47965470000000004</v>
      </c>
      <c r="Z501" s="148">
        <v>0</v>
      </c>
      <c r="AA501" s="149">
        <f>Z501*K501</f>
        <v>0</v>
      </c>
      <c r="AR501" s="21" t="s">
        <v>172</v>
      </c>
      <c r="AT501" s="21" t="s">
        <v>168</v>
      </c>
      <c r="AU501" s="21" t="s">
        <v>135</v>
      </c>
      <c r="AY501" s="21" t="s">
        <v>167</v>
      </c>
      <c r="BE501" s="150">
        <f>IF(U501="základní",N501,0)</f>
        <v>0</v>
      </c>
      <c r="BF501" s="150">
        <f>IF(U501="snížená",N501,0)</f>
        <v>0</v>
      </c>
      <c r="BG501" s="150">
        <f>IF(U501="zákl. přenesená",N501,0)</f>
        <v>0</v>
      </c>
      <c r="BH501" s="150">
        <f>IF(U501="sníž. přenesená",N501,0)</f>
        <v>0</v>
      </c>
      <c r="BI501" s="150">
        <f>IF(U501="nulová",N501,0)</f>
        <v>0</v>
      </c>
      <c r="BJ501" s="21" t="s">
        <v>21</v>
      </c>
      <c r="BK501" s="150">
        <f>ROUND(L501*K501,2)</f>
        <v>0</v>
      </c>
      <c r="BL501" s="21" t="s">
        <v>172</v>
      </c>
      <c r="BM501" s="21" t="s">
        <v>1567</v>
      </c>
    </row>
    <row r="502" spans="2:65" s="1" customFormat="1" ht="22.5" customHeight="1">
      <c r="B502" s="141"/>
      <c r="C502" s="201" t="s">
        <v>841</v>
      </c>
      <c r="D502" s="201" t="s">
        <v>168</v>
      </c>
      <c r="E502" s="202" t="s">
        <v>1879</v>
      </c>
      <c r="F502" s="317" t="s">
        <v>1880</v>
      </c>
      <c r="G502" s="317"/>
      <c r="H502" s="317"/>
      <c r="I502" s="317"/>
      <c r="J502" s="203" t="s">
        <v>199</v>
      </c>
      <c r="K502" s="204">
        <f>+K503</f>
        <v>1458.8970000000002</v>
      </c>
      <c r="L502" s="318"/>
      <c r="M502" s="318"/>
      <c r="N502" s="318">
        <f>ROUND(L502*K502,2)</f>
        <v>0</v>
      </c>
      <c r="O502" s="318"/>
      <c r="P502" s="318"/>
      <c r="Q502" s="318"/>
      <c r="R502" s="205"/>
      <c r="T502" s="147" t="s">
        <v>5</v>
      </c>
      <c r="U502" s="44" t="s">
        <v>43</v>
      </c>
      <c r="V502" s="148">
        <v>0.029</v>
      </c>
      <c r="W502" s="148">
        <f>V502*K502</f>
        <v>42.30801300000001</v>
      </c>
      <c r="X502" s="148">
        <v>0</v>
      </c>
      <c r="Y502" s="148">
        <f>X502*K502</f>
        <v>0</v>
      </c>
      <c r="Z502" s="148">
        <v>0</v>
      </c>
      <c r="AA502" s="149">
        <f>Z502*K502</f>
        <v>0</v>
      </c>
      <c r="AR502" s="21" t="s">
        <v>172</v>
      </c>
      <c r="AT502" s="21" t="s">
        <v>168</v>
      </c>
      <c r="AU502" s="21" t="s">
        <v>135</v>
      </c>
      <c r="AY502" s="21" t="s">
        <v>167</v>
      </c>
      <c r="BE502" s="150">
        <f>IF(U502="základní",N502,0)</f>
        <v>0</v>
      </c>
      <c r="BF502" s="150">
        <f>IF(U502="snížená",N502,0)</f>
        <v>0</v>
      </c>
      <c r="BG502" s="150">
        <f>IF(U502="zákl. přenesená",N502,0)</f>
        <v>0</v>
      </c>
      <c r="BH502" s="150">
        <f>IF(U502="sníž. přenesená",N502,0)</f>
        <v>0</v>
      </c>
      <c r="BI502" s="150">
        <f>IF(U502="nulová",N502,0)</f>
        <v>0</v>
      </c>
      <c r="BJ502" s="21" t="s">
        <v>21</v>
      </c>
      <c r="BK502" s="150">
        <f>ROUND(L502*K502,2)</f>
        <v>0</v>
      </c>
      <c r="BL502" s="21" t="s">
        <v>172</v>
      </c>
      <c r="BM502" s="21" t="s">
        <v>1881</v>
      </c>
    </row>
    <row r="503" spans="2:51" s="11" customFormat="1" ht="22.5" customHeight="1">
      <c r="B503" s="159"/>
      <c r="C503" s="210"/>
      <c r="D503" s="210"/>
      <c r="E503" s="211" t="s">
        <v>5</v>
      </c>
      <c r="F503" s="329" t="s">
        <v>2173</v>
      </c>
      <c r="G503" s="330"/>
      <c r="H503" s="330"/>
      <c r="I503" s="330"/>
      <c r="J503" s="210"/>
      <c r="K503" s="212">
        <f>1326.27*1.1</f>
        <v>1458.8970000000002</v>
      </c>
      <c r="L503" s="210"/>
      <c r="M503" s="210"/>
      <c r="N503" s="210"/>
      <c r="O503" s="210"/>
      <c r="P503" s="210"/>
      <c r="Q503" s="210"/>
      <c r="R503" s="213"/>
      <c r="T503" s="164"/>
      <c r="U503" s="160"/>
      <c r="V503" s="160"/>
      <c r="W503" s="160"/>
      <c r="X503" s="160"/>
      <c r="Y503" s="160"/>
      <c r="Z503" s="160"/>
      <c r="AA503" s="165"/>
      <c r="AT503" s="166" t="s">
        <v>179</v>
      </c>
      <c r="AU503" s="166" t="s">
        <v>135</v>
      </c>
      <c r="AV503" s="11" t="s">
        <v>135</v>
      </c>
      <c r="AW503" s="11" t="s">
        <v>35</v>
      </c>
      <c r="AX503" s="11" t="s">
        <v>21</v>
      </c>
      <c r="AY503" s="166" t="s">
        <v>167</v>
      </c>
    </row>
    <row r="504" spans="2:65" s="1" customFormat="1" ht="31.5" customHeight="1">
      <c r="B504" s="141"/>
      <c r="C504" s="201" t="s">
        <v>845</v>
      </c>
      <c r="D504" s="201" t="s">
        <v>168</v>
      </c>
      <c r="E504" s="202" t="s">
        <v>1882</v>
      </c>
      <c r="F504" s="317" t="s">
        <v>1883</v>
      </c>
      <c r="G504" s="317"/>
      <c r="H504" s="317"/>
      <c r="I504" s="317"/>
      <c r="J504" s="203" t="s">
        <v>199</v>
      </c>
      <c r="K504" s="204">
        <f>+K502</f>
        <v>1458.8970000000002</v>
      </c>
      <c r="L504" s="318"/>
      <c r="M504" s="318"/>
      <c r="N504" s="318">
        <f>ROUND(L504*K504,2)</f>
        <v>0</v>
      </c>
      <c r="O504" s="318"/>
      <c r="P504" s="318"/>
      <c r="Q504" s="318"/>
      <c r="R504" s="205"/>
      <c r="T504" s="147" t="s">
        <v>5</v>
      </c>
      <c r="U504" s="44" t="s">
        <v>43</v>
      </c>
      <c r="V504" s="148">
        <v>0.037</v>
      </c>
      <c r="W504" s="148">
        <f>V504*K504</f>
        <v>53.979189000000005</v>
      </c>
      <c r="X504" s="148">
        <v>0</v>
      </c>
      <c r="Y504" s="148">
        <f>X504*K504</f>
        <v>0</v>
      </c>
      <c r="Z504" s="148">
        <v>0</v>
      </c>
      <c r="AA504" s="149">
        <f>Z504*K504</f>
        <v>0</v>
      </c>
      <c r="AR504" s="21" t="s">
        <v>172</v>
      </c>
      <c r="AT504" s="21" t="s">
        <v>168</v>
      </c>
      <c r="AU504" s="21" t="s">
        <v>135</v>
      </c>
      <c r="AY504" s="21" t="s">
        <v>167</v>
      </c>
      <c r="BE504" s="150">
        <f>IF(U504="základní",N504,0)</f>
        <v>0</v>
      </c>
      <c r="BF504" s="150">
        <f>IF(U504="snížená",N504,0)</f>
        <v>0</v>
      </c>
      <c r="BG504" s="150">
        <f>IF(U504="zákl. přenesená",N504,0)</f>
        <v>0</v>
      </c>
      <c r="BH504" s="150">
        <f>IF(U504="sníž. přenesená",N504,0)</f>
        <v>0</v>
      </c>
      <c r="BI504" s="150">
        <f>IF(U504="nulová",N504,0)</f>
        <v>0</v>
      </c>
      <c r="BJ504" s="21" t="s">
        <v>21</v>
      </c>
      <c r="BK504" s="150">
        <f>ROUND(L504*K504,2)</f>
        <v>0</v>
      </c>
      <c r="BL504" s="21" t="s">
        <v>172</v>
      </c>
      <c r="BM504" s="21" t="s">
        <v>1884</v>
      </c>
    </row>
    <row r="505" spans="2:65" s="1" customFormat="1" ht="31.5" customHeight="1">
      <c r="B505" s="141"/>
      <c r="C505" s="201" t="s">
        <v>849</v>
      </c>
      <c r="D505" s="201" t="s">
        <v>168</v>
      </c>
      <c r="E505" s="202" t="s">
        <v>1885</v>
      </c>
      <c r="F505" s="317" t="s">
        <v>1886</v>
      </c>
      <c r="G505" s="317"/>
      <c r="H505" s="317"/>
      <c r="I505" s="317"/>
      <c r="J505" s="203" t="s">
        <v>199</v>
      </c>
      <c r="K505" s="204">
        <f>+K506</f>
        <v>1856.7779999999998</v>
      </c>
      <c r="L505" s="318"/>
      <c r="M505" s="318"/>
      <c r="N505" s="318">
        <f>ROUND(L505*K505,2)</f>
        <v>0</v>
      </c>
      <c r="O505" s="318"/>
      <c r="P505" s="318"/>
      <c r="Q505" s="318"/>
      <c r="R505" s="205"/>
      <c r="T505" s="147" t="s">
        <v>5</v>
      </c>
      <c r="U505" s="44" t="s">
        <v>43</v>
      </c>
      <c r="V505" s="148">
        <v>0.013</v>
      </c>
      <c r="W505" s="148">
        <f>V505*K505</f>
        <v>24.138113999999995</v>
      </c>
      <c r="X505" s="148">
        <v>0</v>
      </c>
      <c r="Y505" s="148">
        <f>X505*K505</f>
        <v>0</v>
      </c>
      <c r="Z505" s="148">
        <v>0</v>
      </c>
      <c r="AA505" s="149">
        <f>Z505*K505</f>
        <v>0</v>
      </c>
      <c r="AR505" s="21" t="s">
        <v>172</v>
      </c>
      <c r="AT505" s="21" t="s">
        <v>168</v>
      </c>
      <c r="AU505" s="21" t="s">
        <v>135</v>
      </c>
      <c r="AY505" s="21" t="s">
        <v>167</v>
      </c>
      <c r="BE505" s="150">
        <f>IF(U505="základní",N505,0)</f>
        <v>0</v>
      </c>
      <c r="BF505" s="150">
        <f>IF(U505="snížená",N505,0)</f>
        <v>0</v>
      </c>
      <c r="BG505" s="150">
        <f>IF(U505="zákl. přenesená",N505,0)</f>
        <v>0</v>
      </c>
      <c r="BH505" s="150">
        <f>IF(U505="sníž. přenesená",N505,0)</f>
        <v>0</v>
      </c>
      <c r="BI505" s="150">
        <f>IF(U505="nulová",N505,0)</f>
        <v>0</v>
      </c>
      <c r="BJ505" s="21" t="s">
        <v>21</v>
      </c>
      <c r="BK505" s="150">
        <f>ROUND(L505*K505,2)</f>
        <v>0</v>
      </c>
      <c r="BL505" s="21" t="s">
        <v>172</v>
      </c>
      <c r="BM505" s="21" t="s">
        <v>1887</v>
      </c>
    </row>
    <row r="506" spans="2:51" s="11" customFormat="1" ht="22.5" customHeight="1">
      <c r="B506" s="159"/>
      <c r="C506" s="210"/>
      <c r="D506" s="210"/>
      <c r="E506" s="211" t="s">
        <v>5</v>
      </c>
      <c r="F506" s="329" t="s">
        <v>2172</v>
      </c>
      <c r="G506" s="330"/>
      <c r="H506" s="330"/>
      <c r="I506" s="330"/>
      <c r="J506" s="210"/>
      <c r="K506" s="212">
        <f>1326.27*1.4</f>
        <v>1856.7779999999998</v>
      </c>
      <c r="L506" s="210"/>
      <c r="M506" s="210"/>
      <c r="N506" s="210"/>
      <c r="O506" s="210"/>
      <c r="P506" s="210"/>
      <c r="Q506" s="210"/>
      <c r="R506" s="213"/>
      <c r="T506" s="164"/>
      <c r="U506" s="198"/>
      <c r="V506" s="198"/>
      <c r="W506" s="198"/>
      <c r="X506" s="198"/>
      <c r="Y506" s="198"/>
      <c r="Z506" s="198"/>
      <c r="AA506" s="165"/>
      <c r="AT506" s="166" t="s">
        <v>179</v>
      </c>
      <c r="AU506" s="166" t="s">
        <v>135</v>
      </c>
      <c r="AV506" s="11" t="s">
        <v>135</v>
      </c>
      <c r="AW506" s="11" t="s">
        <v>35</v>
      </c>
      <c r="AX506" s="11" t="s">
        <v>21</v>
      </c>
      <c r="AY506" s="166" t="s">
        <v>167</v>
      </c>
    </row>
    <row r="507" spans="2:65" s="1" customFormat="1" ht="31.5" customHeight="1">
      <c r="B507" s="141"/>
      <c r="C507" s="201" t="s">
        <v>854</v>
      </c>
      <c r="D507" s="201" t="s">
        <v>168</v>
      </c>
      <c r="E507" s="202" t="s">
        <v>1565</v>
      </c>
      <c r="F507" s="317" t="s">
        <v>1566</v>
      </c>
      <c r="G507" s="317"/>
      <c r="H507" s="317"/>
      <c r="I507" s="317"/>
      <c r="J507" s="203" t="s">
        <v>199</v>
      </c>
      <c r="K507" s="204">
        <f>+K508</f>
        <v>2532.348</v>
      </c>
      <c r="L507" s="318"/>
      <c r="M507" s="318"/>
      <c r="N507" s="318">
        <f>ROUND(L507*K507,2)</f>
        <v>0</v>
      </c>
      <c r="O507" s="318"/>
      <c r="P507" s="318"/>
      <c r="Q507" s="318"/>
      <c r="R507" s="205"/>
      <c r="T507" s="147" t="s">
        <v>5</v>
      </c>
      <c r="U507" s="44" t="s">
        <v>43</v>
      </c>
      <c r="V507" s="148">
        <v>0.002</v>
      </c>
      <c r="W507" s="148">
        <f>V507*K507</f>
        <v>5.064696</v>
      </c>
      <c r="X507" s="148">
        <v>0.00071</v>
      </c>
      <c r="Y507" s="148">
        <f>X507*K507</f>
        <v>1.79796708</v>
      </c>
      <c r="Z507" s="148">
        <v>0</v>
      </c>
      <c r="AA507" s="149">
        <f>Z507*K507</f>
        <v>0</v>
      </c>
      <c r="AR507" s="21" t="s">
        <v>172</v>
      </c>
      <c r="AT507" s="21" t="s">
        <v>168</v>
      </c>
      <c r="AU507" s="21" t="s">
        <v>135</v>
      </c>
      <c r="AY507" s="21" t="s">
        <v>167</v>
      </c>
      <c r="BE507" s="150">
        <f>IF(U507="základní",N507,0)</f>
        <v>0</v>
      </c>
      <c r="BF507" s="150">
        <f>IF(U507="snížená",N507,0)</f>
        <v>0</v>
      </c>
      <c r="BG507" s="150">
        <f>IF(U507="zákl. přenesená",N507,0)</f>
        <v>0</v>
      </c>
      <c r="BH507" s="150">
        <f>IF(U507="sníž. přenesená",N507,0)</f>
        <v>0</v>
      </c>
      <c r="BI507" s="150">
        <f>IF(U507="nulová",N507,0)</f>
        <v>0</v>
      </c>
      <c r="BJ507" s="21" t="s">
        <v>21</v>
      </c>
      <c r="BK507" s="150">
        <f>ROUND(L507*K507,2)</f>
        <v>0</v>
      </c>
      <c r="BL507" s="21" t="s">
        <v>172</v>
      </c>
      <c r="BM507" s="21" t="s">
        <v>1888</v>
      </c>
    </row>
    <row r="508" spans="2:51" s="11" customFormat="1" ht="22.5" customHeight="1">
      <c r="B508" s="159"/>
      <c r="C508" s="210"/>
      <c r="D508" s="210"/>
      <c r="E508" s="211" t="s">
        <v>5</v>
      </c>
      <c r="F508" s="329" t="s">
        <v>2195</v>
      </c>
      <c r="G508" s="330"/>
      <c r="H508" s="330"/>
      <c r="I508" s="330"/>
      <c r="J508" s="210"/>
      <c r="K508" s="212">
        <f>1856.778+675.57</f>
        <v>2532.348</v>
      </c>
      <c r="L508" s="210"/>
      <c r="M508" s="210"/>
      <c r="N508" s="210"/>
      <c r="O508" s="210"/>
      <c r="P508" s="210"/>
      <c r="Q508" s="210"/>
      <c r="R508" s="213"/>
      <c r="T508" s="164"/>
      <c r="U508" s="160"/>
      <c r="V508" s="160"/>
      <c r="W508" s="160"/>
      <c r="X508" s="160"/>
      <c r="Y508" s="160"/>
      <c r="Z508" s="160"/>
      <c r="AA508" s="165"/>
      <c r="AT508" s="166" t="s">
        <v>179</v>
      </c>
      <c r="AU508" s="166" t="s">
        <v>135</v>
      </c>
      <c r="AV508" s="11" t="s">
        <v>135</v>
      </c>
      <c r="AW508" s="11" t="s">
        <v>35</v>
      </c>
      <c r="AX508" s="11" t="s">
        <v>21</v>
      </c>
      <c r="AY508" s="166" t="s">
        <v>167</v>
      </c>
    </row>
    <row r="509" spans="2:63" s="9" customFormat="1" ht="29.85" customHeight="1">
      <c r="B509" s="130"/>
      <c r="C509" s="222"/>
      <c r="D509" s="223" t="s">
        <v>150</v>
      </c>
      <c r="E509" s="223"/>
      <c r="F509" s="223"/>
      <c r="G509" s="223"/>
      <c r="H509" s="223"/>
      <c r="I509" s="223"/>
      <c r="J509" s="223"/>
      <c r="K509" s="223"/>
      <c r="L509" s="223"/>
      <c r="M509" s="223"/>
      <c r="N509" s="333">
        <f>BK509</f>
        <v>0</v>
      </c>
      <c r="O509" s="334"/>
      <c r="P509" s="334"/>
      <c r="Q509" s="334"/>
      <c r="R509" s="224"/>
      <c r="T509" s="134"/>
      <c r="U509" s="131"/>
      <c r="V509" s="131"/>
      <c r="W509" s="135">
        <f>SUM(W510:W555)</f>
        <v>5547.77966</v>
      </c>
      <c r="X509" s="131"/>
      <c r="Y509" s="135">
        <f>SUM(Y510:Y555)</f>
        <v>404.67207999999994</v>
      </c>
      <c r="Z509" s="131"/>
      <c r="AA509" s="136">
        <f>SUM(AA510:AA555)</f>
        <v>0</v>
      </c>
      <c r="AR509" s="137" t="s">
        <v>21</v>
      </c>
      <c r="AT509" s="138" t="s">
        <v>77</v>
      </c>
      <c r="AU509" s="138" t="s">
        <v>21</v>
      </c>
      <c r="AY509" s="137" t="s">
        <v>167</v>
      </c>
      <c r="BK509" s="139">
        <f>SUM(BK510:BK555)</f>
        <v>0</v>
      </c>
    </row>
    <row r="510" spans="2:65" s="1" customFormat="1" ht="44.25" customHeight="1">
      <c r="B510" s="141"/>
      <c r="C510" s="201" t="s">
        <v>859</v>
      </c>
      <c r="D510" s="201" t="s">
        <v>168</v>
      </c>
      <c r="E510" s="202" t="s">
        <v>1568</v>
      </c>
      <c r="F510" s="317" t="s">
        <v>1569</v>
      </c>
      <c r="G510" s="317"/>
      <c r="H510" s="317"/>
      <c r="I510" s="317"/>
      <c r="J510" s="203" t="s">
        <v>259</v>
      </c>
      <c r="K510" s="204">
        <v>275.91</v>
      </c>
      <c r="L510" s="318"/>
      <c r="M510" s="318"/>
      <c r="N510" s="318">
        <f>ROUND(L510*K510,2)</f>
        <v>0</v>
      </c>
      <c r="O510" s="318"/>
      <c r="P510" s="318"/>
      <c r="Q510" s="318"/>
      <c r="R510" s="205"/>
      <c r="T510" s="147" t="s">
        <v>5</v>
      </c>
      <c r="U510" s="44" t="s">
        <v>43</v>
      </c>
      <c r="V510" s="148">
        <v>0.31</v>
      </c>
      <c r="W510" s="148">
        <f>V510*K510</f>
        <v>85.53210000000001</v>
      </c>
      <c r="X510" s="148">
        <v>0</v>
      </c>
      <c r="Y510" s="148">
        <f>X510*K510</f>
        <v>0</v>
      </c>
      <c r="Z510" s="148">
        <v>0</v>
      </c>
      <c r="AA510" s="149">
        <f>Z510*K510</f>
        <v>0</v>
      </c>
      <c r="AR510" s="21" t="s">
        <v>172</v>
      </c>
      <c r="AT510" s="21" t="s">
        <v>168</v>
      </c>
      <c r="AU510" s="21" t="s">
        <v>135</v>
      </c>
      <c r="AY510" s="21" t="s">
        <v>167</v>
      </c>
      <c r="BE510" s="150">
        <f>IF(U510="základní",N510,0)</f>
        <v>0</v>
      </c>
      <c r="BF510" s="150">
        <f>IF(U510="snížená",N510,0)</f>
        <v>0</v>
      </c>
      <c r="BG510" s="150">
        <f>IF(U510="zákl. přenesená",N510,0)</f>
        <v>0</v>
      </c>
      <c r="BH510" s="150">
        <f>IF(U510="sníž. přenesená",N510,0)</f>
        <v>0</v>
      </c>
      <c r="BI510" s="150">
        <f>IF(U510="nulová",N510,0)</f>
        <v>0</v>
      </c>
      <c r="BJ510" s="21" t="s">
        <v>21</v>
      </c>
      <c r="BK510" s="150">
        <f>ROUND(L510*K510,2)</f>
        <v>0</v>
      </c>
      <c r="BL510" s="21" t="s">
        <v>172</v>
      </c>
      <c r="BM510" s="21" t="s">
        <v>1570</v>
      </c>
    </row>
    <row r="511" spans="2:51" s="10" customFormat="1" ht="22.5" customHeight="1">
      <c r="B511" s="151"/>
      <c r="C511" s="206"/>
      <c r="D511" s="206"/>
      <c r="E511" s="207" t="s">
        <v>5</v>
      </c>
      <c r="F511" s="319" t="s">
        <v>1365</v>
      </c>
      <c r="G511" s="320"/>
      <c r="H511" s="320"/>
      <c r="I511" s="320"/>
      <c r="J511" s="206"/>
      <c r="K511" s="208" t="s">
        <v>5</v>
      </c>
      <c r="L511" s="206"/>
      <c r="M511" s="206"/>
      <c r="N511" s="206"/>
      <c r="O511" s="206"/>
      <c r="P511" s="206"/>
      <c r="Q511" s="206"/>
      <c r="R511" s="209"/>
      <c r="T511" s="156"/>
      <c r="U511" s="152"/>
      <c r="V511" s="152"/>
      <c r="W511" s="152"/>
      <c r="X511" s="152"/>
      <c r="Y511" s="152"/>
      <c r="Z511" s="152"/>
      <c r="AA511" s="157"/>
      <c r="AT511" s="158" t="s">
        <v>179</v>
      </c>
      <c r="AU511" s="158" t="s">
        <v>135</v>
      </c>
      <c r="AV511" s="10" t="s">
        <v>21</v>
      </c>
      <c r="AW511" s="10" t="s">
        <v>35</v>
      </c>
      <c r="AX511" s="10" t="s">
        <v>78</v>
      </c>
      <c r="AY511" s="158" t="s">
        <v>167</v>
      </c>
    </row>
    <row r="512" spans="2:51" s="11" customFormat="1" ht="22.5" customHeight="1">
      <c r="B512" s="159"/>
      <c r="C512" s="210"/>
      <c r="D512" s="210"/>
      <c r="E512" s="211" t="s">
        <v>5</v>
      </c>
      <c r="F512" s="321" t="s">
        <v>1776</v>
      </c>
      <c r="G512" s="322"/>
      <c r="H512" s="322"/>
      <c r="I512" s="322"/>
      <c r="J512" s="210"/>
      <c r="K512" s="212">
        <v>275.91</v>
      </c>
      <c r="L512" s="210"/>
      <c r="M512" s="210"/>
      <c r="N512" s="210"/>
      <c r="O512" s="210"/>
      <c r="P512" s="210"/>
      <c r="Q512" s="210"/>
      <c r="R512" s="213"/>
      <c r="T512" s="164"/>
      <c r="U512" s="160"/>
      <c r="V512" s="160"/>
      <c r="W512" s="160"/>
      <c r="X512" s="160"/>
      <c r="Y512" s="160"/>
      <c r="Z512" s="160"/>
      <c r="AA512" s="165"/>
      <c r="AT512" s="166" t="s">
        <v>179</v>
      </c>
      <c r="AU512" s="166" t="s">
        <v>135</v>
      </c>
      <c r="AV512" s="11" t="s">
        <v>135</v>
      </c>
      <c r="AW512" s="11" t="s">
        <v>35</v>
      </c>
      <c r="AX512" s="11" t="s">
        <v>78</v>
      </c>
      <c r="AY512" s="166" t="s">
        <v>167</v>
      </c>
    </row>
    <row r="513" spans="2:51" s="12" customFormat="1" ht="22.5" customHeight="1">
      <c r="B513" s="167"/>
      <c r="C513" s="218"/>
      <c r="D513" s="218"/>
      <c r="E513" s="219" t="s">
        <v>5</v>
      </c>
      <c r="F513" s="327" t="s">
        <v>183</v>
      </c>
      <c r="G513" s="328"/>
      <c r="H513" s="328"/>
      <c r="I513" s="328"/>
      <c r="J513" s="218"/>
      <c r="K513" s="220">
        <v>275.91</v>
      </c>
      <c r="L513" s="218"/>
      <c r="M513" s="218"/>
      <c r="N513" s="218"/>
      <c r="O513" s="218"/>
      <c r="P513" s="218"/>
      <c r="Q513" s="218"/>
      <c r="R513" s="221"/>
      <c r="T513" s="172"/>
      <c r="U513" s="168"/>
      <c r="V513" s="168"/>
      <c r="W513" s="168"/>
      <c r="X513" s="168"/>
      <c r="Y513" s="168"/>
      <c r="Z513" s="168"/>
      <c r="AA513" s="173"/>
      <c r="AT513" s="174" t="s">
        <v>179</v>
      </c>
      <c r="AU513" s="174" t="s">
        <v>135</v>
      </c>
      <c r="AV513" s="12" t="s">
        <v>172</v>
      </c>
      <c r="AW513" s="12" t="s">
        <v>35</v>
      </c>
      <c r="AX513" s="12" t="s">
        <v>21</v>
      </c>
      <c r="AY513" s="174" t="s">
        <v>167</v>
      </c>
    </row>
    <row r="514" spans="2:65" s="1" customFormat="1" ht="31.5" customHeight="1">
      <c r="B514" s="141"/>
      <c r="C514" s="225" t="s">
        <v>864</v>
      </c>
      <c r="D514" s="225" t="s">
        <v>317</v>
      </c>
      <c r="E514" s="226" t="s">
        <v>1571</v>
      </c>
      <c r="F514" s="331" t="s">
        <v>1572</v>
      </c>
      <c r="G514" s="331"/>
      <c r="H514" s="331"/>
      <c r="I514" s="331"/>
      <c r="J514" s="227" t="s">
        <v>259</v>
      </c>
      <c r="K514" s="228">
        <v>280</v>
      </c>
      <c r="L514" s="332"/>
      <c r="M514" s="332"/>
      <c r="N514" s="332">
        <f>ROUND(L514*K514,2)</f>
        <v>0</v>
      </c>
      <c r="O514" s="318"/>
      <c r="P514" s="318"/>
      <c r="Q514" s="318"/>
      <c r="R514" s="205"/>
      <c r="T514" s="147" t="s">
        <v>5</v>
      </c>
      <c r="U514" s="44" t="s">
        <v>43</v>
      </c>
      <c r="V514" s="148">
        <v>0</v>
      </c>
      <c r="W514" s="148">
        <f>V514*K514</f>
        <v>0</v>
      </c>
      <c r="X514" s="148">
        <v>0.00212</v>
      </c>
      <c r="Y514" s="148">
        <f>X514*K514</f>
        <v>0.5936</v>
      </c>
      <c r="Z514" s="148">
        <v>0</v>
      </c>
      <c r="AA514" s="149">
        <f>Z514*K514</f>
        <v>0</v>
      </c>
      <c r="AR514" s="21" t="s">
        <v>213</v>
      </c>
      <c r="AT514" s="21" t="s">
        <v>317</v>
      </c>
      <c r="AU514" s="21" t="s">
        <v>135</v>
      </c>
      <c r="AY514" s="21" t="s">
        <v>167</v>
      </c>
      <c r="BE514" s="150">
        <f>IF(U514="základní",N514,0)</f>
        <v>0</v>
      </c>
      <c r="BF514" s="150">
        <f>IF(U514="snížená",N514,0)</f>
        <v>0</v>
      </c>
      <c r="BG514" s="150">
        <f>IF(U514="zákl. přenesená",N514,0)</f>
        <v>0</v>
      </c>
      <c r="BH514" s="150">
        <f>IF(U514="sníž. přenesená",N514,0)</f>
        <v>0</v>
      </c>
      <c r="BI514" s="150">
        <f>IF(U514="nulová",N514,0)</f>
        <v>0</v>
      </c>
      <c r="BJ514" s="21" t="s">
        <v>21</v>
      </c>
      <c r="BK514" s="150">
        <f>ROUND(L514*K514,2)</f>
        <v>0</v>
      </c>
      <c r="BL514" s="21" t="s">
        <v>172</v>
      </c>
      <c r="BM514" s="21" t="s">
        <v>1573</v>
      </c>
    </row>
    <row r="515" spans="2:65" s="1" customFormat="1" ht="31.5" customHeight="1">
      <c r="B515" s="141"/>
      <c r="C515" s="201" t="s">
        <v>868</v>
      </c>
      <c r="D515" s="201" t="s">
        <v>168</v>
      </c>
      <c r="E515" s="202" t="s">
        <v>2223</v>
      </c>
      <c r="F515" s="317" t="s">
        <v>2224</v>
      </c>
      <c r="G515" s="317"/>
      <c r="H515" s="317"/>
      <c r="I515" s="317"/>
      <c r="J515" s="203" t="s">
        <v>259</v>
      </c>
      <c r="K515" s="204">
        <f>+K522</f>
        <v>1423.0600000000002</v>
      </c>
      <c r="L515" s="318"/>
      <c r="M515" s="318"/>
      <c r="N515" s="318">
        <f>ROUND(L515*K515,2)</f>
        <v>0</v>
      </c>
      <c r="O515" s="318"/>
      <c r="P515" s="318"/>
      <c r="Q515" s="318"/>
      <c r="R515" s="205"/>
      <c r="T515" s="147" t="s">
        <v>5</v>
      </c>
      <c r="U515" s="44" t="s">
        <v>43</v>
      </c>
      <c r="V515" s="148">
        <v>0.412</v>
      </c>
      <c r="W515" s="148">
        <f>V515*K515</f>
        <v>586.3007200000001</v>
      </c>
      <c r="X515" s="148">
        <v>0</v>
      </c>
      <c r="Y515" s="148">
        <f>X515*K515</f>
        <v>0</v>
      </c>
      <c r="Z515" s="148">
        <v>0</v>
      </c>
      <c r="AA515" s="149">
        <f>Z515*K515</f>
        <v>0</v>
      </c>
      <c r="AR515" s="21" t="s">
        <v>172</v>
      </c>
      <c r="AT515" s="21" t="s">
        <v>168</v>
      </c>
      <c r="AU515" s="21" t="s">
        <v>135</v>
      </c>
      <c r="AY515" s="21" t="s">
        <v>167</v>
      </c>
      <c r="BE515" s="150">
        <f>IF(U515="základní",N515,0)</f>
        <v>0</v>
      </c>
      <c r="BF515" s="150">
        <f>IF(U515="snížená",N515,0)</f>
        <v>0</v>
      </c>
      <c r="BG515" s="150">
        <f>IF(U515="zákl. přenesená",N515,0)</f>
        <v>0</v>
      </c>
      <c r="BH515" s="150">
        <f>IF(U515="sníž. přenesená",N515,0)</f>
        <v>0</v>
      </c>
      <c r="BI515" s="150">
        <f>IF(U515="nulová",N515,0)</f>
        <v>0</v>
      </c>
      <c r="BJ515" s="21" t="s">
        <v>21</v>
      </c>
      <c r="BK515" s="150">
        <f>ROUND(L515*K515,2)</f>
        <v>0</v>
      </c>
      <c r="BL515" s="21" t="s">
        <v>172</v>
      </c>
      <c r="BM515" s="21" t="s">
        <v>1574</v>
      </c>
    </row>
    <row r="516" spans="2:51" s="10" customFormat="1" ht="22.5" customHeight="1">
      <c r="B516" s="151"/>
      <c r="C516" s="206"/>
      <c r="D516" s="206"/>
      <c r="E516" s="207" t="s">
        <v>5</v>
      </c>
      <c r="F516" s="319" t="s">
        <v>1357</v>
      </c>
      <c r="G516" s="320"/>
      <c r="H516" s="320"/>
      <c r="I516" s="320"/>
      <c r="J516" s="206"/>
      <c r="K516" s="208" t="s">
        <v>5</v>
      </c>
      <c r="L516" s="206"/>
      <c r="M516" s="206"/>
      <c r="N516" s="206"/>
      <c r="O516" s="206"/>
      <c r="P516" s="206"/>
      <c r="Q516" s="206"/>
      <c r="R516" s="209"/>
      <c r="T516" s="156"/>
      <c r="U516" s="152"/>
      <c r="V516" s="152"/>
      <c r="W516" s="152"/>
      <c r="X516" s="152"/>
      <c r="Y516" s="152"/>
      <c r="Z516" s="152"/>
      <c r="AA516" s="157"/>
      <c r="AT516" s="158" t="s">
        <v>179</v>
      </c>
      <c r="AU516" s="158" t="s">
        <v>135</v>
      </c>
      <c r="AV516" s="10" t="s">
        <v>21</v>
      </c>
      <c r="AW516" s="10" t="s">
        <v>35</v>
      </c>
      <c r="AX516" s="10" t="s">
        <v>78</v>
      </c>
      <c r="AY516" s="158" t="s">
        <v>167</v>
      </c>
    </row>
    <row r="517" spans="2:51" s="11" customFormat="1" ht="22.5" customHeight="1">
      <c r="B517" s="159"/>
      <c r="C517" s="210"/>
      <c r="D517" s="210"/>
      <c r="E517" s="211" t="s">
        <v>5</v>
      </c>
      <c r="F517" s="321" t="s">
        <v>1689</v>
      </c>
      <c r="G517" s="322"/>
      <c r="H517" s="322"/>
      <c r="I517" s="322"/>
      <c r="J517" s="210"/>
      <c r="K517" s="212">
        <v>543.7</v>
      </c>
      <c r="L517" s="210"/>
      <c r="M517" s="210"/>
      <c r="N517" s="210"/>
      <c r="O517" s="210"/>
      <c r="P517" s="210"/>
      <c r="Q517" s="210"/>
      <c r="R517" s="213"/>
      <c r="T517" s="164"/>
      <c r="U517" s="160"/>
      <c r="V517" s="160"/>
      <c r="W517" s="160"/>
      <c r="X517" s="160"/>
      <c r="Y517" s="160"/>
      <c r="Z517" s="160"/>
      <c r="AA517" s="165"/>
      <c r="AT517" s="166" t="s">
        <v>179</v>
      </c>
      <c r="AU517" s="166" t="s">
        <v>135</v>
      </c>
      <c r="AV517" s="11" t="s">
        <v>135</v>
      </c>
      <c r="AW517" s="11" t="s">
        <v>35</v>
      </c>
      <c r="AX517" s="11" t="s">
        <v>78</v>
      </c>
      <c r="AY517" s="166" t="s">
        <v>167</v>
      </c>
    </row>
    <row r="518" spans="2:51" s="11" customFormat="1" ht="22.5" customHeight="1">
      <c r="B518" s="159"/>
      <c r="C518" s="210"/>
      <c r="D518" s="210"/>
      <c r="E518" s="211" t="s">
        <v>5</v>
      </c>
      <c r="F518" s="321" t="s">
        <v>1773</v>
      </c>
      <c r="G518" s="322"/>
      <c r="H518" s="322"/>
      <c r="I518" s="322"/>
      <c r="J518" s="210"/>
      <c r="K518" s="212">
        <v>92</v>
      </c>
      <c r="L518" s="210"/>
      <c r="M518" s="210"/>
      <c r="N518" s="210"/>
      <c r="O518" s="210"/>
      <c r="P518" s="210"/>
      <c r="Q518" s="210"/>
      <c r="R518" s="213"/>
      <c r="T518" s="164"/>
      <c r="U518" s="160"/>
      <c r="V518" s="160"/>
      <c r="W518" s="160"/>
      <c r="X518" s="160"/>
      <c r="Y518" s="160"/>
      <c r="Z518" s="160"/>
      <c r="AA518" s="165"/>
      <c r="AT518" s="166" t="s">
        <v>179</v>
      </c>
      <c r="AU518" s="166" t="s">
        <v>135</v>
      </c>
      <c r="AV518" s="11" t="s">
        <v>135</v>
      </c>
      <c r="AW518" s="11" t="s">
        <v>35</v>
      </c>
      <c r="AX518" s="11" t="s">
        <v>78</v>
      </c>
      <c r="AY518" s="166" t="s">
        <v>167</v>
      </c>
    </row>
    <row r="519" spans="2:51" s="11" customFormat="1" ht="22.5" customHeight="1">
      <c r="B519" s="159"/>
      <c r="C519" s="210"/>
      <c r="D519" s="210"/>
      <c r="E519" s="211" t="s">
        <v>5</v>
      </c>
      <c r="F519" s="321" t="s">
        <v>1774</v>
      </c>
      <c r="G519" s="322"/>
      <c r="H519" s="322"/>
      <c r="I519" s="322"/>
      <c r="J519" s="210"/>
      <c r="K519" s="212">
        <v>526.7</v>
      </c>
      <c r="L519" s="210"/>
      <c r="M519" s="210"/>
      <c r="N519" s="210"/>
      <c r="O519" s="210"/>
      <c r="P519" s="210"/>
      <c r="Q519" s="210"/>
      <c r="R519" s="213"/>
      <c r="T519" s="164"/>
      <c r="U519" s="160"/>
      <c r="V519" s="160"/>
      <c r="W519" s="160"/>
      <c r="X519" s="160"/>
      <c r="Y519" s="160"/>
      <c r="Z519" s="160"/>
      <c r="AA519" s="165"/>
      <c r="AT519" s="166" t="s">
        <v>179</v>
      </c>
      <c r="AU519" s="166" t="s">
        <v>135</v>
      </c>
      <c r="AV519" s="11" t="s">
        <v>135</v>
      </c>
      <c r="AW519" s="11" t="s">
        <v>35</v>
      </c>
      <c r="AX519" s="11" t="s">
        <v>78</v>
      </c>
      <c r="AY519" s="166" t="s">
        <v>167</v>
      </c>
    </row>
    <row r="520" spans="2:51" s="11" customFormat="1" ht="22.5" customHeight="1">
      <c r="B520" s="159"/>
      <c r="C520" s="210"/>
      <c r="D520" s="210"/>
      <c r="E520" s="211" t="s">
        <v>5</v>
      </c>
      <c r="F520" s="321" t="s">
        <v>1775</v>
      </c>
      <c r="G520" s="322"/>
      <c r="H520" s="322"/>
      <c r="I520" s="322"/>
      <c r="J520" s="210"/>
      <c r="K520" s="212">
        <v>260.66</v>
      </c>
      <c r="L520" s="210"/>
      <c r="M520" s="210"/>
      <c r="N520" s="210"/>
      <c r="O520" s="210"/>
      <c r="P520" s="210"/>
      <c r="Q520" s="210"/>
      <c r="R520" s="213"/>
      <c r="T520" s="164"/>
      <c r="U520" s="160"/>
      <c r="V520" s="160"/>
      <c r="W520" s="160"/>
      <c r="X520" s="160"/>
      <c r="Y520" s="160"/>
      <c r="Z520" s="160"/>
      <c r="AA520" s="165"/>
      <c r="AT520" s="166" t="s">
        <v>179</v>
      </c>
      <c r="AU520" s="166" t="s">
        <v>135</v>
      </c>
      <c r="AV520" s="11" t="s">
        <v>135</v>
      </c>
      <c r="AW520" s="11" t="s">
        <v>35</v>
      </c>
      <c r="AX520" s="11" t="s">
        <v>78</v>
      </c>
      <c r="AY520" s="166" t="s">
        <v>167</v>
      </c>
    </row>
    <row r="521" spans="2:51" s="11" customFormat="1" ht="22.5" customHeight="1">
      <c r="B521" s="159"/>
      <c r="C521" s="210"/>
      <c r="D521" s="210"/>
      <c r="E521" s="211" t="s">
        <v>5</v>
      </c>
      <c r="F521" s="321" t="s">
        <v>2171</v>
      </c>
      <c r="G521" s="322"/>
      <c r="H521" s="322"/>
      <c r="I521" s="322"/>
      <c r="J521" s="210"/>
      <c r="K521" s="212">
        <v>0</v>
      </c>
      <c r="L521" s="210"/>
      <c r="M521" s="210"/>
      <c r="N521" s="210"/>
      <c r="O521" s="210"/>
      <c r="P521" s="210"/>
      <c r="Q521" s="210"/>
      <c r="R521" s="213"/>
      <c r="T521" s="164"/>
      <c r="U521" s="160"/>
      <c r="V521" s="160"/>
      <c r="W521" s="160"/>
      <c r="X521" s="160"/>
      <c r="Y521" s="160"/>
      <c r="Z521" s="160"/>
      <c r="AA521" s="165"/>
      <c r="AT521" s="166" t="s">
        <v>179</v>
      </c>
      <c r="AU521" s="166" t="s">
        <v>135</v>
      </c>
      <c r="AV521" s="11" t="s">
        <v>135</v>
      </c>
      <c r="AW521" s="11" t="s">
        <v>35</v>
      </c>
      <c r="AX521" s="11" t="s">
        <v>78</v>
      </c>
      <c r="AY521" s="166" t="s">
        <v>167</v>
      </c>
    </row>
    <row r="522" spans="2:51" s="12" customFormat="1" ht="22.5" customHeight="1">
      <c r="B522" s="167"/>
      <c r="C522" s="218"/>
      <c r="D522" s="218"/>
      <c r="E522" s="219" t="s">
        <v>5</v>
      </c>
      <c r="F522" s="327" t="s">
        <v>183</v>
      </c>
      <c r="G522" s="328"/>
      <c r="H522" s="328"/>
      <c r="I522" s="328"/>
      <c r="J522" s="218"/>
      <c r="K522" s="220">
        <f>SUM(K517:K521)</f>
        <v>1423.0600000000002</v>
      </c>
      <c r="L522" s="218"/>
      <c r="M522" s="218"/>
      <c r="N522" s="218"/>
      <c r="O522" s="218"/>
      <c r="P522" s="218"/>
      <c r="Q522" s="218"/>
      <c r="R522" s="221"/>
      <c r="T522" s="172"/>
      <c r="U522" s="168"/>
      <c r="V522" s="168"/>
      <c r="W522" s="168"/>
      <c r="X522" s="168"/>
      <c r="Y522" s="168"/>
      <c r="Z522" s="168"/>
      <c r="AA522" s="173"/>
      <c r="AT522" s="174" t="s">
        <v>179</v>
      </c>
      <c r="AU522" s="174" t="s">
        <v>135</v>
      </c>
      <c r="AV522" s="12" t="s">
        <v>172</v>
      </c>
      <c r="AW522" s="12" t="s">
        <v>35</v>
      </c>
      <c r="AX522" s="12" t="s">
        <v>21</v>
      </c>
      <c r="AY522" s="174" t="s">
        <v>167</v>
      </c>
    </row>
    <row r="523" spans="2:65" s="1" customFormat="1" ht="22.5" customHeight="1">
      <c r="B523" s="141"/>
      <c r="C523" s="225" t="s">
        <v>873</v>
      </c>
      <c r="D523" s="225" t="s">
        <v>317</v>
      </c>
      <c r="E523" s="226" t="s">
        <v>1575</v>
      </c>
      <c r="F523" s="331" t="s">
        <v>2225</v>
      </c>
      <c r="G523" s="331"/>
      <c r="H523" s="331"/>
      <c r="I523" s="331"/>
      <c r="J523" s="227" t="s">
        <v>578</v>
      </c>
      <c r="K523" s="228">
        <v>243</v>
      </c>
      <c r="L523" s="332"/>
      <c r="M523" s="332"/>
      <c r="N523" s="332">
        <f>ROUND(L523*K523,2)</f>
        <v>0</v>
      </c>
      <c r="O523" s="318"/>
      <c r="P523" s="318"/>
      <c r="Q523" s="318"/>
      <c r="R523" s="205"/>
      <c r="T523" s="147" t="s">
        <v>5</v>
      </c>
      <c r="U523" s="44" t="s">
        <v>43</v>
      </c>
      <c r="V523" s="148">
        <v>0</v>
      </c>
      <c r="W523" s="148">
        <f>V523*K523</f>
        <v>0</v>
      </c>
      <c r="X523" s="148">
        <v>0.0219</v>
      </c>
      <c r="Y523" s="148">
        <f>X523*K523</f>
        <v>5.3217</v>
      </c>
      <c r="Z523" s="148">
        <v>0</v>
      </c>
      <c r="AA523" s="149">
        <f>Z523*K523</f>
        <v>0</v>
      </c>
      <c r="AR523" s="21" t="s">
        <v>213</v>
      </c>
      <c r="AT523" s="21" t="s">
        <v>317</v>
      </c>
      <c r="AU523" s="21" t="s">
        <v>135</v>
      </c>
      <c r="AY523" s="21" t="s">
        <v>167</v>
      </c>
      <c r="BE523" s="150">
        <f>IF(U523="základní",N523,0)</f>
        <v>0</v>
      </c>
      <c r="BF523" s="150">
        <f>IF(U523="snížená",N523,0)</f>
        <v>0</v>
      </c>
      <c r="BG523" s="150">
        <f>IF(U523="zákl. přenesená",N523,0)</f>
        <v>0</v>
      </c>
      <c r="BH523" s="150">
        <f>IF(U523="sníž. přenesená",N523,0)</f>
        <v>0</v>
      </c>
      <c r="BI523" s="150">
        <f>IF(U523="nulová",N523,0)</f>
        <v>0</v>
      </c>
      <c r="BJ523" s="21" t="s">
        <v>21</v>
      </c>
      <c r="BK523" s="150">
        <f>ROUND(L523*K523,2)</f>
        <v>0</v>
      </c>
      <c r="BL523" s="21" t="s">
        <v>172</v>
      </c>
      <c r="BM523" s="21" t="s">
        <v>1576</v>
      </c>
    </row>
    <row r="524" spans="2:65" s="1" customFormat="1" ht="31.5" customHeight="1">
      <c r="B524" s="141"/>
      <c r="C524" s="201" t="s">
        <v>877</v>
      </c>
      <c r="D524" s="201" t="s">
        <v>168</v>
      </c>
      <c r="E524" s="202" t="s">
        <v>1246</v>
      </c>
      <c r="F524" s="317" t="s">
        <v>1247</v>
      </c>
      <c r="G524" s="317"/>
      <c r="H524" s="317"/>
      <c r="I524" s="317"/>
      <c r="J524" s="203" t="s">
        <v>259</v>
      </c>
      <c r="K524" s="204">
        <f>+K515+K510</f>
        <v>1698.9700000000003</v>
      </c>
      <c r="L524" s="318"/>
      <c r="M524" s="318"/>
      <c r="N524" s="318">
        <f>ROUND(L524*K524,2)</f>
        <v>0</v>
      </c>
      <c r="O524" s="318"/>
      <c r="P524" s="318"/>
      <c r="Q524" s="318"/>
      <c r="R524" s="205"/>
      <c r="T524" s="147" t="s">
        <v>5</v>
      </c>
      <c r="U524" s="44" t="s">
        <v>43</v>
      </c>
      <c r="V524" s="148">
        <v>0.572</v>
      </c>
      <c r="W524" s="148">
        <f>V524*K524</f>
        <v>971.8108400000001</v>
      </c>
      <c r="X524" s="148">
        <v>0</v>
      </c>
      <c r="Y524" s="148">
        <f>X524*K524</f>
        <v>0</v>
      </c>
      <c r="Z524" s="148">
        <v>0</v>
      </c>
      <c r="AA524" s="149">
        <f>Z524*K524</f>
        <v>0</v>
      </c>
      <c r="AR524" s="21" t="s">
        <v>172</v>
      </c>
      <c r="AT524" s="21" t="s">
        <v>168</v>
      </c>
      <c r="AU524" s="21" t="s">
        <v>135</v>
      </c>
      <c r="AY524" s="21" t="s">
        <v>167</v>
      </c>
      <c r="BE524" s="150">
        <f>IF(U524="základní",N524,0)</f>
        <v>0</v>
      </c>
      <c r="BF524" s="150">
        <f>IF(U524="snížená",N524,0)</f>
        <v>0</v>
      </c>
      <c r="BG524" s="150">
        <f>IF(U524="zákl. přenesená",N524,0)</f>
        <v>0</v>
      </c>
      <c r="BH524" s="150">
        <f>IF(U524="sníž. přenesená",N524,0)</f>
        <v>0</v>
      </c>
      <c r="BI524" s="150">
        <f>IF(U524="nulová",N524,0)</f>
        <v>0</v>
      </c>
      <c r="BJ524" s="21" t="s">
        <v>21</v>
      </c>
      <c r="BK524" s="150">
        <f>ROUND(L524*K524,2)</f>
        <v>0</v>
      </c>
      <c r="BL524" s="21" t="s">
        <v>172</v>
      </c>
      <c r="BM524" s="21" t="s">
        <v>1248</v>
      </c>
    </row>
    <row r="525" spans="2:51" s="11" customFormat="1" ht="22.5" customHeight="1">
      <c r="B525" s="159"/>
      <c r="C525" s="210"/>
      <c r="D525" s="210"/>
      <c r="E525" s="211" t="s">
        <v>5</v>
      </c>
      <c r="F525" s="329" t="s">
        <v>2196</v>
      </c>
      <c r="G525" s="330"/>
      <c r="H525" s="330"/>
      <c r="I525" s="330"/>
      <c r="J525" s="210"/>
      <c r="K525" s="212">
        <f>275.91+1423.06</f>
        <v>1698.97</v>
      </c>
      <c r="L525" s="210"/>
      <c r="M525" s="210"/>
      <c r="N525" s="210"/>
      <c r="O525" s="210"/>
      <c r="P525" s="210"/>
      <c r="Q525" s="210"/>
      <c r="R525" s="213"/>
      <c r="T525" s="164"/>
      <c r="U525" s="160"/>
      <c r="V525" s="160"/>
      <c r="W525" s="160"/>
      <c r="X525" s="160"/>
      <c r="Y525" s="160"/>
      <c r="Z525" s="160"/>
      <c r="AA525" s="165"/>
      <c r="AT525" s="166" t="s">
        <v>179</v>
      </c>
      <c r="AU525" s="166" t="s">
        <v>135</v>
      </c>
      <c r="AV525" s="11" t="s">
        <v>135</v>
      </c>
      <c r="AW525" s="11" t="s">
        <v>35</v>
      </c>
      <c r="AX525" s="11" t="s">
        <v>21</v>
      </c>
      <c r="AY525" s="166" t="s">
        <v>167</v>
      </c>
    </row>
    <row r="526" spans="2:65" s="1" customFormat="1" ht="22.5" customHeight="1">
      <c r="B526" s="141"/>
      <c r="C526" s="201" t="s">
        <v>585</v>
      </c>
      <c r="D526" s="201" t="s">
        <v>168</v>
      </c>
      <c r="E526" s="202" t="s">
        <v>1250</v>
      </c>
      <c r="F526" s="317" t="s">
        <v>1251</v>
      </c>
      <c r="G526" s="317"/>
      <c r="H526" s="317"/>
      <c r="I526" s="317"/>
      <c r="J526" s="203" t="s">
        <v>259</v>
      </c>
      <c r="K526" s="204">
        <v>275.91</v>
      </c>
      <c r="L526" s="318"/>
      <c r="M526" s="318"/>
      <c r="N526" s="318">
        <f>ROUND(L526*K526,2)</f>
        <v>0</v>
      </c>
      <c r="O526" s="318"/>
      <c r="P526" s="318"/>
      <c r="Q526" s="318"/>
      <c r="R526" s="205"/>
      <c r="T526" s="147" t="s">
        <v>5</v>
      </c>
      <c r="U526" s="44" t="s">
        <v>43</v>
      </c>
      <c r="V526" s="148">
        <v>0.044</v>
      </c>
      <c r="W526" s="148">
        <f>V526*K526</f>
        <v>12.14004</v>
      </c>
      <c r="X526" s="148">
        <v>0</v>
      </c>
      <c r="Y526" s="148">
        <f>X526*K526</f>
        <v>0</v>
      </c>
      <c r="Z526" s="148">
        <v>0</v>
      </c>
      <c r="AA526" s="149">
        <f>Z526*K526</f>
        <v>0</v>
      </c>
      <c r="AR526" s="21" t="s">
        <v>172</v>
      </c>
      <c r="AT526" s="21" t="s">
        <v>168</v>
      </c>
      <c r="AU526" s="21" t="s">
        <v>135</v>
      </c>
      <c r="AY526" s="21" t="s">
        <v>167</v>
      </c>
      <c r="BE526" s="150">
        <f>IF(U526="základní",N526,0)</f>
        <v>0</v>
      </c>
      <c r="BF526" s="150">
        <f>IF(U526="snížená",N526,0)</f>
        <v>0</v>
      </c>
      <c r="BG526" s="150">
        <f>IF(U526="zákl. přenesená",N526,0)</f>
        <v>0</v>
      </c>
      <c r="BH526" s="150">
        <f>IF(U526="sníž. přenesená",N526,0)</f>
        <v>0</v>
      </c>
      <c r="BI526" s="150">
        <f>IF(U526="nulová",N526,0)</f>
        <v>0</v>
      </c>
      <c r="BJ526" s="21" t="s">
        <v>21</v>
      </c>
      <c r="BK526" s="150">
        <f>ROUND(L526*K526,2)</f>
        <v>0</v>
      </c>
      <c r="BL526" s="21" t="s">
        <v>172</v>
      </c>
      <c r="BM526" s="21" t="s">
        <v>1252</v>
      </c>
    </row>
    <row r="527" spans="2:65" s="1" customFormat="1" ht="31.5" customHeight="1">
      <c r="B527" s="141"/>
      <c r="C527" s="201" t="s">
        <v>884</v>
      </c>
      <c r="D527" s="201" t="s">
        <v>168</v>
      </c>
      <c r="E527" s="202" t="s">
        <v>1577</v>
      </c>
      <c r="F527" s="317" t="s">
        <v>1578</v>
      </c>
      <c r="G527" s="317"/>
      <c r="H527" s="317"/>
      <c r="I527" s="317"/>
      <c r="J527" s="203" t="s">
        <v>259</v>
      </c>
      <c r="K527" s="204">
        <f>+K515</f>
        <v>1423.0600000000002</v>
      </c>
      <c r="L527" s="318"/>
      <c r="M527" s="318"/>
      <c r="N527" s="318">
        <f>ROUND(L527*K527,2)</f>
        <v>0</v>
      </c>
      <c r="O527" s="318"/>
      <c r="P527" s="318"/>
      <c r="Q527" s="318"/>
      <c r="R527" s="205"/>
      <c r="T527" s="147" t="s">
        <v>5</v>
      </c>
      <c r="U527" s="44" t="s">
        <v>43</v>
      </c>
      <c r="V527" s="148">
        <v>0.066</v>
      </c>
      <c r="W527" s="148">
        <f>V527*K527</f>
        <v>93.92196000000001</v>
      </c>
      <c r="X527" s="148">
        <v>0</v>
      </c>
      <c r="Y527" s="148">
        <f>X527*K527</f>
        <v>0</v>
      </c>
      <c r="Z527" s="148">
        <v>0</v>
      </c>
      <c r="AA527" s="149">
        <f>Z527*K527</f>
        <v>0</v>
      </c>
      <c r="AR527" s="21" t="s">
        <v>172</v>
      </c>
      <c r="AT527" s="21" t="s">
        <v>168</v>
      </c>
      <c r="AU527" s="21" t="s">
        <v>135</v>
      </c>
      <c r="AY527" s="21" t="s">
        <v>167</v>
      </c>
      <c r="BE527" s="150">
        <f>IF(U527="základní",N527,0)</f>
        <v>0</v>
      </c>
      <c r="BF527" s="150">
        <f>IF(U527="snížená",N527,0)</f>
        <v>0</v>
      </c>
      <c r="BG527" s="150">
        <f>IF(U527="zákl. přenesená",N527,0)</f>
        <v>0</v>
      </c>
      <c r="BH527" s="150">
        <f>IF(U527="sníž. přenesená",N527,0)</f>
        <v>0</v>
      </c>
      <c r="BI527" s="150">
        <f>IF(U527="nulová",N527,0)</f>
        <v>0</v>
      </c>
      <c r="BJ527" s="21" t="s">
        <v>21</v>
      </c>
      <c r="BK527" s="150">
        <f>ROUND(L527*K527,2)</f>
        <v>0</v>
      </c>
      <c r="BL527" s="21" t="s">
        <v>172</v>
      </c>
      <c r="BM527" s="21" t="s">
        <v>1579</v>
      </c>
    </row>
    <row r="528" spans="2:65" s="1" customFormat="1" ht="22.5" customHeight="1">
      <c r="B528" s="141"/>
      <c r="C528" s="201" t="s">
        <v>888</v>
      </c>
      <c r="D528" s="201" t="s">
        <v>168</v>
      </c>
      <c r="E528" s="202" t="s">
        <v>1580</v>
      </c>
      <c r="F528" s="317" t="s">
        <v>1581</v>
      </c>
      <c r="G528" s="317"/>
      <c r="H528" s="317"/>
      <c r="I528" s="317"/>
      <c r="J528" s="203" t="s">
        <v>259</v>
      </c>
      <c r="K528" s="204">
        <v>284</v>
      </c>
      <c r="L528" s="318"/>
      <c r="M528" s="318"/>
      <c r="N528" s="318">
        <f>ROUND(L528*K528,2)</f>
        <v>0</v>
      </c>
      <c r="O528" s="318"/>
      <c r="P528" s="318"/>
      <c r="Q528" s="318"/>
      <c r="R528" s="205"/>
      <c r="T528" s="147" t="s">
        <v>5</v>
      </c>
      <c r="U528" s="44" t="s">
        <v>43</v>
      </c>
      <c r="V528" s="148">
        <v>0.223</v>
      </c>
      <c r="W528" s="148">
        <f>V528*K528</f>
        <v>63.332</v>
      </c>
      <c r="X528" s="148">
        <v>0.00169</v>
      </c>
      <c r="Y528" s="148">
        <f>X528*K528</f>
        <v>0.47996000000000005</v>
      </c>
      <c r="Z528" s="148">
        <v>0</v>
      </c>
      <c r="AA528" s="149">
        <f>Z528*K528</f>
        <v>0</v>
      </c>
      <c r="AR528" s="21" t="s">
        <v>281</v>
      </c>
      <c r="AT528" s="21" t="s">
        <v>168</v>
      </c>
      <c r="AU528" s="21" t="s">
        <v>135</v>
      </c>
      <c r="AY528" s="21" t="s">
        <v>167</v>
      </c>
      <c r="BE528" s="150">
        <f>IF(U528="základní",N528,0)</f>
        <v>0</v>
      </c>
      <c r="BF528" s="150">
        <f>IF(U528="snížená",N528,0)</f>
        <v>0</v>
      </c>
      <c r="BG528" s="150">
        <f>IF(U528="zákl. přenesená",N528,0)</f>
        <v>0</v>
      </c>
      <c r="BH528" s="150">
        <f>IF(U528="sníž. přenesená",N528,0)</f>
        <v>0</v>
      </c>
      <c r="BI528" s="150">
        <f>IF(U528="nulová",N528,0)</f>
        <v>0</v>
      </c>
      <c r="BJ528" s="21" t="s">
        <v>21</v>
      </c>
      <c r="BK528" s="150">
        <f>ROUND(L528*K528,2)</f>
        <v>0</v>
      </c>
      <c r="BL528" s="21" t="s">
        <v>281</v>
      </c>
      <c r="BM528" s="21" t="s">
        <v>1582</v>
      </c>
    </row>
    <row r="529" spans="2:65" s="1" customFormat="1" ht="22.5" customHeight="1">
      <c r="B529" s="141"/>
      <c r="C529" s="201" t="s">
        <v>892</v>
      </c>
      <c r="D529" s="201" t="s">
        <v>168</v>
      </c>
      <c r="E529" s="202" t="s">
        <v>1583</v>
      </c>
      <c r="F529" s="317" t="s">
        <v>1584</v>
      </c>
      <c r="G529" s="317"/>
      <c r="H529" s="317"/>
      <c r="I529" s="317"/>
      <c r="J529" s="203" t="s">
        <v>259</v>
      </c>
      <c r="K529" s="204">
        <v>284</v>
      </c>
      <c r="L529" s="318"/>
      <c r="M529" s="318"/>
      <c r="N529" s="318">
        <f>ROUND(L529*K529,2)</f>
        <v>0</v>
      </c>
      <c r="O529" s="318"/>
      <c r="P529" s="318"/>
      <c r="Q529" s="318"/>
      <c r="R529" s="205"/>
      <c r="T529" s="147" t="s">
        <v>5</v>
      </c>
      <c r="U529" s="44" t="s">
        <v>43</v>
      </c>
      <c r="V529" s="148">
        <v>0.223</v>
      </c>
      <c r="W529" s="148">
        <f>V529*K529</f>
        <v>63.332</v>
      </c>
      <c r="X529" s="148">
        <v>0.00169</v>
      </c>
      <c r="Y529" s="148">
        <f>X529*K529</f>
        <v>0.47996000000000005</v>
      </c>
      <c r="Z529" s="148">
        <v>0</v>
      </c>
      <c r="AA529" s="149">
        <f>Z529*K529</f>
        <v>0</v>
      </c>
      <c r="AR529" s="21" t="s">
        <v>281</v>
      </c>
      <c r="AT529" s="21" t="s">
        <v>168</v>
      </c>
      <c r="AU529" s="21" t="s">
        <v>135</v>
      </c>
      <c r="AY529" s="21" t="s">
        <v>167</v>
      </c>
      <c r="BE529" s="150">
        <f>IF(U529="základní",N529,0)</f>
        <v>0</v>
      </c>
      <c r="BF529" s="150">
        <f>IF(U529="snížená",N529,0)</f>
        <v>0</v>
      </c>
      <c r="BG529" s="150">
        <f>IF(U529="zákl. přenesená",N529,0)</f>
        <v>0</v>
      </c>
      <c r="BH529" s="150">
        <f>IF(U529="sníž. přenesená",N529,0)</f>
        <v>0</v>
      </c>
      <c r="BI529" s="150">
        <f>IF(U529="nulová",N529,0)</f>
        <v>0</v>
      </c>
      <c r="BJ529" s="21" t="s">
        <v>21</v>
      </c>
      <c r="BK529" s="150">
        <f>ROUND(L529*K529,2)</f>
        <v>0</v>
      </c>
      <c r="BL529" s="21" t="s">
        <v>281</v>
      </c>
      <c r="BM529" s="21" t="s">
        <v>1585</v>
      </c>
    </row>
    <row r="530" spans="2:65" s="1" customFormat="1" ht="22.5" customHeight="1">
      <c r="B530" s="141"/>
      <c r="C530" s="201" t="s">
        <v>898</v>
      </c>
      <c r="D530" s="201" t="s">
        <v>168</v>
      </c>
      <c r="E530" s="202" t="s">
        <v>1586</v>
      </c>
      <c r="F530" s="317" t="s">
        <v>1587</v>
      </c>
      <c r="G530" s="317"/>
      <c r="H530" s="317"/>
      <c r="I530" s="317"/>
      <c r="J530" s="203" t="s">
        <v>578</v>
      </c>
      <c r="K530" s="204">
        <f>+K537</f>
        <v>52</v>
      </c>
      <c r="L530" s="318"/>
      <c r="M530" s="318"/>
      <c r="N530" s="318">
        <f>ROUND(L530*K530,2)</f>
        <v>0</v>
      </c>
      <c r="O530" s="318"/>
      <c r="P530" s="318"/>
      <c r="Q530" s="318"/>
      <c r="R530" s="205"/>
      <c r="T530" s="147" t="s">
        <v>5</v>
      </c>
      <c r="U530" s="44" t="s">
        <v>43</v>
      </c>
      <c r="V530" s="148">
        <v>1.562</v>
      </c>
      <c r="W530" s="148">
        <f>V530*K530</f>
        <v>81.224</v>
      </c>
      <c r="X530" s="148">
        <v>0.00918</v>
      </c>
      <c r="Y530" s="148">
        <f>X530*K530</f>
        <v>0.47736</v>
      </c>
      <c r="Z530" s="148">
        <v>0</v>
      </c>
      <c r="AA530" s="149">
        <f>Z530*K530</f>
        <v>0</v>
      </c>
      <c r="AR530" s="21" t="s">
        <v>172</v>
      </c>
      <c r="AT530" s="21" t="s">
        <v>168</v>
      </c>
      <c r="AU530" s="21" t="s">
        <v>135</v>
      </c>
      <c r="AY530" s="21" t="s">
        <v>167</v>
      </c>
      <c r="BE530" s="150">
        <f>IF(U530="základní",N530,0)</f>
        <v>0</v>
      </c>
      <c r="BF530" s="150">
        <f>IF(U530="snížená",N530,0)</f>
        <v>0</v>
      </c>
      <c r="BG530" s="150">
        <f>IF(U530="zákl. přenesená",N530,0)</f>
        <v>0</v>
      </c>
      <c r="BH530" s="150">
        <f>IF(U530="sníž. přenesená",N530,0)</f>
        <v>0</v>
      </c>
      <c r="BI530" s="150">
        <f>IF(U530="nulová",N530,0)</f>
        <v>0</v>
      </c>
      <c r="BJ530" s="21" t="s">
        <v>21</v>
      </c>
      <c r="BK530" s="150">
        <f>ROUND(L530*K530,2)</f>
        <v>0</v>
      </c>
      <c r="BL530" s="21" t="s">
        <v>172</v>
      </c>
      <c r="BM530" s="21" t="s">
        <v>1588</v>
      </c>
    </row>
    <row r="531" spans="2:51" s="11" customFormat="1" ht="22.5" customHeight="1">
      <c r="B531" s="159"/>
      <c r="C531" s="210"/>
      <c r="D531" s="210"/>
      <c r="E531" s="211" t="s">
        <v>5</v>
      </c>
      <c r="F531" s="329" t="s">
        <v>1777</v>
      </c>
      <c r="G531" s="330"/>
      <c r="H531" s="330"/>
      <c r="I531" s="330"/>
      <c r="J531" s="210"/>
      <c r="K531" s="212">
        <v>19</v>
      </c>
      <c r="L531" s="210"/>
      <c r="M531" s="210"/>
      <c r="N531" s="210"/>
      <c r="O531" s="210"/>
      <c r="P531" s="210"/>
      <c r="Q531" s="210"/>
      <c r="R531" s="213"/>
      <c r="T531" s="164"/>
      <c r="U531" s="160"/>
      <c r="V531" s="160"/>
      <c r="W531" s="160"/>
      <c r="X531" s="160"/>
      <c r="Y531" s="160"/>
      <c r="Z531" s="160"/>
      <c r="AA531" s="165"/>
      <c r="AT531" s="166" t="s">
        <v>179</v>
      </c>
      <c r="AU531" s="166" t="s">
        <v>135</v>
      </c>
      <c r="AV531" s="11" t="s">
        <v>135</v>
      </c>
      <c r="AW531" s="11" t="s">
        <v>35</v>
      </c>
      <c r="AX531" s="11" t="s">
        <v>78</v>
      </c>
      <c r="AY531" s="166" t="s">
        <v>167</v>
      </c>
    </row>
    <row r="532" spans="2:51" s="11" customFormat="1" ht="22.5" customHeight="1">
      <c r="B532" s="159"/>
      <c r="C532" s="210"/>
      <c r="D532" s="210"/>
      <c r="E532" s="211" t="s">
        <v>5</v>
      </c>
      <c r="F532" s="321" t="s">
        <v>1778</v>
      </c>
      <c r="G532" s="322"/>
      <c r="H532" s="322"/>
      <c r="I532" s="322"/>
      <c r="J532" s="210"/>
      <c r="K532" s="212">
        <v>3</v>
      </c>
      <c r="L532" s="210"/>
      <c r="M532" s="210"/>
      <c r="N532" s="210"/>
      <c r="O532" s="210"/>
      <c r="P532" s="210"/>
      <c r="Q532" s="210"/>
      <c r="R532" s="213"/>
      <c r="T532" s="164"/>
      <c r="U532" s="160"/>
      <c r="V532" s="160"/>
      <c r="W532" s="160"/>
      <c r="X532" s="160"/>
      <c r="Y532" s="160"/>
      <c r="Z532" s="160"/>
      <c r="AA532" s="165"/>
      <c r="AT532" s="166" t="s">
        <v>179</v>
      </c>
      <c r="AU532" s="166" t="s">
        <v>135</v>
      </c>
      <c r="AV532" s="11" t="s">
        <v>135</v>
      </c>
      <c r="AW532" s="11" t="s">
        <v>35</v>
      </c>
      <c r="AX532" s="11" t="s">
        <v>78</v>
      </c>
      <c r="AY532" s="166" t="s">
        <v>167</v>
      </c>
    </row>
    <row r="533" spans="2:51" s="11" customFormat="1" ht="22.5" customHeight="1">
      <c r="B533" s="159"/>
      <c r="C533" s="210"/>
      <c r="D533" s="210"/>
      <c r="E533" s="211" t="s">
        <v>5</v>
      </c>
      <c r="F533" s="321" t="s">
        <v>1779</v>
      </c>
      <c r="G533" s="322"/>
      <c r="H533" s="322"/>
      <c r="I533" s="322"/>
      <c r="J533" s="210"/>
      <c r="K533" s="212">
        <v>22</v>
      </c>
      <c r="L533" s="210"/>
      <c r="M533" s="210"/>
      <c r="N533" s="210"/>
      <c r="O533" s="210"/>
      <c r="P533" s="210"/>
      <c r="Q533" s="210"/>
      <c r="R533" s="213"/>
      <c r="T533" s="164"/>
      <c r="U533" s="160"/>
      <c r="V533" s="160"/>
      <c r="W533" s="160"/>
      <c r="X533" s="160"/>
      <c r="Y533" s="160"/>
      <c r="Z533" s="160"/>
      <c r="AA533" s="165"/>
      <c r="AT533" s="166" t="s">
        <v>179</v>
      </c>
      <c r="AU533" s="166" t="s">
        <v>135</v>
      </c>
      <c r="AV533" s="11" t="s">
        <v>135</v>
      </c>
      <c r="AW533" s="11" t="s">
        <v>35</v>
      </c>
      <c r="AX533" s="11" t="s">
        <v>78</v>
      </c>
      <c r="AY533" s="166" t="s">
        <v>167</v>
      </c>
    </row>
    <row r="534" spans="2:51" s="11" customFormat="1" ht="22.5" customHeight="1">
      <c r="B534" s="159"/>
      <c r="C534" s="210"/>
      <c r="D534" s="210"/>
      <c r="E534" s="211" t="s">
        <v>5</v>
      </c>
      <c r="F534" s="321" t="s">
        <v>1780</v>
      </c>
      <c r="G534" s="322"/>
      <c r="H534" s="322"/>
      <c r="I534" s="322"/>
      <c r="J534" s="210"/>
      <c r="K534" s="212">
        <v>7</v>
      </c>
      <c r="L534" s="210"/>
      <c r="M534" s="210"/>
      <c r="N534" s="210"/>
      <c r="O534" s="210"/>
      <c r="P534" s="210"/>
      <c r="Q534" s="210"/>
      <c r="R534" s="213"/>
      <c r="T534" s="164"/>
      <c r="U534" s="160"/>
      <c r="V534" s="160"/>
      <c r="W534" s="160"/>
      <c r="X534" s="160"/>
      <c r="Y534" s="160"/>
      <c r="Z534" s="160"/>
      <c r="AA534" s="165"/>
      <c r="AT534" s="166" t="s">
        <v>179</v>
      </c>
      <c r="AU534" s="166" t="s">
        <v>135</v>
      </c>
      <c r="AV534" s="11" t="s">
        <v>135</v>
      </c>
      <c r="AW534" s="11" t="s">
        <v>35</v>
      </c>
      <c r="AX534" s="11" t="s">
        <v>78</v>
      </c>
      <c r="AY534" s="166" t="s">
        <v>167</v>
      </c>
    </row>
    <row r="535" spans="2:51" s="11" customFormat="1" ht="22.5" customHeight="1">
      <c r="B535" s="159"/>
      <c r="C535" s="210"/>
      <c r="D535" s="210"/>
      <c r="E535" s="211" t="s">
        <v>5</v>
      </c>
      <c r="F535" s="321" t="s">
        <v>2171</v>
      </c>
      <c r="G535" s="322"/>
      <c r="H535" s="322"/>
      <c r="I535" s="322"/>
      <c r="J535" s="210"/>
      <c r="K535" s="212">
        <v>0</v>
      </c>
      <c r="L535" s="210"/>
      <c r="M535" s="210"/>
      <c r="N535" s="210"/>
      <c r="O535" s="210"/>
      <c r="P535" s="210"/>
      <c r="Q535" s="210"/>
      <c r="R535" s="213"/>
      <c r="T535" s="164"/>
      <c r="U535" s="160"/>
      <c r="V535" s="160"/>
      <c r="W535" s="160"/>
      <c r="X535" s="160"/>
      <c r="Y535" s="160"/>
      <c r="Z535" s="160"/>
      <c r="AA535" s="165"/>
      <c r="AT535" s="166" t="s">
        <v>179</v>
      </c>
      <c r="AU535" s="166" t="s">
        <v>135</v>
      </c>
      <c r="AV535" s="11" t="s">
        <v>135</v>
      </c>
      <c r="AW535" s="11" t="s">
        <v>35</v>
      </c>
      <c r="AX535" s="11" t="s">
        <v>78</v>
      </c>
      <c r="AY535" s="166" t="s">
        <v>167</v>
      </c>
    </row>
    <row r="536" spans="2:51" s="11" customFormat="1" ht="22.5" customHeight="1">
      <c r="B536" s="159"/>
      <c r="C536" s="210"/>
      <c r="D536" s="210"/>
      <c r="E536" s="211" t="s">
        <v>5</v>
      </c>
      <c r="F536" s="321" t="s">
        <v>1782</v>
      </c>
      <c r="G536" s="322"/>
      <c r="H536" s="322"/>
      <c r="I536" s="322"/>
      <c r="J536" s="210"/>
      <c r="K536" s="212">
        <v>1</v>
      </c>
      <c r="L536" s="210"/>
      <c r="M536" s="210"/>
      <c r="N536" s="210"/>
      <c r="O536" s="210"/>
      <c r="P536" s="210"/>
      <c r="Q536" s="210"/>
      <c r="R536" s="213"/>
      <c r="T536" s="164"/>
      <c r="U536" s="160"/>
      <c r="V536" s="160"/>
      <c r="W536" s="160"/>
      <c r="X536" s="160"/>
      <c r="Y536" s="160"/>
      <c r="Z536" s="160"/>
      <c r="AA536" s="165"/>
      <c r="AT536" s="166" t="s">
        <v>179</v>
      </c>
      <c r="AU536" s="166" t="s">
        <v>135</v>
      </c>
      <c r="AV536" s="11" t="s">
        <v>135</v>
      </c>
      <c r="AW536" s="11" t="s">
        <v>35</v>
      </c>
      <c r="AX536" s="11" t="s">
        <v>78</v>
      </c>
      <c r="AY536" s="166" t="s">
        <v>167</v>
      </c>
    </row>
    <row r="537" spans="2:51" s="12" customFormat="1" ht="22.5" customHeight="1">
      <c r="B537" s="167"/>
      <c r="C537" s="218"/>
      <c r="D537" s="218"/>
      <c r="E537" s="219" t="s">
        <v>5</v>
      </c>
      <c r="F537" s="327" t="s">
        <v>183</v>
      </c>
      <c r="G537" s="328"/>
      <c r="H537" s="328"/>
      <c r="I537" s="328"/>
      <c r="J537" s="218"/>
      <c r="K537" s="220">
        <f>SUM(K531:K536)</f>
        <v>52</v>
      </c>
      <c r="L537" s="218"/>
      <c r="M537" s="218"/>
      <c r="N537" s="218"/>
      <c r="O537" s="218"/>
      <c r="P537" s="218"/>
      <c r="Q537" s="218"/>
      <c r="R537" s="221"/>
      <c r="T537" s="172"/>
      <c r="U537" s="168"/>
      <c r="V537" s="168"/>
      <c r="W537" s="168"/>
      <c r="X537" s="168"/>
      <c r="Y537" s="168"/>
      <c r="Z537" s="168"/>
      <c r="AA537" s="173"/>
      <c r="AT537" s="174" t="s">
        <v>179</v>
      </c>
      <c r="AU537" s="174" t="s">
        <v>135</v>
      </c>
      <c r="AV537" s="12" t="s">
        <v>172</v>
      </c>
      <c r="AW537" s="12" t="s">
        <v>35</v>
      </c>
      <c r="AX537" s="12" t="s">
        <v>21</v>
      </c>
      <c r="AY537" s="174" t="s">
        <v>167</v>
      </c>
    </row>
    <row r="538" spans="2:65" s="1" customFormat="1" ht="31.5" customHeight="1">
      <c r="B538" s="141"/>
      <c r="C538" s="225" t="s">
        <v>902</v>
      </c>
      <c r="D538" s="225" t="s">
        <v>317</v>
      </c>
      <c r="E538" s="226" t="s">
        <v>1589</v>
      </c>
      <c r="F538" s="331" t="s">
        <v>1590</v>
      </c>
      <c r="G538" s="331"/>
      <c r="H538" s="331"/>
      <c r="I538" s="331"/>
      <c r="J538" s="227" t="s">
        <v>578</v>
      </c>
      <c r="K538" s="228">
        <f>+K539</f>
        <v>47</v>
      </c>
      <c r="L538" s="332"/>
      <c r="M538" s="332"/>
      <c r="N538" s="332">
        <f>ROUND(L538*K538,2)</f>
        <v>0</v>
      </c>
      <c r="O538" s="318"/>
      <c r="P538" s="318"/>
      <c r="Q538" s="318"/>
      <c r="R538" s="205"/>
      <c r="T538" s="147" t="s">
        <v>5</v>
      </c>
      <c r="U538" s="44" t="s">
        <v>43</v>
      </c>
      <c r="V538" s="148">
        <v>0</v>
      </c>
      <c r="W538" s="148">
        <f>V538*K538</f>
        <v>0</v>
      </c>
      <c r="X538" s="148">
        <v>0.196</v>
      </c>
      <c r="Y538" s="148">
        <f>X538*K538</f>
        <v>9.212</v>
      </c>
      <c r="Z538" s="148">
        <v>0</v>
      </c>
      <c r="AA538" s="149">
        <f>Z538*K538</f>
        <v>0</v>
      </c>
      <c r="AR538" s="21" t="s">
        <v>213</v>
      </c>
      <c r="AT538" s="21" t="s">
        <v>317</v>
      </c>
      <c r="AU538" s="21" t="s">
        <v>135</v>
      </c>
      <c r="AY538" s="21" t="s">
        <v>167</v>
      </c>
      <c r="BE538" s="150">
        <f>IF(U538="základní",N538,0)</f>
        <v>0</v>
      </c>
      <c r="BF538" s="150">
        <f>IF(U538="snížená",N538,0)</f>
        <v>0</v>
      </c>
      <c r="BG538" s="150">
        <f>IF(U538="zákl. přenesená",N538,0)</f>
        <v>0</v>
      </c>
      <c r="BH538" s="150">
        <f>IF(U538="sníž. přenesená",N538,0)</f>
        <v>0</v>
      </c>
      <c r="BI538" s="150">
        <f>IF(U538="nulová",N538,0)</f>
        <v>0</v>
      </c>
      <c r="BJ538" s="21" t="s">
        <v>21</v>
      </c>
      <c r="BK538" s="150">
        <f>ROUND(L538*K538,2)</f>
        <v>0</v>
      </c>
      <c r="BL538" s="21" t="s">
        <v>172</v>
      </c>
      <c r="BM538" s="21" t="s">
        <v>1591</v>
      </c>
    </row>
    <row r="539" spans="2:51" s="11" customFormat="1" ht="22.5" customHeight="1">
      <c r="B539" s="159"/>
      <c r="C539" s="210"/>
      <c r="D539" s="210"/>
      <c r="E539" s="211" t="s">
        <v>5</v>
      </c>
      <c r="F539" s="329" t="s">
        <v>2197</v>
      </c>
      <c r="G539" s="330"/>
      <c r="H539" s="330"/>
      <c r="I539" s="330"/>
      <c r="J539" s="210"/>
      <c r="K539" s="212">
        <v>47</v>
      </c>
      <c r="L539" s="210"/>
      <c r="M539" s="210"/>
      <c r="N539" s="210"/>
      <c r="O539" s="210"/>
      <c r="P539" s="210"/>
      <c r="Q539" s="210"/>
      <c r="R539" s="213"/>
      <c r="T539" s="164"/>
      <c r="U539" s="160"/>
      <c r="V539" s="160"/>
      <c r="W539" s="160"/>
      <c r="X539" s="160"/>
      <c r="Y539" s="160"/>
      <c r="Z539" s="160"/>
      <c r="AA539" s="165"/>
      <c r="AT539" s="166" t="s">
        <v>179</v>
      </c>
      <c r="AU539" s="166" t="s">
        <v>135</v>
      </c>
      <c r="AV539" s="11" t="s">
        <v>135</v>
      </c>
      <c r="AW539" s="11" t="s">
        <v>35</v>
      </c>
      <c r="AX539" s="11" t="s">
        <v>21</v>
      </c>
      <c r="AY539" s="166" t="s">
        <v>167</v>
      </c>
    </row>
    <row r="540" spans="2:65" s="1" customFormat="1" ht="31.5" customHeight="1">
      <c r="B540" s="141"/>
      <c r="C540" s="225" t="s">
        <v>907</v>
      </c>
      <c r="D540" s="225" t="s">
        <v>317</v>
      </c>
      <c r="E540" s="226" t="s">
        <v>1889</v>
      </c>
      <c r="F540" s="331" t="s">
        <v>1890</v>
      </c>
      <c r="G540" s="331"/>
      <c r="H540" s="331"/>
      <c r="I540" s="331"/>
      <c r="J540" s="227" t="s">
        <v>578</v>
      </c>
      <c r="K540" s="228">
        <v>5</v>
      </c>
      <c r="L540" s="332"/>
      <c r="M540" s="332"/>
      <c r="N540" s="332">
        <f>ROUND(L540*K540,2)</f>
        <v>0</v>
      </c>
      <c r="O540" s="318"/>
      <c r="P540" s="318"/>
      <c r="Q540" s="318"/>
      <c r="R540" s="205"/>
      <c r="T540" s="147" t="s">
        <v>5</v>
      </c>
      <c r="U540" s="44" t="s">
        <v>43</v>
      </c>
      <c r="V540" s="148">
        <v>0</v>
      </c>
      <c r="W540" s="148">
        <f>V540*K540</f>
        <v>0</v>
      </c>
      <c r="X540" s="148">
        <v>0.196</v>
      </c>
      <c r="Y540" s="148">
        <f>X540*K540</f>
        <v>0.98</v>
      </c>
      <c r="Z540" s="148">
        <v>0</v>
      </c>
      <c r="AA540" s="149">
        <f>Z540*K540</f>
        <v>0</v>
      </c>
      <c r="AR540" s="21" t="s">
        <v>213</v>
      </c>
      <c r="AT540" s="21" t="s">
        <v>317</v>
      </c>
      <c r="AU540" s="21" t="s">
        <v>135</v>
      </c>
      <c r="AY540" s="21" t="s">
        <v>167</v>
      </c>
      <c r="BE540" s="150">
        <f>IF(U540="základní",N540,0)</f>
        <v>0</v>
      </c>
      <c r="BF540" s="150">
        <f>IF(U540="snížená",N540,0)</f>
        <v>0</v>
      </c>
      <c r="BG540" s="150">
        <f>IF(U540="zákl. přenesená",N540,0)</f>
        <v>0</v>
      </c>
      <c r="BH540" s="150">
        <f>IF(U540="sníž. přenesená",N540,0)</f>
        <v>0</v>
      </c>
      <c r="BI540" s="150">
        <f>IF(U540="nulová",N540,0)</f>
        <v>0</v>
      </c>
      <c r="BJ540" s="21" t="s">
        <v>21</v>
      </c>
      <c r="BK540" s="150">
        <f>ROUND(L540*K540,2)</f>
        <v>0</v>
      </c>
      <c r="BL540" s="21" t="s">
        <v>172</v>
      </c>
      <c r="BM540" s="21" t="s">
        <v>1891</v>
      </c>
    </row>
    <row r="541" spans="2:51" s="11" customFormat="1" ht="22.5" customHeight="1">
      <c r="B541" s="159"/>
      <c r="C541" s="210"/>
      <c r="D541" s="210"/>
      <c r="E541" s="211" t="s">
        <v>5</v>
      </c>
      <c r="F541" s="329" t="s">
        <v>2198</v>
      </c>
      <c r="G541" s="330"/>
      <c r="H541" s="330"/>
      <c r="I541" s="330"/>
      <c r="J541" s="210"/>
      <c r="K541" s="212">
        <v>5</v>
      </c>
      <c r="L541" s="210"/>
      <c r="M541" s="210"/>
      <c r="N541" s="210"/>
      <c r="O541" s="210"/>
      <c r="P541" s="210"/>
      <c r="Q541" s="210"/>
      <c r="R541" s="213"/>
      <c r="T541" s="164"/>
      <c r="U541" s="160"/>
      <c r="V541" s="160"/>
      <c r="W541" s="160"/>
      <c r="X541" s="160"/>
      <c r="Y541" s="160"/>
      <c r="Z541" s="160"/>
      <c r="AA541" s="165"/>
      <c r="AT541" s="166" t="s">
        <v>179</v>
      </c>
      <c r="AU541" s="166" t="s">
        <v>135</v>
      </c>
      <c r="AV541" s="11" t="s">
        <v>135</v>
      </c>
      <c r="AW541" s="11" t="s">
        <v>35</v>
      </c>
      <c r="AX541" s="11" t="s">
        <v>21</v>
      </c>
      <c r="AY541" s="166" t="s">
        <v>167</v>
      </c>
    </row>
    <row r="542" spans="2:65" s="1" customFormat="1" ht="31.5" customHeight="1">
      <c r="B542" s="141"/>
      <c r="C542" s="201" t="s">
        <v>912</v>
      </c>
      <c r="D542" s="201" t="s">
        <v>168</v>
      </c>
      <c r="E542" s="202" t="s">
        <v>1592</v>
      </c>
      <c r="F542" s="317" t="s">
        <v>1593</v>
      </c>
      <c r="G542" s="317"/>
      <c r="H542" s="317"/>
      <c r="I542" s="317"/>
      <c r="J542" s="203" t="s">
        <v>578</v>
      </c>
      <c r="K542" s="204">
        <f>+K549</f>
        <v>50</v>
      </c>
      <c r="L542" s="318"/>
      <c r="M542" s="318"/>
      <c r="N542" s="318">
        <f>ROUND(L542*K542,2)</f>
        <v>0</v>
      </c>
      <c r="O542" s="318"/>
      <c r="P542" s="318"/>
      <c r="Q542" s="318"/>
      <c r="R542" s="205"/>
      <c r="T542" s="147" t="s">
        <v>5</v>
      </c>
      <c r="U542" s="44" t="s">
        <v>43</v>
      </c>
      <c r="V542" s="148">
        <v>25.283</v>
      </c>
      <c r="W542" s="148">
        <f>V542*K542</f>
        <v>1264.15</v>
      </c>
      <c r="X542" s="148">
        <v>2.72625</v>
      </c>
      <c r="Y542" s="148">
        <f>X542*K542</f>
        <v>136.3125</v>
      </c>
      <c r="Z542" s="148">
        <v>0</v>
      </c>
      <c r="AA542" s="149">
        <f>Z542*K542</f>
        <v>0</v>
      </c>
      <c r="AR542" s="21" t="s">
        <v>172</v>
      </c>
      <c r="AT542" s="21" t="s">
        <v>168</v>
      </c>
      <c r="AU542" s="21" t="s">
        <v>135</v>
      </c>
      <c r="AY542" s="21" t="s">
        <v>167</v>
      </c>
      <c r="BE542" s="150">
        <f>IF(U542="základní",N542,0)</f>
        <v>0</v>
      </c>
      <c r="BF542" s="150">
        <f>IF(U542="snížená",N542,0)</f>
        <v>0</v>
      </c>
      <c r="BG542" s="150">
        <f>IF(U542="zákl. přenesená",N542,0)</f>
        <v>0</v>
      </c>
      <c r="BH542" s="150">
        <f>IF(U542="sníž. přenesená",N542,0)</f>
        <v>0</v>
      </c>
      <c r="BI542" s="150">
        <f>IF(U542="nulová",N542,0)</f>
        <v>0</v>
      </c>
      <c r="BJ542" s="21" t="s">
        <v>21</v>
      </c>
      <c r="BK542" s="150">
        <f>ROUND(L542*K542,2)</f>
        <v>0</v>
      </c>
      <c r="BL542" s="21" t="s">
        <v>172</v>
      </c>
      <c r="BM542" s="21" t="s">
        <v>1594</v>
      </c>
    </row>
    <row r="543" spans="2:51" s="11" customFormat="1" ht="22.5" customHeight="1">
      <c r="B543" s="159"/>
      <c r="C543" s="210"/>
      <c r="D543" s="210"/>
      <c r="E543" s="211" t="s">
        <v>5</v>
      </c>
      <c r="F543" s="329" t="s">
        <v>1892</v>
      </c>
      <c r="G543" s="330"/>
      <c r="H543" s="330"/>
      <c r="I543" s="330"/>
      <c r="J543" s="210"/>
      <c r="K543" s="212">
        <v>17</v>
      </c>
      <c r="L543" s="210"/>
      <c r="M543" s="210"/>
      <c r="N543" s="210"/>
      <c r="O543" s="210"/>
      <c r="P543" s="210"/>
      <c r="Q543" s="210"/>
      <c r="R543" s="213"/>
      <c r="T543" s="164"/>
      <c r="U543" s="160"/>
      <c r="V543" s="160"/>
      <c r="W543" s="160"/>
      <c r="X543" s="160"/>
      <c r="Y543" s="160"/>
      <c r="Z543" s="160"/>
      <c r="AA543" s="165"/>
      <c r="AT543" s="166" t="s">
        <v>179</v>
      </c>
      <c r="AU543" s="166" t="s">
        <v>135</v>
      </c>
      <c r="AV543" s="11" t="s">
        <v>135</v>
      </c>
      <c r="AW543" s="11" t="s">
        <v>35</v>
      </c>
      <c r="AX543" s="11" t="s">
        <v>78</v>
      </c>
      <c r="AY543" s="166" t="s">
        <v>167</v>
      </c>
    </row>
    <row r="544" spans="2:51" s="11" customFormat="1" ht="22.5" customHeight="1">
      <c r="B544" s="159"/>
      <c r="C544" s="210"/>
      <c r="D544" s="210"/>
      <c r="E544" s="211" t="s">
        <v>5</v>
      </c>
      <c r="F544" s="321" t="s">
        <v>1778</v>
      </c>
      <c r="G544" s="322"/>
      <c r="H544" s="322"/>
      <c r="I544" s="322"/>
      <c r="J544" s="210"/>
      <c r="K544" s="212">
        <v>3</v>
      </c>
      <c r="L544" s="210"/>
      <c r="M544" s="210"/>
      <c r="N544" s="210"/>
      <c r="O544" s="210"/>
      <c r="P544" s="210"/>
      <c r="Q544" s="210"/>
      <c r="R544" s="213"/>
      <c r="T544" s="164"/>
      <c r="U544" s="160"/>
      <c r="V544" s="160"/>
      <c r="W544" s="160"/>
      <c r="X544" s="160"/>
      <c r="Y544" s="160"/>
      <c r="Z544" s="160"/>
      <c r="AA544" s="165"/>
      <c r="AT544" s="166" t="s">
        <v>179</v>
      </c>
      <c r="AU544" s="166" t="s">
        <v>135</v>
      </c>
      <c r="AV544" s="11" t="s">
        <v>135</v>
      </c>
      <c r="AW544" s="11" t="s">
        <v>35</v>
      </c>
      <c r="AX544" s="11" t="s">
        <v>78</v>
      </c>
      <c r="AY544" s="166" t="s">
        <v>167</v>
      </c>
    </row>
    <row r="545" spans="2:51" s="11" customFormat="1" ht="22.5" customHeight="1">
      <c r="B545" s="159"/>
      <c r="C545" s="210"/>
      <c r="D545" s="210"/>
      <c r="E545" s="211" t="s">
        <v>5</v>
      </c>
      <c r="F545" s="321" t="s">
        <v>1779</v>
      </c>
      <c r="G545" s="322"/>
      <c r="H545" s="322"/>
      <c r="I545" s="322"/>
      <c r="J545" s="210"/>
      <c r="K545" s="212">
        <v>22</v>
      </c>
      <c r="L545" s="210"/>
      <c r="M545" s="210"/>
      <c r="N545" s="210"/>
      <c r="O545" s="210"/>
      <c r="P545" s="210"/>
      <c r="Q545" s="210"/>
      <c r="R545" s="213"/>
      <c r="T545" s="164"/>
      <c r="U545" s="160"/>
      <c r="V545" s="160"/>
      <c r="W545" s="160"/>
      <c r="X545" s="160"/>
      <c r="Y545" s="160"/>
      <c r="Z545" s="160"/>
      <c r="AA545" s="165"/>
      <c r="AT545" s="166" t="s">
        <v>179</v>
      </c>
      <c r="AU545" s="166" t="s">
        <v>135</v>
      </c>
      <c r="AV545" s="11" t="s">
        <v>135</v>
      </c>
      <c r="AW545" s="11" t="s">
        <v>35</v>
      </c>
      <c r="AX545" s="11" t="s">
        <v>78</v>
      </c>
      <c r="AY545" s="166" t="s">
        <v>167</v>
      </c>
    </row>
    <row r="546" spans="2:51" s="11" customFormat="1" ht="22.5" customHeight="1">
      <c r="B546" s="159"/>
      <c r="C546" s="210"/>
      <c r="D546" s="210"/>
      <c r="E546" s="211" t="s">
        <v>5</v>
      </c>
      <c r="F546" s="321" t="s">
        <v>1780</v>
      </c>
      <c r="G546" s="322"/>
      <c r="H546" s="322"/>
      <c r="I546" s="322"/>
      <c r="J546" s="210"/>
      <c r="K546" s="212">
        <v>7</v>
      </c>
      <c r="L546" s="210"/>
      <c r="M546" s="210"/>
      <c r="N546" s="210"/>
      <c r="O546" s="210"/>
      <c r="P546" s="210"/>
      <c r="Q546" s="210"/>
      <c r="R546" s="213"/>
      <c r="T546" s="164"/>
      <c r="U546" s="160"/>
      <c r="V546" s="160"/>
      <c r="W546" s="160"/>
      <c r="X546" s="160"/>
      <c r="Y546" s="160"/>
      <c r="Z546" s="160"/>
      <c r="AA546" s="165"/>
      <c r="AT546" s="166" t="s">
        <v>179</v>
      </c>
      <c r="AU546" s="166" t="s">
        <v>135</v>
      </c>
      <c r="AV546" s="11" t="s">
        <v>135</v>
      </c>
      <c r="AW546" s="11" t="s">
        <v>35</v>
      </c>
      <c r="AX546" s="11" t="s">
        <v>78</v>
      </c>
      <c r="AY546" s="166" t="s">
        <v>167</v>
      </c>
    </row>
    <row r="547" spans="2:51" s="11" customFormat="1" ht="22.5" customHeight="1">
      <c r="B547" s="159"/>
      <c r="C547" s="210"/>
      <c r="D547" s="210"/>
      <c r="E547" s="211" t="s">
        <v>5</v>
      </c>
      <c r="F547" s="321" t="s">
        <v>2171</v>
      </c>
      <c r="G547" s="322"/>
      <c r="H547" s="322"/>
      <c r="I547" s="322"/>
      <c r="J547" s="210"/>
      <c r="K547" s="212">
        <v>0</v>
      </c>
      <c r="L547" s="210"/>
      <c r="M547" s="210"/>
      <c r="N547" s="210"/>
      <c r="O547" s="210"/>
      <c r="P547" s="210"/>
      <c r="Q547" s="210"/>
      <c r="R547" s="213"/>
      <c r="T547" s="164"/>
      <c r="U547" s="160"/>
      <c r="V547" s="160"/>
      <c r="W547" s="160"/>
      <c r="X547" s="160"/>
      <c r="Y547" s="160"/>
      <c r="Z547" s="160"/>
      <c r="AA547" s="165"/>
      <c r="AT547" s="166" t="s">
        <v>179</v>
      </c>
      <c r="AU547" s="166" t="s">
        <v>135</v>
      </c>
      <c r="AV547" s="11" t="s">
        <v>135</v>
      </c>
      <c r="AW547" s="11" t="s">
        <v>35</v>
      </c>
      <c r="AX547" s="11" t="s">
        <v>78</v>
      </c>
      <c r="AY547" s="166" t="s">
        <v>167</v>
      </c>
    </row>
    <row r="548" spans="2:51" s="11" customFormat="1" ht="22.5" customHeight="1">
      <c r="B548" s="159"/>
      <c r="C548" s="210"/>
      <c r="D548" s="210"/>
      <c r="E548" s="211" t="s">
        <v>5</v>
      </c>
      <c r="F548" s="321" t="s">
        <v>1782</v>
      </c>
      <c r="G548" s="322"/>
      <c r="H548" s="322"/>
      <c r="I548" s="322"/>
      <c r="J548" s="210"/>
      <c r="K548" s="212">
        <v>1</v>
      </c>
      <c r="L548" s="210"/>
      <c r="M548" s="210"/>
      <c r="N548" s="210"/>
      <c r="O548" s="210"/>
      <c r="P548" s="210"/>
      <c r="Q548" s="210"/>
      <c r="R548" s="213"/>
      <c r="T548" s="164"/>
      <c r="U548" s="160"/>
      <c r="V548" s="160"/>
      <c r="W548" s="160"/>
      <c r="X548" s="160"/>
      <c r="Y548" s="160"/>
      <c r="Z548" s="160"/>
      <c r="AA548" s="165"/>
      <c r="AT548" s="166" t="s">
        <v>179</v>
      </c>
      <c r="AU548" s="166" t="s">
        <v>135</v>
      </c>
      <c r="AV548" s="11" t="s">
        <v>135</v>
      </c>
      <c r="AW548" s="11" t="s">
        <v>35</v>
      </c>
      <c r="AX548" s="11" t="s">
        <v>78</v>
      </c>
      <c r="AY548" s="166" t="s">
        <v>167</v>
      </c>
    </row>
    <row r="549" spans="2:51" s="12" customFormat="1" ht="22.5" customHeight="1">
      <c r="B549" s="167"/>
      <c r="C549" s="218"/>
      <c r="D549" s="218"/>
      <c r="E549" s="219" t="s">
        <v>5</v>
      </c>
      <c r="F549" s="327" t="s">
        <v>183</v>
      </c>
      <c r="G549" s="328"/>
      <c r="H549" s="328"/>
      <c r="I549" s="328"/>
      <c r="J549" s="218"/>
      <c r="K549" s="220">
        <f>SUM(K543:K548)</f>
        <v>50</v>
      </c>
      <c r="L549" s="218"/>
      <c r="M549" s="218"/>
      <c r="N549" s="218"/>
      <c r="O549" s="218"/>
      <c r="P549" s="218"/>
      <c r="Q549" s="218"/>
      <c r="R549" s="221"/>
      <c r="T549" s="172"/>
      <c r="U549" s="168"/>
      <c r="V549" s="168"/>
      <c r="W549" s="168"/>
      <c r="X549" s="168"/>
      <c r="Y549" s="168"/>
      <c r="Z549" s="168"/>
      <c r="AA549" s="173"/>
      <c r="AT549" s="174" t="s">
        <v>179</v>
      </c>
      <c r="AU549" s="174" t="s">
        <v>135</v>
      </c>
      <c r="AV549" s="12" t="s">
        <v>172</v>
      </c>
      <c r="AW549" s="12" t="s">
        <v>35</v>
      </c>
      <c r="AX549" s="12" t="s">
        <v>21</v>
      </c>
      <c r="AY549" s="174" t="s">
        <v>167</v>
      </c>
    </row>
    <row r="550" spans="2:65" s="1" customFormat="1" ht="22.5" customHeight="1">
      <c r="B550" s="141"/>
      <c r="C550" s="201" t="s">
        <v>916</v>
      </c>
      <c r="D550" s="201" t="s">
        <v>168</v>
      </c>
      <c r="E550" s="202" t="s">
        <v>1893</v>
      </c>
      <c r="F550" s="317" t="s">
        <v>1894</v>
      </c>
      <c r="G550" s="317"/>
      <c r="H550" s="317"/>
      <c r="I550" s="317"/>
      <c r="J550" s="203" t="s">
        <v>578</v>
      </c>
      <c r="K550" s="204">
        <v>2</v>
      </c>
      <c r="L550" s="318"/>
      <c r="M550" s="318"/>
      <c r="N550" s="318">
        <f>ROUND(L550*K550,2)</f>
        <v>0</v>
      </c>
      <c r="O550" s="318"/>
      <c r="P550" s="318"/>
      <c r="Q550" s="318"/>
      <c r="R550" s="205"/>
      <c r="T550" s="147" t="s">
        <v>5</v>
      </c>
      <c r="U550" s="44" t="s">
        <v>43</v>
      </c>
      <c r="V550" s="148">
        <v>25.283</v>
      </c>
      <c r="W550" s="148">
        <f>V550*K550</f>
        <v>50.566</v>
      </c>
      <c r="X550" s="148">
        <v>2.72625</v>
      </c>
      <c r="Y550" s="148">
        <f>X550*K550</f>
        <v>5.4525</v>
      </c>
      <c r="Z550" s="148">
        <v>0</v>
      </c>
      <c r="AA550" s="149">
        <f>Z550*K550</f>
        <v>0</v>
      </c>
      <c r="AR550" s="21" t="s">
        <v>172</v>
      </c>
      <c r="AT550" s="21" t="s">
        <v>168</v>
      </c>
      <c r="AU550" s="21" t="s">
        <v>135</v>
      </c>
      <c r="AY550" s="21" t="s">
        <v>167</v>
      </c>
      <c r="BE550" s="150">
        <f>IF(U550="základní",N550,0)</f>
        <v>0</v>
      </c>
      <c r="BF550" s="150">
        <f>IF(U550="snížená",N550,0)</f>
        <v>0</v>
      </c>
      <c r="BG550" s="150">
        <f>IF(U550="zákl. přenesená",N550,0)</f>
        <v>0</v>
      </c>
      <c r="BH550" s="150">
        <f>IF(U550="sníž. přenesená",N550,0)</f>
        <v>0</v>
      </c>
      <c r="BI550" s="150">
        <f>IF(U550="nulová",N550,0)</f>
        <v>0</v>
      </c>
      <c r="BJ550" s="21" t="s">
        <v>21</v>
      </c>
      <c r="BK550" s="150">
        <f>ROUND(L550*K550,2)</f>
        <v>0</v>
      </c>
      <c r="BL550" s="21" t="s">
        <v>172</v>
      </c>
      <c r="BM550" s="21" t="s">
        <v>1895</v>
      </c>
    </row>
    <row r="551" spans="2:51" s="11" customFormat="1" ht="22.5" customHeight="1">
      <c r="B551" s="159"/>
      <c r="C551" s="210"/>
      <c r="D551" s="210"/>
      <c r="E551" s="211" t="s">
        <v>5</v>
      </c>
      <c r="F551" s="329" t="s">
        <v>1896</v>
      </c>
      <c r="G551" s="330"/>
      <c r="H551" s="330"/>
      <c r="I551" s="330"/>
      <c r="J551" s="210"/>
      <c r="K551" s="212">
        <v>2</v>
      </c>
      <c r="L551" s="210"/>
      <c r="M551" s="210"/>
      <c r="N551" s="210"/>
      <c r="O551" s="210"/>
      <c r="P551" s="210"/>
      <c r="Q551" s="210"/>
      <c r="R551" s="213"/>
      <c r="T551" s="164"/>
      <c r="U551" s="160"/>
      <c r="V551" s="160"/>
      <c r="W551" s="160"/>
      <c r="X551" s="160"/>
      <c r="Y551" s="160"/>
      <c r="Z551" s="160"/>
      <c r="AA551" s="165"/>
      <c r="AT551" s="166" t="s">
        <v>179</v>
      </c>
      <c r="AU551" s="166" t="s">
        <v>135</v>
      </c>
      <c r="AV551" s="11" t="s">
        <v>135</v>
      </c>
      <c r="AW551" s="11" t="s">
        <v>35</v>
      </c>
      <c r="AX551" s="11" t="s">
        <v>21</v>
      </c>
      <c r="AY551" s="166" t="s">
        <v>167</v>
      </c>
    </row>
    <row r="552" spans="2:65" s="1" customFormat="1" ht="22.5" customHeight="1">
      <c r="B552" s="141"/>
      <c r="C552" s="201" t="s">
        <v>920</v>
      </c>
      <c r="D552" s="201" t="s">
        <v>168</v>
      </c>
      <c r="E552" s="202" t="s">
        <v>1595</v>
      </c>
      <c r="F552" s="317" t="s">
        <v>1596</v>
      </c>
      <c r="G552" s="317"/>
      <c r="H552" s="317"/>
      <c r="I552" s="317"/>
      <c r="J552" s="203" t="s">
        <v>578</v>
      </c>
      <c r="K552" s="204">
        <v>42</v>
      </c>
      <c r="L552" s="318"/>
      <c r="M552" s="318"/>
      <c r="N552" s="318">
        <f>ROUND(L552*K552,2)</f>
        <v>0</v>
      </c>
      <c r="O552" s="318"/>
      <c r="P552" s="318"/>
      <c r="Q552" s="318"/>
      <c r="R552" s="205"/>
      <c r="T552" s="147" t="s">
        <v>5</v>
      </c>
      <c r="U552" s="44" t="s">
        <v>43</v>
      </c>
      <c r="V552" s="148">
        <v>25.283</v>
      </c>
      <c r="W552" s="148">
        <f>V552*K552</f>
        <v>1061.886</v>
      </c>
      <c r="X552" s="148">
        <v>2.72625</v>
      </c>
      <c r="Y552" s="148">
        <f>X552*K552</f>
        <v>114.5025</v>
      </c>
      <c r="Z552" s="148">
        <v>0</v>
      </c>
      <c r="AA552" s="149">
        <f>Z552*K552</f>
        <v>0</v>
      </c>
      <c r="AR552" s="21" t="s">
        <v>172</v>
      </c>
      <c r="AT552" s="21" t="s">
        <v>168</v>
      </c>
      <c r="AU552" s="21" t="s">
        <v>135</v>
      </c>
      <c r="AY552" s="21" t="s">
        <v>167</v>
      </c>
      <c r="BE552" s="150">
        <f>IF(U552="základní",N552,0)</f>
        <v>0</v>
      </c>
      <c r="BF552" s="150">
        <f>IF(U552="snížená",N552,0)</f>
        <v>0</v>
      </c>
      <c r="BG552" s="150">
        <f>IF(U552="zákl. přenesená",N552,0)</f>
        <v>0</v>
      </c>
      <c r="BH552" s="150">
        <f>IF(U552="sníž. přenesená",N552,0)</f>
        <v>0</v>
      </c>
      <c r="BI552" s="150">
        <f>IF(U552="nulová",N552,0)</f>
        <v>0</v>
      </c>
      <c r="BJ552" s="21" t="s">
        <v>21</v>
      </c>
      <c r="BK552" s="150">
        <f>ROUND(L552*K552,2)</f>
        <v>0</v>
      </c>
      <c r="BL552" s="21" t="s">
        <v>172</v>
      </c>
      <c r="BM552" s="21" t="s">
        <v>1597</v>
      </c>
    </row>
    <row r="553" spans="2:65" s="1" customFormat="1" ht="22.5" customHeight="1">
      <c r="B553" s="141"/>
      <c r="C553" s="201" t="s">
        <v>924</v>
      </c>
      <c r="D553" s="201" t="s">
        <v>168</v>
      </c>
      <c r="E553" s="202" t="s">
        <v>1598</v>
      </c>
      <c r="F553" s="317" t="s">
        <v>1599</v>
      </c>
      <c r="G553" s="317"/>
      <c r="H553" s="317"/>
      <c r="I553" s="317"/>
      <c r="J553" s="203" t="s">
        <v>578</v>
      </c>
      <c r="K553" s="204">
        <v>42</v>
      </c>
      <c r="L553" s="318"/>
      <c r="M553" s="318"/>
      <c r="N553" s="318">
        <f>ROUND(L553*K553,2)</f>
        <v>0</v>
      </c>
      <c r="O553" s="318"/>
      <c r="P553" s="318"/>
      <c r="Q553" s="318"/>
      <c r="R553" s="205"/>
      <c r="T553" s="147" t="s">
        <v>5</v>
      </c>
      <c r="U553" s="44" t="s">
        <v>43</v>
      </c>
      <c r="V553" s="148">
        <v>25.283</v>
      </c>
      <c r="W553" s="148">
        <f>V553*K553</f>
        <v>1061.886</v>
      </c>
      <c r="X553" s="148">
        <v>2.72625</v>
      </c>
      <c r="Y553" s="148">
        <f>X553*K553</f>
        <v>114.5025</v>
      </c>
      <c r="Z553" s="148">
        <v>0</v>
      </c>
      <c r="AA553" s="149">
        <f>Z553*K553</f>
        <v>0</v>
      </c>
      <c r="AR553" s="21" t="s">
        <v>172</v>
      </c>
      <c r="AT553" s="21" t="s">
        <v>168</v>
      </c>
      <c r="AU553" s="21" t="s">
        <v>135</v>
      </c>
      <c r="AY553" s="21" t="s">
        <v>167</v>
      </c>
      <c r="BE553" s="150">
        <f>IF(U553="základní",N553,0)</f>
        <v>0</v>
      </c>
      <c r="BF553" s="150">
        <f>IF(U553="snížená",N553,0)</f>
        <v>0</v>
      </c>
      <c r="BG553" s="150">
        <f>IF(U553="zákl. přenesená",N553,0)</f>
        <v>0</v>
      </c>
      <c r="BH553" s="150">
        <f>IF(U553="sníž. přenesená",N553,0)</f>
        <v>0</v>
      </c>
      <c r="BI553" s="150">
        <f>IF(U553="nulová",N553,0)</f>
        <v>0</v>
      </c>
      <c r="BJ553" s="21" t="s">
        <v>21</v>
      </c>
      <c r="BK553" s="150">
        <f>ROUND(L553*K553,2)</f>
        <v>0</v>
      </c>
      <c r="BL553" s="21" t="s">
        <v>172</v>
      </c>
      <c r="BM553" s="21" t="s">
        <v>1600</v>
      </c>
    </row>
    <row r="554" spans="2:65" s="1" customFormat="1" ht="22.5" customHeight="1">
      <c r="B554" s="141"/>
      <c r="C554" s="201" t="s">
        <v>261</v>
      </c>
      <c r="D554" s="201" t="s">
        <v>168</v>
      </c>
      <c r="E554" s="202" t="s">
        <v>1897</v>
      </c>
      <c r="F554" s="317" t="s">
        <v>1898</v>
      </c>
      <c r="G554" s="317"/>
      <c r="H554" s="317"/>
      <c r="I554" s="317"/>
      <c r="J554" s="203" t="s">
        <v>578</v>
      </c>
      <c r="K554" s="204">
        <v>3</v>
      </c>
      <c r="L554" s="318"/>
      <c r="M554" s="318"/>
      <c r="N554" s="318">
        <f>ROUND(L554*K554,2)</f>
        <v>0</v>
      </c>
      <c r="O554" s="318"/>
      <c r="P554" s="318"/>
      <c r="Q554" s="318"/>
      <c r="R554" s="205"/>
      <c r="T554" s="147" t="s">
        <v>5</v>
      </c>
      <c r="U554" s="44" t="s">
        <v>43</v>
      </c>
      <c r="V554" s="148">
        <v>25.283</v>
      </c>
      <c r="W554" s="148">
        <f>V554*K554</f>
        <v>75.849</v>
      </c>
      <c r="X554" s="148">
        <v>2.72625</v>
      </c>
      <c r="Y554" s="148">
        <f>X554*K554</f>
        <v>8.178749999999999</v>
      </c>
      <c r="Z554" s="148">
        <v>0</v>
      </c>
      <c r="AA554" s="149">
        <f>Z554*K554</f>
        <v>0</v>
      </c>
      <c r="AR554" s="21" t="s">
        <v>172</v>
      </c>
      <c r="AT554" s="21" t="s">
        <v>168</v>
      </c>
      <c r="AU554" s="21" t="s">
        <v>135</v>
      </c>
      <c r="AY554" s="21" t="s">
        <v>167</v>
      </c>
      <c r="BE554" s="150">
        <f>IF(U554="základní",N554,0)</f>
        <v>0</v>
      </c>
      <c r="BF554" s="150">
        <f>IF(U554="snížená",N554,0)</f>
        <v>0</v>
      </c>
      <c r="BG554" s="150">
        <f>IF(U554="zákl. přenesená",N554,0)</f>
        <v>0</v>
      </c>
      <c r="BH554" s="150">
        <f>IF(U554="sníž. přenesená",N554,0)</f>
        <v>0</v>
      </c>
      <c r="BI554" s="150">
        <f>IF(U554="nulová",N554,0)</f>
        <v>0</v>
      </c>
      <c r="BJ554" s="21" t="s">
        <v>21</v>
      </c>
      <c r="BK554" s="150">
        <f>ROUND(L554*K554,2)</f>
        <v>0</v>
      </c>
      <c r="BL554" s="21" t="s">
        <v>172</v>
      </c>
      <c r="BM554" s="21" t="s">
        <v>1899</v>
      </c>
    </row>
    <row r="555" spans="2:65" s="1" customFormat="1" ht="22.5" customHeight="1">
      <c r="B555" s="141"/>
      <c r="C555" s="201" t="s">
        <v>931</v>
      </c>
      <c r="D555" s="201" t="s">
        <v>168</v>
      </c>
      <c r="E555" s="202" t="s">
        <v>1900</v>
      </c>
      <c r="F555" s="317" t="s">
        <v>1901</v>
      </c>
      <c r="G555" s="317"/>
      <c r="H555" s="317"/>
      <c r="I555" s="317"/>
      <c r="J555" s="203" t="s">
        <v>578</v>
      </c>
      <c r="K555" s="204">
        <v>3</v>
      </c>
      <c r="L555" s="318"/>
      <c r="M555" s="318"/>
      <c r="N555" s="318">
        <f>ROUND(L555*K555,2)</f>
        <v>0</v>
      </c>
      <c r="O555" s="318"/>
      <c r="P555" s="318"/>
      <c r="Q555" s="318"/>
      <c r="R555" s="205"/>
      <c r="T555" s="147" t="s">
        <v>5</v>
      </c>
      <c r="U555" s="44" t="s">
        <v>43</v>
      </c>
      <c r="V555" s="148">
        <v>25.283</v>
      </c>
      <c r="W555" s="148">
        <f>V555*K555</f>
        <v>75.849</v>
      </c>
      <c r="X555" s="148">
        <v>2.72625</v>
      </c>
      <c r="Y555" s="148">
        <f>X555*K555</f>
        <v>8.178749999999999</v>
      </c>
      <c r="Z555" s="148">
        <v>0</v>
      </c>
      <c r="AA555" s="149">
        <f>Z555*K555</f>
        <v>0</v>
      </c>
      <c r="AR555" s="21" t="s">
        <v>172</v>
      </c>
      <c r="AT555" s="21" t="s">
        <v>168</v>
      </c>
      <c r="AU555" s="21" t="s">
        <v>135</v>
      </c>
      <c r="AY555" s="21" t="s">
        <v>167</v>
      </c>
      <c r="BE555" s="150">
        <f>IF(U555="základní",N555,0)</f>
        <v>0</v>
      </c>
      <c r="BF555" s="150">
        <f>IF(U555="snížená",N555,0)</f>
        <v>0</v>
      </c>
      <c r="BG555" s="150">
        <f>IF(U555="zákl. přenesená",N555,0)</f>
        <v>0</v>
      </c>
      <c r="BH555" s="150">
        <f>IF(U555="sníž. přenesená",N555,0)</f>
        <v>0</v>
      </c>
      <c r="BI555" s="150">
        <f>IF(U555="nulová",N555,0)</f>
        <v>0</v>
      </c>
      <c r="BJ555" s="21" t="s">
        <v>21</v>
      </c>
      <c r="BK555" s="150">
        <f>ROUND(L555*K555,2)</f>
        <v>0</v>
      </c>
      <c r="BL555" s="21" t="s">
        <v>172</v>
      </c>
      <c r="BM555" s="21" t="s">
        <v>1902</v>
      </c>
    </row>
    <row r="556" spans="2:63" s="9" customFormat="1" ht="29.85" customHeight="1">
      <c r="B556" s="130"/>
      <c r="C556" s="222"/>
      <c r="D556" s="223" t="s">
        <v>1269</v>
      </c>
      <c r="E556" s="223"/>
      <c r="F556" s="223"/>
      <c r="G556" s="223"/>
      <c r="H556" s="223"/>
      <c r="I556" s="223"/>
      <c r="J556" s="223"/>
      <c r="K556" s="223"/>
      <c r="L556" s="223"/>
      <c r="M556" s="223"/>
      <c r="N556" s="335">
        <f>BK556</f>
        <v>0</v>
      </c>
      <c r="O556" s="336"/>
      <c r="P556" s="336"/>
      <c r="Q556" s="336"/>
      <c r="R556" s="224"/>
      <c r="T556" s="134"/>
      <c r="U556" s="131"/>
      <c r="V556" s="131"/>
      <c r="W556" s="135">
        <f>SUM(W557:W584)</f>
        <v>94.13789999999997</v>
      </c>
      <c r="X556" s="131"/>
      <c r="Y556" s="135">
        <f>SUM(Y557:Y584)</f>
        <v>4.999840000000001</v>
      </c>
      <c r="Z556" s="131"/>
      <c r="AA556" s="136">
        <f>SUM(AA557:AA584)</f>
        <v>0</v>
      </c>
      <c r="AR556" s="137" t="s">
        <v>21</v>
      </c>
      <c r="AT556" s="138" t="s">
        <v>77</v>
      </c>
      <c r="AU556" s="138" t="s">
        <v>21</v>
      </c>
      <c r="AY556" s="137" t="s">
        <v>167</v>
      </c>
      <c r="BK556" s="139">
        <f>SUM(BK557:BK584)</f>
        <v>0</v>
      </c>
    </row>
    <row r="557" spans="2:65" s="1" customFormat="1" ht="44.25" customHeight="1">
      <c r="B557" s="141"/>
      <c r="C557" s="201" t="s">
        <v>935</v>
      </c>
      <c r="D557" s="201" t="s">
        <v>168</v>
      </c>
      <c r="E557" s="202" t="s">
        <v>1903</v>
      </c>
      <c r="F557" s="317" t="s">
        <v>1904</v>
      </c>
      <c r="G557" s="317"/>
      <c r="H557" s="317"/>
      <c r="I557" s="317"/>
      <c r="J557" s="203" t="s">
        <v>578</v>
      </c>
      <c r="K557" s="204">
        <v>1</v>
      </c>
      <c r="L557" s="318"/>
      <c r="M557" s="318"/>
      <c r="N557" s="318">
        <f>ROUND(L557*K557,2)</f>
        <v>0</v>
      </c>
      <c r="O557" s="318"/>
      <c r="P557" s="318"/>
      <c r="Q557" s="318"/>
      <c r="R557" s="205"/>
      <c r="T557" s="147" t="s">
        <v>5</v>
      </c>
      <c r="U557" s="44" t="s">
        <v>43</v>
      </c>
      <c r="V557" s="148">
        <v>21.292</v>
      </c>
      <c r="W557" s="148">
        <f>V557*K557</f>
        <v>21.292</v>
      </c>
      <c r="X557" s="148">
        <v>2.11676</v>
      </c>
      <c r="Y557" s="148">
        <f>X557*K557</f>
        <v>2.11676</v>
      </c>
      <c r="Z557" s="148">
        <v>0</v>
      </c>
      <c r="AA557" s="149">
        <f>Z557*K557</f>
        <v>0</v>
      </c>
      <c r="AR557" s="21" t="s">
        <v>172</v>
      </c>
      <c r="AT557" s="21" t="s">
        <v>168</v>
      </c>
      <c r="AU557" s="21" t="s">
        <v>135</v>
      </c>
      <c r="AY557" s="21" t="s">
        <v>167</v>
      </c>
      <c r="BE557" s="150">
        <f>IF(U557="základní",N557,0)</f>
        <v>0</v>
      </c>
      <c r="BF557" s="150">
        <f>IF(U557="snížená",N557,0)</f>
        <v>0</v>
      </c>
      <c r="BG557" s="150">
        <f>IF(U557="zákl. přenesená",N557,0)</f>
        <v>0</v>
      </c>
      <c r="BH557" s="150">
        <f>IF(U557="sníž. přenesená",N557,0)</f>
        <v>0</v>
      </c>
      <c r="BI557" s="150">
        <f>IF(U557="nulová",N557,0)</f>
        <v>0</v>
      </c>
      <c r="BJ557" s="21" t="s">
        <v>21</v>
      </c>
      <c r="BK557" s="150">
        <f>ROUND(L557*K557,2)</f>
        <v>0</v>
      </c>
      <c r="BL557" s="21" t="s">
        <v>172</v>
      </c>
      <c r="BM557" s="21" t="s">
        <v>1905</v>
      </c>
    </row>
    <row r="558" spans="2:65" s="1" customFormat="1" ht="22.5" customHeight="1">
      <c r="B558" s="141"/>
      <c r="C558" s="201" t="s">
        <v>939</v>
      </c>
      <c r="D558" s="201" t="s">
        <v>168</v>
      </c>
      <c r="E558" s="202" t="s">
        <v>1906</v>
      </c>
      <c r="F558" s="317" t="s">
        <v>1907</v>
      </c>
      <c r="G558" s="317"/>
      <c r="H558" s="317"/>
      <c r="I558" s="317"/>
      <c r="J558" s="203" t="s">
        <v>578</v>
      </c>
      <c r="K558" s="204">
        <v>1</v>
      </c>
      <c r="L558" s="318"/>
      <c r="M558" s="318"/>
      <c r="N558" s="318">
        <f>ROUND(L558*K558,2)</f>
        <v>0</v>
      </c>
      <c r="O558" s="318"/>
      <c r="P558" s="318"/>
      <c r="Q558" s="318"/>
      <c r="R558" s="205"/>
      <c r="T558" s="147" t="s">
        <v>5</v>
      </c>
      <c r="U558" s="44" t="s">
        <v>43</v>
      </c>
      <c r="V558" s="148">
        <v>21.292</v>
      </c>
      <c r="W558" s="148">
        <f>V558*K558</f>
        <v>21.292</v>
      </c>
      <c r="X558" s="148">
        <v>2.11676</v>
      </c>
      <c r="Y558" s="148">
        <f>X558*K558</f>
        <v>2.11676</v>
      </c>
      <c r="Z558" s="148">
        <v>0</v>
      </c>
      <c r="AA558" s="149">
        <f>Z558*K558</f>
        <v>0</v>
      </c>
      <c r="AR558" s="21" t="s">
        <v>172</v>
      </c>
      <c r="AT558" s="21" t="s">
        <v>168</v>
      </c>
      <c r="AU558" s="21" t="s">
        <v>135</v>
      </c>
      <c r="AY558" s="21" t="s">
        <v>167</v>
      </c>
      <c r="BE558" s="150">
        <f>IF(U558="základní",N558,0)</f>
        <v>0</v>
      </c>
      <c r="BF558" s="150">
        <f>IF(U558="snížená",N558,0)</f>
        <v>0</v>
      </c>
      <c r="BG558" s="150">
        <f>IF(U558="zákl. přenesená",N558,0)</f>
        <v>0</v>
      </c>
      <c r="BH558" s="150">
        <f>IF(U558="sníž. přenesená",N558,0)</f>
        <v>0</v>
      </c>
      <c r="BI558" s="150">
        <f>IF(U558="nulová",N558,0)</f>
        <v>0</v>
      </c>
      <c r="BJ558" s="21" t="s">
        <v>21</v>
      </c>
      <c r="BK558" s="150">
        <f>ROUND(L558*K558,2)</f>
        <v>0</v>
      </c>
      <c r="BL558" s="21" t="s">
        <v>172</v>
      </c>
      <c r="BM558" s="21" t="s">
        <v>1908</v>
      </c>
    </row>
    <row r="559" spans="2:65" s="1" customFormat="1" ht="22.5" customHeight="1">
      <c r="B559" s="141"/>
      <c r="C559" s="201" t="s">
        <v>943</v>
      </c>
      <c r="D559" s="201" t="s">
        <v>168</v>
      </c>
      <c r="E559" s="202" t="s">
        <v>1586</v>
      </c>
      <c r="F559" s="317" t="s">
        <v>1587</v>
      </c>
      <c r="G559" s="317"/>
      <c r="H559" s="317"/>
      <c r="I559" s="317"/>
      <c r="J559" s="203" t="s">
        <v>578</v>
      </c>
      <c r="K559" s="204">
        <v>3</v>
      </c>
      <c r="L559" s="318"/>
      <c r="M559" s="318"/>
      <c r="N559" s="318">
        <f>ROUND(L559*K559,2)</f>
        <v>0</v>
      </c>
      <c r="O559" s="318"/>
      <c r="P559" s="318"/>
      <c r="Q559" s="318"/>
      <c r="R559" s="205"/>
      <c r="T559" s="147" t="s">
        <v>5</v>
      </c>
      <c r="U559" s="44" t="s">
        <v>43</v>
      </c>
      <c r="V559" s="148">
        <v>1.562</v>
      </c>
      <c r="W559" s="148">
        <f>V559*K559</f>
        <v>4.686</v>
      </c>
      <c r="X559" s="148">
        <v>0.00918</v>
      </c>
      <c r="Y559" s="148">
        <f>X559*K559</f>
        <v>0.027540000000000002</v>
      </c>
      <c r="Z559" s="148">
        <v>0</v>
      </c>
      <c r="AA559" s="149">
        <f>Z559*K559</f>
        <v>0</v>
      </c>
      <c r="AR559" s="21" t="s">
        <v>172</v>
      </c>
      <c r="AT559" s="21" t="s">
        <v>168</v>
      </c>
      <c r="AU559" s="21" t="s">
        <v>135</v>
      </c>
      <c r="AY559" s="21" t="s">
        <v>167</v>
      </c>
      <c r="BE559" s="150">
        <f>IF(U559="základní",N559,0)</f>
        <v>0</v>
      </c>
      <c r="BF559" s="150">
        <f>IF(U559="snížená",N559,0)</f>
        <v>0</v>
      </c>
      <c r="BG559" s="150">
        <f>IF(U559="zákl. přenesená",N559,0)</f>
        <v>0</v>
      </c>
      <c r="BH559" s="150">
        <f>IF(U559="sníž. přenesená",N559,0)</f>
        <v>0</v>
      </c>
      <c r="BI559" s="150">
        <f>IF(U559="nulová",N559,0)</f>
        <v>0</v>
      </c>
      <c r="BJ559" s="21" t="s">
        <v>21</v>
      </c>
      <c r="BK559" s="150">
        <f>ROUND(L559*K559,2)</f>
        <v>0</v>
      </c>
      <c r="BL559" s="21" t="s">
        <v>172</v>
      </c>
      <c r="BM559" s="21" t="s">
        <v>1607</v>
      </c>
    </row>
    <row r="560" spans="2:65" s="1" customFormat="1" ht="31.5" customHeight="1">
      <c r="B560" s="141"/>
      <c r="C560" s="225" t="s">
        <v>947</v>
      </c>
      <c r="D560" s="225" t="s">
        <v>317</v>
      </c>
      <c r="E560" s="226" t="s">
        <v>1608</v>
      </c>
      <c r="F560" s="331" t="s">
        <v>1609</v>
      </c>
      <c r="G560" s="331"/>
      <c r="H560" s="331"/>
      <c r="I560" s="331"/>
      <c r="J560" s="227" t="s">
        <v>578</v>
      </c>
      <c r="K560" s="228">
        <v>3</v>
      </c>
      <c r="L560" s="332"/>
      <c r="M560" s="332"/>
      <c r="N560" s="332">
        <f>ROUND(L560*K560,2)</f>
        <v>0</v>
      </c>
      <c r="O560" s="318"/>
      <c r="P560" s="318"/>
      <c r="Q560" s="318"/>
      <c r="R560" s="205"/>
      <c r="T560" s="147" t="s">
        <v>5</v>
      </c>
      <c r="U560" s="44" t="s">
        <v>43</v>
      </c>
      <c r="V560" s="148">
        <v>0</v>
      </c>
      <c r="W560" s="148">
        <f>V560*K560</f>
        <v>0</v>
      </c>
      <c r="X560" s="148">
        <v>0.196</v>
      </c>
      <c r="Y560" s="148">
        <f>X560*K560</f>
        <v>0.5880000000000001</v>
      </c>
      <c r="Z560" s="148">
        <v>0</v>
      </c>
      <c r="AA560" s="149">
        <f>Z560*K560</f>
        <v>0</v>
      </c>
      <c r="AR560" s="21" t="s">
        <v>213</v>
      </c>
      <c r="AT560" s="21" t="s">
        <v>317</v>
      </c>
      <c r="AU560" s="21" t="s">
        <v>135</v>
      </c>
      <c r="AY560" s="21" t="s">
        <v>167</v>
      </c>
      <c r="BE560" s="150">
        <f>IF(U560="základní",N560,0)</f>
        <v>0</v>
      </c>
      <c r="BF560" s="150">
        <f>IF(U560="snížená",N560,0)</f>
        <v>0</v>
      </c>
      <c r="BG560" s="150">
        <f>IF(U560="zákl. přenesená",N560,0)</f>
        <v>0</v>
      </c>
      <c r="BH560" s="150">
        <f>IF(U560="sníž. přenesená",N560,0)</f>
        <v>0</v>
      </c>
      <c r="BI560" s="150">
        <f>IF(U560="nulová",N560,0)</f>
        <v>0</v>
      </c>
      <c r="BJ560" s="21" t="s">
        <v>21</v>
      </c>
      <c r="BK560" s="150">
        <f>ROUND(L560*K560,2)</f>
        <v>0</v>
      </c>
      <c r="BL560" s="21" t="s">
        <v>172</v>
      </c>
      <c r="BM560" s="21" t="s">
        <v>1610</v>
      </c>
    </row>
    <row r="561" spans="2:65" s="1" customFormat="1" ht="31.5" customHeight="1">
      <c r="B561" s="141"/>
      <c r="C561" s="201" t="s">
        <v>951</v>
      </c>
      <c r="D561" s="201" t="s">
        <v>168</v>
      </c>
      <c r="E561" s="202" t="s">
        <v>1611</v>
      </c>
      <c r="F561" s="317" t="s">
        <v>1612</v>
      </c>
      <c r="G561" s="317"/>
      <c r="H561" s="317"/>
      <c r="I561" s="317"/>
      <c r="J561" s="203" t="s">
        <v>176</v>
      </c>
      <c r="K561" s="204">
        <v>11.9</v>
      </c>
      <c r="L561" s="318"/>
      <c r="M561" s="318"/>
      <c r="N561" s="318">
        <f>ROUND(L561*K561,2)</f>
        <v>0</v>
      </c>
      <c r="O561" s="318"/>
      <c r="P561" s="318"/>
      <c r="Q561" s="318"/>
      <c r="R561" s="205"/>
      <c r="T561" s="147" t="s">
        <v>5</v>
      </c>
      <c r="U561" s="44" t="s">
        <v>43</v>
      </c>
      <c r="V561" s="148">
        <v>1.319</v>
      </c>
      <c r="W561" s="148">
        <f>V561*K561</f>
        <v>15.6961</v>
      </c>
      <c r="X561" s="148">
        <v>0</v>
      </c>
      <c r="Y561" s="148">
        <f>X561*K561</f>
        <v>0</v>
      </c>
      <c r="Z561" s="148">
        <v>0</v>
      </c>
      <c r="AA561" s="149">
        <f>Z561*K561</f>
        <v>0</v>
      </c>
      <c r="AR561" s="21" t="s">
        <v>172</v>
      </c>
      <c r="AT561" s="21" t="s">
        <v>168</v>
      </c>
      <c r="AU561" s="21" t="s">
        <v>135</v>
      </c>
      <c r="AY561" s="21" t="s">
        <v>167</v>
      </c>
      <c r="BE561" s="150">
        <f>IF(U561="základní",N561,0)</f>
        <v>0</v>
      </c>
      <c r="BF561" s="150">
        <f>IF(U561="snížená",N561,0)</f>
        <v>0</v>
      </c>
      <c r="BG561" s="150">
        <f>IF(U561="zákl. přenesená",N561,0)</f>
        <v>0</v>
      </c>
      <c r="BH561" s="150">
        <f>IF(U561="sníž. přenesená",N561,0)</f>
        <v>0</v>
      </c>
      <c r="BI561" s="150">
        <f>IF(U561="nulová",N561,0)</f>
        <v>0</v>
      </c>
      <c r="BJ561" s="21" t="s">
        <v>21</v>
      </c>
      <c r="BK561" s="150">
        <f>ROUND(L561*K561,2)</f>
        <v>0</v>
      </c>
      <c r="BL561" s="21" t="s">
        <v>172</v>
      </c>
      <c r="BM561" s="21" t="s">
        <v>1613</v>
      </c>
    </row>
    <row r="562" spans="2:51" s="10" customFormat="1" ht="22.5" customHeight="1">
      <c r="B562" s="151"/>
      <c r="C562" s="206"/>
      <c r="D562" s="206"/>
      <c r="E562" s="207" t="s">
        <v>5</v>
      </c>
      <c r="F562" s="319" t="s">
        <v>1909</v>
      </c>
      <c r="G562" s="320"/>
      <c r="H562" s="320"/>
      <c r="I562" s="320"/>
      <c r="J562" s="206"/>
      <c r="K562" s="208" t="s">
        <v>5</v>
      </c>
      <c r="L562" s="206"/>
      <c r="M562" s="206"/>
      <c r="N562" s="206"/>
      <c r="O562" s="206"/>
      <c r="P562" s="206"/>
      <c r="Q562" s="206"/>
      <c r="R562" s="209"/>
      <c r="T562" s="156"/>
      <c r="U562" s="152"/>
      <c r="V562" s="152"/>
      <c r="W562" s="152"/>
      <c r="X562" s="152"/>
      <c r="Y562" s="152"/>
      <c r="Z562" s="152"/>
      <c r="AA562" s="157"/>
      <c r="AT562" s="158" t="s">
        <v>179</v>
      </c>
      <c r="AU562" s="158" t="s">
        <v>135</v>
      </c>
      <c r="AV562" s="10" t="s">
        <v>21</v>
      </c>
      <c r="AW562" s="10" t="s">
        <v>35</v>
      </c>
      <c r="AX562" s="10" t="s">
        <v>78</v>
      </c>
      <c r="AY562" s="158" t="s">
        <v>167</v>
      </c>
    </row>
    <row r="563" spans="2:51" s="11" customFormat="1" ht="22.5" customHeight="1">
      <c r="B563" s="159"/>
      <c r="C563" s="210"/>
      <c r="D563" s="210"/>
      <c r="E563" s="211" t="s">
        <v>5</v>
      </c>
      <c r="F563" s="321" t="s">
        <v>1615</v>
      </c>
      <c r="G563" s="322"/>
      <c r="H563" s="322"/>
      <c r="I563" s="322"/>
      <c r="J563" s="210"/>
      <c r="K563" s="212">
        <v>7.973</v>
      </c>
      <c r="L563" s="210"/>
      <c r="M563" s="210"/>
      <c r="N563" s="210"/>
      <c r="O563" s="210"/>
      <c r="P563" s="210"/>
      <c r="Q563" s="210"/>
      <c r="R563" s="213"/>
      <c r="T563" s="164"/>
      <c r="U563" s="160"/>
      <c r="V563" s="160"/>
      <c r="W563" s="160"/>
      <c r="X563" s="160"/>
      <c r="Y563" s="160"/>
      <c r="Z563" s="160"/>
      <c r="AA563" s="165"/>
      <c r="AT563" s="166" t="s">
        <v>179</v>
      </c>
      <c r="AU563" s="166" t="s">
        <v>135</v>
      </c>
      <c r="AV563" s="11" t="s">
        <v>135</v>
      </c>
      <c r="AW563" s="11" t="s">
        <v>35</v>
      </c>
      <c r="AX563" s="11" t="s">
        <v>78</v>
      </c>
      <c r="AY563" s="166" t="s">
        <v>167</v>
      </c>
    </row>
    <row r="564" spans="2:51" s="10" customFormat="1" ht="22.5" customHeight="1">
      <c r="B564" s="151"/>
      <c r="C564" s="206"/>
      <c r="D564" s="206"/>
      <c r="E564" s="207" t="s">
        <v>5</v>
      </c>
      <c r="F564" s="325" t="s">
        <v>1910</v>
      </c>
      <c r="G564" s="326"/>
      <c r="H564" s="326"/>
      <c r="I564" s="326"/>
      <c r="J564" s="206"/>
      <c r="K564" s="208" t="s">
        <v>5</v>
      </c>
      <c r="L564" s="206"/>
      <c r="M564" s="206"/>
      <c r="N564" s="206"/>
      <c r="O564" s="206"/>
      <c r="P564" s="206"/>
      <c r="Q564" s="206"/>
      <c r="R564" s="209"/>
      <c r="T564" s="156"/>
      <c r="U564" s="152"/>
      <c r="V564" s="152"/>
      <c r="W564" s="152"/>
      <c r="X564" s="152"/>
      <c r="Y564" s="152"/>
      <c r="Z564" s="152"/>
      <c r="AA564" s="157"/>
      <c r="AT564" s="158" t="s">
        <v>179</v>
      </c>
      <c r="AU564" s="158" t="s">
        <v>135</v>
      </c>
      <c r="AV564" s="10" t="s">
        <v>21</v>
      </c>
      <c r="AW564" s="10" t="s">
        <v>35</v>
      </c>
      <c r="AX564" s="10" t="s">
        <v>78</v>
      </c>
      <c r="AY564" s="158" t="s">
        <v>167</v>
      </c>
    </row>
    <row r="565" spans="2:51" s="11" customFormat="1" ht="22.5" customHeight="1">
      <c r="B565" s="159"/>
      <c r="C565" s="210"/>
      <c r="D565" s="210"/>
      <c r="E565" s="211" t="s">
        <v>5</v>
      </c>
      <c r="F565" s="321" t="s">
        <v>1617</v>
      </c>
      <c r="G565" s="322"/>
      <c r="H565" s="322"/>
      <c r="I565" s="322"/>
      <c r="J565" s="210"/>
      <c r="K565" s="212">
        <v>3.927</v>
      </c>
      <c r="L565" s="210"/>
      <c r="M565" s="210"/>
      <c r="N565" s="210"/>
      <c r="O565" s="210"/>
      <c r="P565" s="210"/>
      <c r="Q565" s="210"/>
      <c r="R565" s="213"/>
      <c r="T565" s="164"/>
      <c r="U565" s="160"/>
      <c r="V565" s="160"/>
      <c r="W565" s="160"/>
      <c r="X565" s="160"/>
      <c r="Y565" s="160"/>
      <c r="Z565" s="160"/>
      <c r="AA565" s="165"/>
      <c r="AT565" s="166" t="s">
        <v>179</v>
      </c>
      <c r="AU565" s="166" t="s">
        <v>135</v>
      </c>
      <c r="AV565" s="11" t="s">
        <v>135</v>
      </c>
      <c r="AW565" s="11" t="s">
        <v>35</v>
      </c>
      <c r="AX565" s="11" t="s">
        <v>78</v>
      </c>
      <c r="AY565" s="166" t="s">
        <v>167</v>
      </c>
    </row>
    <row r="566" spans="2:51" s="12" customFormat="1" ht="22.5" customHeight="1">
      <c r="B566" s="167"/>
      <c r="C566" s="218"/>
      <c r="D566" s="218"/>
      <c r="E566" s="219" t="s">
        <v>5</v>
      </c>
      <c r="F566" s="327" t="s">
        <v>183</v>
      </c>
      <c r="G566" s="328"/>
      <c r="H566" s="328"/>
      <c r="I566" s="328"/>
      <c r="J566" s="218"/>
      <c r="K566" s="220">
        <v>11.9</v>
      </c>
      <c r="L566" s="218"/>
      <c r="M566" s="218"/>
      <c r="N566" s="218"/>
      <c r="O566" s="218"/>
      <c r="P566" s="218"/>
      <c r="Q566" s="218"/>
      <c r="R566" s="221"/>
      <c r="T566" s="172"/>
      <c r="U566" s="168"/>
      <c r="V566" s="168"/>
      <c r="W566" s="168"/>
      <c r="X566" s="168"/>
      <c r="Y566" s="168"/>
      <c r="Z566" s="168"/>
      <c r="AA566" s="173"/>
      <c r="AT566" s="174" t="s">
        <v>179</v>
      </c>
      <c r="AU566" s="174" t="s">
        <v>135</v>
      </c>
      <c r="AV566" s="12" t="s">
        <v>172</v>
      </c>
      <c r="AW566" s="12" t="s">
        <v>35</v>
      </c>
      <c r="AX566" s="12" t="s">
        <v>21</v>
      </c>
      <c r="AY566" s="174" t="s">
        <v>167</v>
      </c>
    </row>
    <row r="567" spans="2:65" s="1" customFormat="1" ht="22.5" customHeight="1">
      <c r="B567" s="141"/>
      <c r="C567" s="201" t="s">
        <v>955</v>
      </c>
      <c r="D567" s="201" t="s">
        <v>168</v>
      </c>
      <c r="E567" s="202" t="s">
        <v>1618</v>
      </c>
      <c r="F567" s="317" t="s">
        <v>1619</v>
      </c>
      <c r="G567" s="317"/>
      <c r="H567" s="317"/>
      <c r="I567" s="317"/>
      <c r="J567" s="203" t="s">
        <v>176</v>
      </c>
      <c r="K567" s="204">
        <v>4.2</v>
      </c>
      <c r="L567" s="318"/>
      <c r="M567" s="318"/>
      <c r="N567" s="318">
        <f>ROUND(L567*K567,2)</f>
        <v>0</v>
      </c>
      <c r="O567" s="318"/>
      <c r="P567" s="318"/>
      <c r="Q567" s="318"/>
      <c r="R567" s="205"/>
      <c r="T567" s="147" t="s">
        <v>5</v>
      </c>
      <c r="U567" s="44" t="s">
        <v>43</v>
      </c>
      <c r="V567" s="148">
        <v>1.319</v>
      </c>
      <c r="W567" s="148">
        <f>V567*K567</f>
        <v>5.5398</v>
      </c>
      <c r="X567" s="148">
        <v>0</v>
      </c>
      <c r="Y567" s="148">
        <f>X567*K567</f>
        <v>0</v>
      </c>
      <c r="Z567" s="148">
        <v>0</v>
      </c>
      <c r="AA567" s="149">
        <f>Z567*K567</f>
        <v>0</v>
      </c>
      <c r="AR567" s="21" t="s">
        <v>172</v>
      </c>
      <c r="AT567" s="21" t="s">
        <v>168</v>
      </c>
      <c r="AU567" s="21" t="s">
        <v>135</v>
      </c>
      <c r="AY567" s="21" t="s">
        <v>167</v>
      </c>
      <c r="BE567" s="150">
        <f>IF(U567="základní",N567,0)</f>
        <v>0</v>
      </c>
      <c r="BF567" s="150">
        <f>IF(U567="snížená",N567,0)</f>
        <v>0</v>
      </c>
      <c r="BG567" s="150">
        <f>IF(U567="zákl. přenesená",N567,0)</f>
        <v>0</v>
      </c>
      <c r="BH567" s="150">
        <f>IF(U567="sníž. přenesená",N567,0)</f>
        <v>0</v>
      </c>
      <c r="BI567" s="150">
        <f>IF(U567="nulová",N567,0)</f>
        <v>0</v>
      </c>
      <c r="BJ567" s="21" t="s">
        <v>21</v>
      </c>
      <c r="BK567" s="150">
        <f>ROUND(L567*K567,2)</f>
        <v>0</v>
      </c>
      <c r="BL567" s="21" t="s">
        <v>172</v>
      </c>
      <c r="BM567" s="21" t="s">
        <v>1620</v>
      </c>
    </row>
    <row r="568" spans="2:51" s="10" customFormat="1" ht="22.5" customHeight="1">
      <c r="B568" s="151"/>
      <c r="C568" s="206"/>
      <c r="D568" s="206"/>
      <c r="E568" s="207" t="s">
        <v>5</v>
      </c>
      <c r="F568" s="319" t="s">
        <v>1818</v>
      </c>
      <c r="G568" s="320"/>
      <c r="H568" s="320"/>
      <c r="I568" s="320"/>
      <c r="J568" s="206"/>
      <c r="K568" s="208" t="s">
        <v>5</v>
      </c>
      <c r="L568" s="206"/>
      <c r="M568" s="206"/>
      <c r="N568" s="206"/>
      <c r="O568" s="206"/>
      <c r="P568" s="206"/>
      <c r="Q568" s="206"/>
      <c r="R568" s="209"/>
      <c r="T568" s="156"/>
      <c r="U568" s="152"/>
      <c r="V568" s="152"/>
      <c r="W568" s="152"/>
      <c r="X568" s="152"/>
      <c r="Y568" s="152"/>
      <c r="Z568" s="152"/>
      <c r="AA568" s="157"/>
      <c r="AT568" s="158" t="s">
        <v>179</v>
      </c>
      <c r="AU568" s="158" t="s">
        <v>135</v>
      </c>
      <c r="AV568" s="10" t="s">
        <v>21</v>
      </c>
      <c r="AW568" s="10" t="s">
        <v>35</v>
      </c>
      <c r="AX568" s="10" t="s">
        <v>78</v>
      </c>
      <c r="AY568" s="158" t="s">
        <v>167</v>
      </c>
    </row>
    <row r="569" spans="2:51" s="11" customFormat="1" ht="22.5" customHeight="1">
      <c r="B569" s="159"/>
      <c r="C569" s="210"/>
      <c r="D569" s="210"/>
      <c r="E569" s="211" t="s">
        <v>5</v>
      </c>
      <c r="F569" s="321" t="s">
        <v>1622</v>
      </c>
      <c r="G569" s="322"/>
      <c r="H569" s="322"/>
      <c r="I569" s="322"/>
      <c r="J569" s="210"/>
      <c r="K569" s="212">
        <v>4.2</v>
      </c>
      <c r="L569" s="210"/>
      <c r="M569" s="210"/>
      <c r="N569" s="210"/>
      <c r="O569" s="210"/>
      <c r="P569" s="210"/>
      <c r="Q569" s="210"/>
      <c r="R569" s="213"/>
      <c r="T569" s="164"/>
      <c r="U569" s="160"/>
      <c r="V569" s="160"/>
      <c r="W569" s="160"/>
      <c r="X569" s="160"/>
      <c r="Y569" s="160"/>
      <c r="Z569" s="160"/>
      <c r="AA569" s="165"/>
      <c r="AT569" s="166" t="s">
        <v>179</v>
      </c>
      <c r="AU569" s="166" t="s">
        <v>135</v>
      </c>
      <c r="AV569" s="11" t="s">
        <v>135</v>
      </c>
      <c r="AW569" s="11" t="s">
        <v>35</v>
      </c>
      <c r="AX569" s="11" t="s">
        <v>21</v>
      </c>
      <c r="AY569" s="166" t="s">
        <v>167</v>
      </c>
    </row>
    <row r="570" spans="2:65" s="1" customFormat="1" ht="22.5" customHeight="1">
      <c r="B570" s="141"/>
      <c r="C570" s="201" t="s">
        <v>959</v>
      </c>
      <c r="D570" s="201" t="s">
        <v>168</v>
      </c>
      <c r="E570" s="202" t="s">
        <v>1623</v>
      </c>
      <c r="F570" s="317" t="s">
        <v>1624</v>
      </c>
      <c r="G570" s="317"/>
      <c r="H570" s="317"/>
      <c r="I570" s="317"/>
      <c r="J570" s="203" t="s">
        <v>578</v>
      </c>
      <c r="K570" s="204">
        <v>2</v>
      </c>
      <c r="L570" s="318"/>
      <c r="M570" s="318"/>
      <c r="N570" s="318">
        <f aca="true" t="shared" si="0" ref="N570:N584">ROUND(L570*K570,2)</f>
        <v>0</v>
      </c>
      <c r="O570" s="318"/>
      <c r="P570" s="318"/>
      <c r="Q570" s="318"/>
      <c r="R570" s="205"/>
      <c r="T570" s="147" t="s">
        <v>5</v>
      </c>
      <c r="U570" s="44" t="s">
        <v>43</v>
      </c>
      <c r="V570" s="148">
        <v>1.281</v>
      </c>
      <c r="W570" s="148">
        <f aca="true" t="shared" si="1" ref="W570:W584">V570*K570</f>
        <v>2.562</v>
      </c>
      <c r="X570" s="148">
        <v>0.00035</v>
      </c>
      <c r="Y570" s="148">
        <f aca="true" t="shared" si="2" ref="Y570:Y584">X570*K570</f>
        <v>0.0007</v>
      </c>
      <c r="Z570" s="148">
        <v>0</v>
      </c>
      <c r="AA570" s="149">
        <f aca="true" t="shared" si="3" ref="AA570:AA584">Z570*K570</f>
        <v>0</v>
      </c>
      <c r="AR570" s="21" t="s">
        <v>585</v>
      </c>
      <c r="AT570" s="21" t="s">
        <v>168</v>
      </c>
      <c r="AU570" s="21" t="s">
        <v>135</v>
      </c>
      <c r="AY570" s="21" t="s">
        <v>167</v>
      </c>
      <c r="BE570" s="150">
        <f aca="true" t="shared" si="4" ref="BE570:BE584">IF(U570="základní",N570,0)</f>
        <v>0</v>
      </c>
      <c r="BF570" s="150">
        <f aca="true" t="shared" si="5" ref="BF570:BF584">IF(U570="snížená",N570,0)</f>
        <v>0</v>
      </c>
      <c r="BG570" s="150">
        <f aca="true" t="shared" si="6" ref="BG570:BG584">IF(U570="zákl. přenesená",N570,0)</f>
        <v>0</v>
      </c>
      <c r="BH570" s="150">
        <f aca="true" t="shared" si="7" ref="BH570:BH584">IF(U570="sníž. přenesená",N570,0)</f>
        <v>0</v>
      </c>
      <c r="BI570" s="150">
        <f aca="true" t="shared" si="8" ref="BI570:BI584">IF(U570="nulová",N570,0)</f>
        <v>0</v>
      </c>
      <c r="BJ570" s="21" t="s">
        <v>21</v>
      </c>
      <c r="BK570" s="150">
        <f aca="true" t="shared" si="9" ref="BK570:BK584">ROUND(L570*K570,2)</f>
        <v>0</v>
      </c>
      <c r="BL570" s="21" t="s">
        <v>585</v>
      </c>
      <c r="BM570" s="21" t="s">
        <v>1625</v>
      </c>
    </row>
    <row r="571" spans="2:65" s="1" customFormat="1" ht="44.25" customHeight="1">
      <c r="B571" s="141"/>
      <c r="C571" s="225" t="s">
        <v>963</v>
      </c>
      <c r="D571" s="225" t="s">
        <v>317</v>
      </c>
      <c r="E571" s="226" t="s">
        <v>1626</v>
      </c>
      <c r="F571" s="331" t="s">
        <v>1627</v>
      </c>
      <c r="G571" s="331"/>
      <c r="H571" s="331"/>
      <c r="I571" s="331"/>
      <c r="J571" s="227" t="s">
        <v>578</v>
      </c>
      <c r="K571" s="228">
        <v>2</v>
      </c>
      <c r="L571" s="332"/>
      <c r="M571" s="332"/>
      <c r="N571" s="332">
        <f t="shared" si="0"/>
        <v>0</v>
      </c>
      <c r="O571" s="318"/>
      <c r="P571" s="318"/>
      <c r="Q571" s="318"/>
      <c r="R571" s="205"/>
      <c r="T571" s="147" t="s">
        <v>5</v>
      </c>
      <c r="U571" s="44" t="s">
        <v>43</v>
      </c>
      <c r="V571" s="148">
        <v>0</v>
      </c>
      <c r="W571" s="148">
        <f t="shared" si="1"/>
        <v>0</v>
      </c>
      <c r="X571" s="148">
        <v>0.032</v>
      </c>
      <c r="Y571" s="148">
        <f t="shared" si="2"/>
        <v>0.064</v>
      </c>
      <c r="Z571" s="148">
        <v>0</v>
      </c>
      <c r="AA571" s="149">
        <f t="shared" si="3"/>
        <v>0</v>
      </c>
      <c r="AR571" s="21" t="s">
        <v>213</v>
      </c>
      <c r="AT571" s="21" t="s">
        <v>317</v>
      </c>
      <c r="AU571" s="21" t="s">
        <v>135</v>
      </c>
      <c r="AY571" s="21" t="s">
        <v>167</v>
      </c>
      <c r="BE571" s="150">
        <f t="shared" si="4"/>
        <v>0</v>
      </c>
      <c r="BF571" s="150">
        <f t="shared" si="5"/>
        <v>0</v>
      </c>
      <c r="BG571" s="150">
        <f t="shared" si="6"/>
        <v>0</v>
      </c>
      <c r="BH571" s="150">
        <f t="shared" si="7"/>
        <v>0</v>
      </c>
      <c r="BI571" s="150">
        <f t="shared" si="8"/>
        <v>0</v>
      </c>
      <c r="BJ571" s="21" t="s">
        <v>21</v>
      </c>
      <c r="BK571" s="150">
        <f t="shared" si="9"/>
        <v>0</v>
      </c>
      <c r="BL571" s="21" t="s">
        <v>172</v>
      </c>
      <c r="BM571" s="21" t="s">
        <v>1628</v>
      </c>
    </row>
    <row r="572" spans="2:65" s="1" customFormat="1" ht="22.5" customHeight="1">
      <c r="B572" s="141"/>
      <c r="C572" s="201" t="s">
        <v>967</v>
      </c>
      <c r="D572" s="201" t="s">
        <v>168</v>
      </c>
      <c r="E572" s="202" t="s">
        <v>1629</v>
      </c>
      <c r="F572" s="317" t="s">
        <v>1630</v>
      </c>
      <c r="G572" s="317"/>
      <c r="H572" s="317"/>
      <c r="I572" s="317"/>
      <c r="J572" s="203" t="s">
        <v>171</v>
      </c>
      <c r="K572" s="204">
        <v>2</v>
      </c>
      <c r="L572" s="318"/>
      <c r="M572" s="318"/>
      <c r="N572" s="318">
        <f t="shared" si="0"/>
        <v>0</v>
      </c>
      <c r="O572" s="318"/>
      <c r="P572" s="318"/>
      <c r="Q572" s="318"/>
      <c r="R572" s="205"/>
      <c r="T572" s="147" t="s">
        <v>5</v>
      </c>
      <c r="U572" s="44" t="s">
        <v>43</v>
      </c>
      <c r="V572" s="148">
        <v>1.281</v>
      </c>
      <c r="W572" s="148">
        <f t="shared" si="1"/>
        <v>2.562</v>
      </c>
      <c r="X572" s="148">
        <v>0.00035</v>
      </c>
      <c r="Y572" s="148">
        <f t="shared" si="2"/>
        <v>0.0007</v>
      </c>
      <c r="Z572" s="148">
        <v>0</v>
      </c>
      <c r="AA572" s="149">
        <f t="shared" si="3"/>
        <v>0</v>
      </c>
      <c r="AR572" s="21" t="s">
        <v>585</v>
      </c>
      <c r="AT572" s="21" t="s">
        <v>168</v>
      </c>
      <c r="AU572" s="21" t="s">
        <v>135</v>
      </c>
      <c r="AY572" s="21" t="s">
        <v>167</v>
      </c>
      <c r="BE572" s="150">
        <f t="shared" si="4"/>
        <v>0</v>
      </c>
      <c r="BF572" s="150">
        <f t="shared" si="5"/>
        <v>0</v>
      </c>
      <c r="BG572" s="150">
        <f t="shared" si="6"/>
        <v>0</v>
      </c>
      <c r="BH572" s="150">
        <f t="shared" si="7"/>
        <v>0</v>
      </c>
      <c r="BI572" s="150">
        <f t="shared" si="8"/>
        <v>0</v>
      </c>
      <c r="BJ572" s="21" t="s">
        <v>21</v>
      </c>
      <c r="BK572" s="150">
        <f t="shared" si="9"/>
        <v>0</v>
      </c>
      <c r="BL572" s="21" t="s">
        <v>585</v>
      </c>
      <c r="BM572" s="21" t="s">
        <v>1631</v>
      </c>
    </row>
    <row r="573" spans="2:65" s="1" customFormat="1" ht="22.5" customHeight="1">
      <c r="B573" s="141"/>
      <c r="C573" s="201" t="s">
        <v>971</v>
      </c>
      <c r="D573" s="201" t="s">
        <v>168</v>
      </c>
      <c r="E573" s="202" t="s">
        <v>1632</v>
      </c>
      <c r="F573" s="317" t="s">
        <v>1633</v>
      </c>
      <c r="G573" s="317"/>
      <c r="H573" s="317"/>
      <c r="I573" s="317"/>
      <c r="J573" s="203" t="s">
        <v>259</v>
      </c>
      <c r="K573" s="204">
        <v>10</v>
      </c>
      <c r="L573" s="318"/>
      <c r="M573" s="318"/>
      <c r="N573" s="318">
        <f t="shared" si="0"/>
        <v>0</v>
      </c>
      <c r="O573" s="318"/>
      <c r="P573" s="318"/>
      <c r="Q573" s="318"/>
      <c r="R573" s="205"/>
      <c r="T573" s="147" t="s">
        <v>5</v>
      </c>
      <c r="U573" s="44" t="s">
        <v>43</v>
      </c>
      <c r="V573" s="148">
        <v>1.281</v>
      </c>
      <c r="W573" s="148">
        <f t="shared" si="1"/>
        <v>12.809999999999999</v>
      </c>
      <c r="X573" s="148">
        <v>0.00035</v>
      </c>
      <c r="Y573" s="148">
        <f t="shared" si="2"/>
        <v>0.0035</v>
      </c>
      <c r="Z573" s="148">
        <v>0</v>
      </c>
      <c r="AA573" s="149">
        <f t="shared" si="3"/>
        <v>0</v>
      </c>
      <c r="AR573" s="21" t="s">
        <v>585</v>
      </c>
      <c r="AT573" s="21" t="s">
        <v>168</v>
      </c>
      <c r="AU573" s="21" t="s">
        <v>135</v>
      </c>
      <c r="AY573" s="21" t="s">
        <v>167</v>
      </c>
      <c r="BE573" s="150">
        <f t="shared" si="4"/>
        <v>0</v>
      </c>
      <c r="BF573" s="150">
        <f t="shared" si="5"/>
        <v>0</v>
      </c>
      <c r="BG573" s="150">
        <f t="shared" si="6"/>
        <v>0</v>
      </c>
      <c r="BH573" s="150">
        <f t="shared" si="7"/>
        <v>0</v>
      </c>
      <c r="BI573" s="150">
        <f t="shared" si="8"/>
        <v>0</v>
      </c>
      <c r="BJ573" s="21" t="s">
        <v>21</v>
      </c>
      <c r="BK573" s="150">
        <f t="shared" si="9"/>
        <v>0</v>
      </c>
      <c r="BL573" s="21" t="s">
        <v>585</v>
      </c>
      <c r="BM573" s="21" t="s">
        <v>1634</v>
      </c>
    </row>
    <row r="574" spans="2:65" s="1" customFormat="1" ht="44.25" customHeight="1">
      <c r="B574" s="141"/>
      <c r="C574" s="201" t="s">
        <v>975</v>
      </c>
      <c r="D574" s="201" t="s">
        <v>168</v>
      </c>
      <c r="E574" s="202" t="s">
        <v>1635</v>
      </c>
      <c r="F574" s="317" t="s">
        <v>1636</v>
      </c>
      <c r="G574" s="317"/>
      <c r="H574" s="317"/>
      <c r="I574" s="317"/>
      <c r="J574" s="203" t="s">
        <v>259</v>
      </c>
      <c r="K574" s="204">
        <v>8</v>
      </c>
      <c r="L574" s="318"/>
      <c r="M574" s="318"/>
      <c r="N574" s="318">
        <f t="shared" si="0"/>
        <v>0</v>
      </c>
      <c r="O574" s="318"/>
      <c r="P574" s="318"/>
      <c r="Q574" s="318"/>
      <c r="R574" s="205"/>
      <c r="T574" s="147" t="s">
        <v>5</v>
      </c>
      <c r="U574" s="44" t="s">
        <v>43</v>
      </c>
      <c r="V574" s="148">
        <v>0.135</v>
      </c>
      <c r="W574" s="148">
        <f t="shared" si="1"/>
        <v>1.08</v>
      </c>
      <c r="X574" s="148">
        <v>0</v>
      </c>
      <c r="Y574" s="148">
        <f t="shared" si="2"/>
        <v>0</v>
      </c>
      <c r="Z574" s="148">
        <v>0</v>
      </c>
      <c r="AA574" s="149">
        <f t="shared" si="3"/>
        <v>0</v>
      </c>
      <c r="AR574" s="21" t="s">
        <v>172</v>
      </c>
      <c r="AT574" s="21" t="s">
        <v>168</v>
      </c>
      <c r="AU574" s="21" t="s">
        <v>135</v>
      </c>
      <c r="AY574" s="21" t="s">
        <v>167</v>
      </c>
      <c r="BE574" s="150">
        <f t="shared" si="4"/>
        <v>0</v>
      </c>
      <c r="BF574" s="150">
        <f t="shared" si="5"/>
        <v>0</v>
      </c>
      <c r="BG574" s="150">
        <f t="shared" si="6"/>
        <v>0</v>
      </c>
      <c r="BH574" s="150">
        <f t="shared" si="7"/>
        <v>0</v>
      </c>
      <c r="BI574" s="150">
        <f t="shared" si="8"/>
        <v>0</v>
      </c>
      <c r="BJ574" s="21" t="s">
        <v>21</v>
      </c>
      <c r="BK574" s="150">
        <f t="shared" si="9"/>
        <v>0</v>
      </c>
      <c r="BL574" s="21" t="s">
        <v>172</v>
      </c>
      <c r="BM574" s="21" t="s">
        <v>1637</v>
      </c>
    </row>
    <row r="575" spans="2:65" s="1" customFormat="1" ht="31.5" customHeight="1">
      <c r="B575" s="141"/>
      <c r="C575" s="225" t="s">
        <v>979</v>
      </c>
      <c r="D575" s="225" t="s">
        <v>317</v>
      </c>
      <c r="E575" s="226" t="s">
        <v>1638</v>
      </c>
      <c r="F575" s="331" t="s">
        <v>1639</v>
      </c>
      <c r="G575" s="331"/>
      <c r="H575" s="331"/>
      <c r="I575" s="331"/>
      <c r="J575" s="227" t="s">
        <v>259</v>
      </c>
      <c r="K575" s="228">
        <v>8</v>
      </c>
      <c r="L575" s="332"/>
      <c r="M575" s="332"/>
      <c r="N575" s="332">
        <f t="shared" si="0"/>
        <v>0</v>
      </c>
      <c r="O575" s="318"/>
      <c r="P575" s="318"/>
      <c r="Q575" s="318"/>
      <c r="R575" s="205"/>
      <c r="T575" s="147" t="s">
        <v>5</v>
      </c>
      <c r="U575" s="44" t="s">
        <v>43</v>
      </c>
      <c r="V575" s="148">
        <v>0</v>
      </c>
      <c r="W575" s="148">
        <f t="shared" si="1"/>
        <v>0</v>
      </c>
      <c r="X575" s="148">
        <v>0.00146</v>
      </c>
      <c r="Y575" s="148">
        <f t="shared" si="2"/>
        <v>0.01168</v>
      </c>
      <c r="Z575" s="148">
        <v>0</v>
      </c>
      <c r="AA575" s="149">
        <f t="shared" si="3"/>
        <v>0</v>
      </c>
      <c r="AR575" s="21" t="s">
        <v>213</v>
      </c>
      <c r="AT575" s="21" t="s">
        <v>317</v>
      </c>
      <c r="AU575" s="21" t="s">
        <v>135</v>
      </c>
      <c r="AY575" s="21" t="s">
        <v>167</v>
      </c>
      <c r="BE575" s="150">
        <f t="shared" si="4"/>
        <v>0</v>
      </c>
      <c r="BF575" s="150">
        <f t="shared" si="5"/>
        <v>0</v>
      </c>
      <c r="BG575" s="150">
        <f t="shared" si="6"/>
        <v>0</v>
      </c>
      <c r="BH575" s="150">
        <f t="shared" si="7"/>
        <v>0</v>
      </c>
      <c r="BI575" s="150">
        <f t="shared" si="8"/>
        <v>0</v>
      </c>
      <c r="BJ575" s="21" t="s">
        <v>21</v>
      </c>
      <c r="BK575" s="150">
        <f t="shared" si="9"/>
        <v>0</v>
      </c>
      <c r="BL575" s="21" t="s">
        <v>172</v>
      </c>
      <c r="BM575" s="21" t="s">
        <v>1640</v>
      </c>
    </row>
    <row r="576" spans="2:65" s="1" customFormat="1" ht="44.25" customHeight="1">
      <c r="B576" s="141"/>
      <c r="C576" s="201" t="s">
        <v>980</v>
      </c>
      <c r="D576" s="201" t="s">
        <v>168</v>
      </c>
      <c r="E576" s="202" t="s">
        <v>1641</v>
      </c>
      <c r="F576" s="317" t="s">
        <v>1642</v>
      </c>
      <c r="G576" s="317"/>
      <c r="H576" s="317"/>
      <c r="I576" s="317"/>
      <c r="J576" s="203" t="s">
        <v>259</v>
      </c>
      <c r="K576" s="204">
        <v>5</v>
      </c>
      <c r="L576" s="318"/>
      <c r="M576" s="318"/>
      <c r="N576" s="318">
        <f t="shared" si="0"/>
        <v>0</v>
      </c>
      <c r="O576" s="318"/>
      <c r="P576" s="318"/>
      <c r="Q576" s="318"/>
      <c r="R576" s="205"/>
      <c r="T576" s="147" t="s">
        <v>5</v>
      </c>
      <c r="U576" s="44" t="s">
        <v>43</v>
      </c>
      <c r="V576" s="148">
        <v>0.142</v>
      </c>
      <c r="W576" s="148">
        <f t="shared" si="1"/>
        <v>0.71</v>
      </c>
      <c r="X576" s="148">
        <v>0</v>
      </c>
      <c r="Y576" s="148">
        <f t="shared" si="2"/>
        <v>0</v>
      </c>
      <c r="Z576" s="148">
        <v>0</v>
      </c>
      <c r="AA576" s="149">
        <f t="shared" si="3"/>
        <v>0</v>
      </c>
      <c r="AR576" s="21" t="s">
        <v>172</v>
      </c>
      <c r="AT576" s="21" t="s">
        <v>168</v>
      </c>
      <c r="AU576" s="21" t="s">
        <v>135</v>
      </c>
      <c r="AY576" s="21" t="s">
        <v>167</v>
      </c>
      <c r="BE576" s="150">
        <f t="shared" si="4"/>
        <v>0</v>
      </c>
      <c r="BF576" s="150">
        <f t="shared" si="5"/>
        <v>0</v>
      </c>
      <c r="BG576" s="150">
        <f t="shared" si="6"/>
        <v>0</v>
      </c>
      <c r="BH576" s="150">
        <f t="shared" si="7"/>
        <v>0</v>
      </c>
      <c r="BI576" s="150">
        <f t="shared" si="8"/>
        <v>0</v>
      </c>
      <c r="BJ576" s="21" t="s">
        <v>21</v>
      </c>
      <c r="BK576" s="150">
        <f t="shared" si="9"/>
        <v>0</v>
      </c>
      <c r="BL576" s="21" t="s">
        <v>172</v>
      </c>
      <c r="BM576" s="21" t="s">
        <v>1643</v>
      </c>
    </row>
    <row r="577" spans="2:65" s="1" customFormat="1" ht="31.5" customHeight="1">
      <c r="B577" s="141"/>
      <c r="C577" s="225" t="s">
        <v>987</v>
      </c>
      <c r="D577" s="225" t="s">
        <v>317</v>
      </c>
      <c r="E577" s="226" t="s">
        <v>1644</v>
      </c>
      <c r="F577" s="331" t="s">
        <v>1645</v>
      </c>
      <c r="G577" s="331"/>
      <c r="H577" s="331"/>
      <c r="I577" s="331"/>
      <c r="J577" s="227" t="s">
        <v>259</v>
      </c>
      <c r="K577" s="228">
        <v>5</v>
      </c>
      <c r="L577" s="332"/>
      <c r="M577" s="332"/>
      <c r="N577" s="332">
        <f t="shared" si="0"/>
        <v>0</v>
      </c>
      <c r="O577" s="318"/>
      <c r="P577" s="318"/>
      <c r="Q577" s="318"/>
      <c r="R577" s="205"/>
      <c r="T577" s="147" t="s">
        <v>5</v>
      </c>
      <c r="U577" s="44" t="s">
        <v>43</v>
      </c>
      <c r="V577" s="148">
        <v>0</v>
      </c>
      <c r="W577" s="148">
        <f t="shared" si="1"/>
        <v>0</v>
      </c>
      <c r="X577" s="148">
        <v>0.00211</v>
      </c>
      <c r="Y577" s="148">
        <f t="shared" si="2"/>
        <v>0.01055</v>
      </c>
      <c r="Z577" s="148">
        <v>0</v>
      </c>
      <c r="AA577" s="149">
        <f t="shared" si="3"/>
        <v>0</v>
      </c>
      <c r="AR577" s="21" t="s">
        <v>213</v>
      </c>
      <c r="AT577" s="21" t="s">
        <v>317</v>
      </c>
      <c r="AU577" s="21" t="s">
        <v>135</v>
      </c>
      <c r="AY577" s="21" t="s">
        <v>167</v>
      </c>
      <c r="BE577" s="150">
        <f t="shared" si="4"/>
        <v>0</v>
      </c>
      <c r="BF577" s="150">
        <f t="shared" si="5"/>
        <v>0</v>
      </c>
      <c r="BG577" s="150">
        <f t="shared" si="6"/>
        <v>0</v>
      </c>
      <c r="BH577" s="150">
        <f t="shared" si="7"/>
        <v>0</v>
      </c>
      <c r="BI577" s="150">
        <f t="shared" si="8"/>
        <v>0</v>
      </c>
      <c r="BJ577" s="21" t="s">
        <v>21</v>
      </c>
      <c r="BK577" s="150">
        <f t="shared" si="9"/>
        <v>0</v>
      </c>
      <c r="BL577" s="21" t="s">
        <v>172</v>
      </c>
      <c r="BM577" s="21" t="s">
        <v>1646</v>
      </c>
    </row>
    <row r="578" spans="2:65" s="1" customFormat="1" ht="22.5" customHeight="1">
      <c r="B578" s="141"/>
      <c r="C578" s="201" t="s">
        <v>992</v>
      </c>
      <c r="D578" s="201" t="s">
        <v>168</v>
      </c>
      <c r="E578" s="202" t="s">
        <v>1647</v>
      </c>
      <c r="F578" s="317" t="s">
        <v>1648</v>
      </c>
      <c r="G578" s="317"/>
      <c r="H578" s="317"/>
      <c r="I578" s="317"/>
      <c r="J578" s="203" t="s">
        <v>578</v>
      </c>
      <c r="K578" s="204">
        <v>2</v>
      </c>
      <c r="L578" s="318"/>
      <c r="M578" s="318"/>
      <c r="N578" s="318">
        <f t="shared" si="0"/>
        <v>0</v>
      </c>
      <c r="O578" s="318"/>
      <c r="P578" s="318"/>
      <c r="Q578" s="318"/>
      <c r="R578" s="205"/>
      <c r="T578" s="147" t="s">
        <v>5</v>
      </c>
      <c r="U578" s="44" t="s">
        <v>43</v>
      </c>
      <c r="V578" s="148">
        <v>0.65</v>
      </c>
      <c r="W578" s="148">
        <f t="shared" si="1"/>
        <v>1.3</v>
      </c>
      <c r="X578" s="148">
        <v>0.00069</v>
      </c>
      <c r="Y578" s="148">
        <f t="shared" si="2"/>
        <v>0.00138</v>
      </c>
      <c r="Z578" s="148">
        <v>0</v>
      </c>
      <c r="AA578" s="149">
        <f t="shared" si="3"/>
        <v>0</v>
      </c>
      <c r="AR578" s="21" t="s">
        <v>172</v>
      </c>
      <c r="AT578" s="21" t="s">
        <v>168</v>
      </c>
      <c r="AU578" s="21" t="s">
        <v>135</v>
      </c>
      <c r="AY578" s="21" t="s">
        <v>167</v>
      </c>
      <c r="BE578" s="150">
        <f t="shared" si="4"/>
        <v>0</v>
      </c>
      <c r="BF578" s="150">
        <f t="shared" si="5"/>
        <v>0</v>
      </c>
      <c r="BG578" s="150">
        <f t="shared" si="6"/>
        <v>0</v>
      </c>
      <c r="BH578" s="150">
        <f t="shared" si="7"/>
        <v>0</v>
      </c>
      <c r="BI578" s="150">
        <f t="shared" si="8"/>
        <v>0</v>
      </c>
      <c r="BJ578" s="21" t="s">
        <v>21</v>
      </c>
      <c r="BK578" s="150">
        <f t="shared" si="9"/>
        <v>0</v>
      </c>
      <c r="BL578" s="21" t="s">
        <v>172</v>
      </c>
      <c r="BM578" s="21" t="s">
        <v>1649</v>
      </c>
    </row>
    <row r="579" spans="2:65" s="1" customFormat="1" ht="22.5" customHeight="1">
      <c r="B579" s="141"/>
      <c r="C579" s="225" t="s">
        <v>997</v>
      </c>
      <c r="D579" s="225" t="s">
        <v>317</v>
      </c>
      <c r="E579" s="226" t="s">
        <v>1650</v>
      </c>
      <c r="F579" s="331" t="s">
        <v>1651</v>
      </c>
      <c r="G579" s="331"/>
      <c r="H579" s="331"/>
      <c r="I579" s="331"/>
      <c r="J579" s="227" t="s">
        <v>578</v>
      </c>
      <c r="K579" s="228">
        <v>2</v>
      </c>
      <c r="L579" s="332"/>
      <c r="M579" s="332"/>
      <c r="N579" s="332">
        <f t="shared" si="0"/>
        <v>0</v>
      </c>
      <c r="O579" s="318"/>
      <c r="P579" s="318"/>
      <c r="Q579" s="318"/>
      <c r="R579" s="205"/>
      <c r="T579" s="147" t="s">
        <v>5</v>
      </c>
      <c r="U579" s="44" t="s">
        <v>43</v>
      </c>
      <c r="V579" s="148">
        <v>0</v>
      </c>
      <c r="W579" s="148">
        <f t="shared" si="1"/>
        <v>0</v>
      </c>
      <c r="X579" s="148">
        <v>0.0195</v>
      </c>
      <c r="Y579" s="148">
        <f t="shared" si="2"/>
        <v>0.039</v>
      </c>
      <c r="Z579" s="148">
        <v>0</v>
      </c>
      <c r="AA579" s="149">
        <f t="shared" si="3"/>
        <v>0</v>
      </c>
      <c r="AR579" s="21" t="s">
        <v>213</v>
      </c>
      <c r="AT579" s="21" t="s">
        <v>317</v>
      </c>
      <c r="AU579" s="21" t="s">
        <v>135</v>
      </c>
      <c r="AY579" s="21" t="s">
        <v>167</v>
      </c>
      <c r="BE579" s="150">
        <f t="shared" si="4"/>
        <v>0</v>
      </c>
      <c r="BF579" s="150">
        <f t="shared" si="5"/>
        <v>0</v>
      </c>
      <c r="BG579" s="150">
        <f t="shared" si="6"/>
        <v>0</v>
      </c>
      <c r="BH579" s="150">
        <f t="shared" si="7"/>
        <v>0</v>
      </c>
      <c r="BI579" s="150">
        <f t="shared" si="8"/>
        <v>0</v>
      </c>
      <c r="BJ579" s="21" t="s">
        <v>21</v>
      </c>
      <c r="BK579" s="150">
        <f t="shared" si="9"/>
        <v>0</v>
      </c>
      <c r="BL579" s="21" t="s">
        <v>172</v>
      </c>
      <c r="BM579" s="21" t="s">
        <v>1652</v>
      </c>
    </row>
    <row r="580" spans="2:65" s="1" customFormat="1" ht="22.5" customHeight="1">
      <c r="B580" s="141"/>
      <c r="C580" s="201" t="s">
        <v>1001</v>
      </c>
      <c r="D580" s="201" t="s">
        <v>168</v>
      </c>
      <c r="E580" s="202" t="s">
        <v>1653</v>
      </c>
      <c r="F580" s="317" t="s">
        <v>1654</v>
      </c>
      <c r="G580" s="317"/>
      <c r="H580" s="317"/>
      <c r="I580" s="317"/>
      <c r="J580" s="203" t="s">
        <v>578</v>
      </c>
      <c r="K580" s="204">
        <v>2</v>
      </c>
      <c r="L580" s="318"/>
      <c r="M580" s="318"/>
      <c r="N580" s="318">
        <f t="shared" si="0"/>
        <v>0</v>
      </c>
      <c r="O580" s="318"/>
      <c r="P580" s="318"/>
      <c r="Q580" s="318"/>
      <c r="R580" s="205"/>
      <c r="T580" s="147" t="s">
        <v>5</v>
      </c>
      <c r="U580" s="44" t="s">
        <v>43</v>
      </c>
      <c r="V580" s="148">
        <v>1.004</v>
      </c>
      <c r="W580" s="148">
        <f t="shared" si="1"/>
        <v>2.008</v>
      </c>
      <c r="X580" s="148">
        <v>0.00176</v>
      </c>
      <c r="Y580" s="148">
        <f t="shared" si="2"/>
        <v>0.00352</v>
      </c>
      <c r="Z580" s="148">
        <v>0</v>
      </c>
      <c r="AA580" s="149">
        <f t="shared" si="3"/>
        <v>0</v>
      </c>
      <c r="AR580" s="21" t="s">
        <v>281</v>
      </c>
      <c r="AT580" s="21" t="s">
        <v>168</v>
      </c>
      <c r="AU580" s="21" t="s">
        <v>135</v>
      </c>
      <c r="AY580" s="21" t="s">
        <v>167</v>
      </c>
      <c r="BE580" s="150">
        <f t="shared" si="4"/>
        <v>0</v>
      </c>
      <c r="BF580" s="150">
        <f t="shared" si="5"/>
        <v>0</v>
      </c>
      <c r="BG580" s="150">
        <f t="shared" si="6"/>
        <v>0</v>
      </c>
      <c r="BH580" s="150">
        <f t="shared" si="7"/>
        <v>0</v>
      </c>
      <c r="BI580" s="150">
        <f t="shared" si="8"/>
        <v>0</v>
      </c>
      <c r="BJ580" s="21" t="s">
        <v>21</v>
      </c>
      <c r="BK580" s="150">
        <f t="shared" si="9"/>
        <v>0</v>
      </c>
      <c r="BL580" s="21" t="s">
        <v>281</v>
      </c>
      <c r="BM580" s="21" t="s">
        <v>1655</v>
      </c>
    </row>
    <row r="581" spans="2:65" s="1" customFormat="1" ht="31.5" customHeight="1">
      <c r="B581" s="141"/>
      <c r="C581" s="201" t="s">
        <v>1005</v>
      </c>
      <c r="D581" s="201" t="s">
        <v>168</v>
      </c>
      <c r="E581" s="202" t="s">
        <v>1656</v>
      </c>
      <c r="F581" s="317" t="s">
        <v>1657</v>
      </c>
      <c r="G581" s="317"/>
      <c r="H581" s="317"/>
      <c r="I581" s="317"/>
      <c r="J581" s="203" t="s">
        <v>578</v>
      </c>
      <c r="K581" s="204">
        <v>2</v>
      </c>
      <c r="L581" s="318"/>
      <c r="M581" s="318"/>
      <c r="N581" s="318">
        <f t="shared" si="0"/>
        <v>0</v>
      </c>
      <c r="O581" s="318"/>
      <c r="P581" s="318"/>
      <c r="Q581" s="318"/>
      <c r="R581" s="205"/>
      <c r="T581" s="147" t="s">
        <v>5</v>
      </c>
      <c r="U581" s="44" t="s">
        <v>43</v>
      </c>
      <c r="V581" s="148">
        <v>0.52</v>
      </c>
      <c r="W581" s="148">
        <f t="shared" si="1"/>
        <v>1.04</v>
      </c>
      <c r="X581" s="148">
        <v>0.00315</v>
      </c>
      <c r="Y581" s="148">
        <f t="shared" si="2"/>
        <v>0.0063</v>
      </c>
      <c r="Z581" s="148">
        <v>0</v>
      </c>
      <c r="AA581" s="149">
        <f t="shared" si="3"/>
        <v>0</v>
      </c>
      <c r="AR581" s="21" t="s">
        <v>281</v>
      </c>
      <c r="AT581" s="21" t="s">
        <v>168</v>
      </c>
      <c r="AU581" s="21" t="s">
        <v>135</v>
      </c>
      <c r="AY581" s="21" t="s">
        <v>167</v>
      </c>
      <c r="BE581" s="150">
        <f t="shared" si="4"/>
        <v>0</v>
      </c>
      <c r="BF581" s="150">
        <f t="shared" si="5"/>
        <v>0</v>
      </c>
      <c r="BG581" s="150">
        <f t="shared" si="6"/>
        <v>0</v>
      </c>
      <c r="BH581" s="150">
        <f t="shared" si="7"/>
        <v>0</v>
      </c>
      <c r="BI581" s="150">
        <f t="shared" si="8"/>
        <v>0</v>
      </c>
      <c r="BJ581" s="21" t="s">
        <v>21</v>
      </c>
      <c r="BK581" s="150">
        <f t="shared" si="9"/>
        <v>0</v>
      </c>
      <c r="BL581" s="21" t="s">
        <v>281</v>
      </c>
      <c r="BM581" s="21" t="s">
        <v>1658</v>
      </c>
    </row>
    <row r="582" spans="2:65" s="1" customFormat="1" ht="44.25" customHeight="1">
      <c r="B582" s="141"/>
      <c r="C582" s="201" t="s">
        <v>1010</v>
      </c>
      <c r="D582" s="201" t="s">
        <v>168</v>
      </c>
      <c r="E582" s="202" t="s">
        <v>1659</v>
      </c>
      <c r="F582" s="317" t="s">
        <v>1660</v>
      </c>
      <c r="G582" s="317"/>
      <c r="H582" s="317"/>
      <c r="I582" s="317"/>
      <c r="J582" s="203" t="s">
        <v>171</v>
      </c>
      <c r="K582" s="204">
        <v>1</v>
      </c>
      <c r="L582" s="318"/>
      <c r="M582" s="318"/>
      <c r="N582" s="318">
        <f t="shared" si="0"/>
        <v>0</v>
      </c>
      <c r="O582" s="318"/>
      <c r="P582" s="318"/>
      <c r="Q582" s="318"/>
      <c r="R582" s="205"/>
      <c r="T582" s="147" t="s">
        <v>5</v>
      </c>
      <c r="U582" s="44" t="s">
        <v>43</v>
      </c>
      <c r="V582" s="148">
        <v>0.52</v>
      </c>
      <c r="W582" s="148">
        <f t="shared" si="1"/>
        <v>0.52</v>
      </c>
      <c r="X582" s="148">
        <v>0.00315</v>
      </c>
      <c r="Y582" s="148">
        <f t="shared" si="2"/>
        <v>0.00315</v>
      </c>
      <c r="Z582" s="148">
        <v>0</v>
      </c>
      <c r="AA582" s="149">
        <f t="shared" si="3"/>
        <v>0</v>
      </c>
      <c r="AR582" s="21" t="s">
        <v>281</v>
      </c>
      <c r="AT582" s="21" t="s">
        <v>168</v>
      </c>
      <c r="AU582" s="21" t="s">
        <v>135</v>
      </c>
      <c r="AY582" s="21" t="s">
        <v>167</v>
      </c>
      <c r="BE582" s="150">
        <f t="shared" si="4"/>
        <v>0</v>
      </c>
      <c r="BF582" s="150">
        <f t="shared" si="5"/>
        <v>0</v>
      </c>
      <c r="BG582" s="150">
        <f t="shared" si="6"/>
        <v>0</v>
      </c>
      <c r="BH582" s="150">
        <f t="shared" si="7"/>
        <v>0</v>
      </c>
      <c r="BI582" s="150">
        <f t="shared" si="8"/>
        <v>0</v>
      </c>
      <c r="BJ582" s="21" t="s">
        <v>21</v>
      </c>
      <c r="BK582" s="150">
        <f t="shared" si="9"/>
        <v>0</v>
      </c>
      <c r="BL582" s="21" t="s">
        <v>281</v>
      </c>
      <c r="BM582" s="21" t="s">
        <v>1661</v>
      </c>
    </row>
    <row r="583" spans="2:65" s="1" customFormat="1" ht="22.5" customHeight="1">
      <c r="B583" s="141"/>
      <c r="C583" s="201" t="s">
        <v>1014</v>
      </c>
      <c r="D583" s="201" t="s">
        <v>168</v>
      </c>
      <c r="E583" s="202" t="s">
        <v>1662</v>
      </c>
      <c r="F583" s="317" t="s">
        <v>1663</v>
      </c>
      <c r="G583" s="317"/>
      <c r="H583" s="317"/>
      <c r="I583" s="317"/>
      <c r="J583" s="203" t="s">
        <v>171</v>
      </c>
      <c r="K583" s="204">
        <v>1</v>
      </c>
      <c r="L583" s="318"/>
      <c r="M583" s="318"/>
      <c r="N583" s="318">
        <f t="shared" si="0"/>
        <v>0</v>
      </c>
      <c r="O583" s="318"/>
      <c r="P583" s="318"/>
      <c r="Q583" s="318"/>
      <c r="R583" s="205"/>
      <c r="T583" s="147" t="s">
        <v>5</v>
      </c>
      <c r="U583" s="44" t="s">
        <v>43</v>
      </c>
      <c r="V583" s="148">
        <v>0.52</v>
      </c>
      <c r="W583" s="148">
        <f t="shared" si="1"/>
        <v>0.52</v>
      </c>
      <c r="X583" s="148">
        <v>0.00315</v>
      </c>
      <c r="Y583" s="148">
        <f t="shared" si="2"/>
        <v>0.00315</v>
      </c>
      <c r="Z583" s="148">
        <v>0</v>
      </c>
      <c r="AA583" s="149">
        <f t="shared" si="3"/>
        <v>0</v>
      </c>
      <c r="AR583" s="21" t="s">
        <v>281</v>
      </c>
      <c r="AT583" s="21" t="s">
        <v>168</v>
      </c>
      <c r="AU583" s="21" t="s">
        <v>135</v>
      </c>
      <c r="AY583" s="21" t="s">
        <v>167</v>
      </c>
      <c r="BE583" s="150">
        <f t="shared" si="4"/>
        <v>0</v>
      </c>
      <c r="BF583" s="150">
        <f t="shared" si="5"/>
        <v>0</v>
      </c>
      <c r="BG583" s="150">
        <f t="shared" si="6"/>
        <v>0</v>
      </c>
      <c r="BH583" s="150">
        <f t="shared" si="7"/>
        <v>0</v>
      </c>
      <c r="BI583" s="150">
        <f t="shared" si="8"/>
        <v>0</v>
      </c>
      <c r="BJ583" s="21" t="s">
        <v>21</v>
      </c>
      <c r="BK583" s="150">
        <f t="shared" si="9"/>
        <v>0</v>
      </c>
      <c r="BL583" s="21" t="s">
        <v>281</v>
      </c>
      <c r="BM583" s="21" t="s">
        <v>1664</v>
      </c>
    </row>
    <row r="584" spans="2:65" s="1" customFormat="1" ht="22.5" customHeight="1">
      <c r="B584" s="141"/>
      <c r="C584" s="201" t="s">
        <v>1019</v>
      </c>
      <c r="D584" s="201" t="s">
        <v>168</v>
      </c>
      <c r="E584" s="202" t="s">
        <v>1665</v>
      </c>
      <c r="F584" s="317" t="s">
        <v>1666</v>
      </c>
      <c r="G584" s="317"/>
      <c r="H584" s="317"/>
      <c r="I584" s="317"/>
      <c r="J584" s="203" t="s">
        <v>171</v>
      </c>
      <c r="K584" s="204">
        <v>1</v>
      </c>
      <c r="L584" s="318"/>
      <c r="M584" s="318"/>
      <c r="N584" s="318">
        <f t="shared" si="0"/>
        <v>0</v>
      </c>
      <c r="O584" s="318"/>
      <c r="P584" s="318"/>
      <c r="Q584" s="318"/>
      <c r="R584" s="205"/>
      <c r="T584" s="147" t="s">
        <v>5</v>
      </c>
      <c r="U584" s="44" t="s">
        <v>43</v>
      </c>
      <c r="V584" s="148">
        <v>0.52</v>
      </c>
      <c r="W584" s="148">
        <f t="shared" si="1"/>
        <v>0.52</v>
      </c>
      <c r="X584" s="148">
        <v>0.00315</v>
      </c>
      <c r="Y584" s="148">
        <f t="shared" si="2"/>
        <v>0.00315</v>
      </c>
      <c r="Z584" s="148">
        <v>0</v>
      </c>
      <c r="AA584" s="149">
        <f t="shared" si="3"/>
        <v>0</v>
      </c>
      <c r="AR584" s="21" t="s">
        <v>281</v>
      </c>
      <c r="AT584" s="21" t="s">
        <v>168</v>
      </c>
      <c r="AU584" s="21" t="s">
        <v>135</v>
      </c>
      <c r="AY584" s="21" t="s">
        <v>167</v>
      </c>
      <c r="BE584" s="150">
        <f t="shared" si="4"/>
        <v>0</v>
      </c>
      <c r="BF584" s="150">
        <f t="shared" si="5"/>
        <v>0</v>
      </c>
      <c r="BG584" s="150">
        <f t="shared" si="6"/>
        <v>0</v>
      </c>
      <c r="BH584" s="150">
        <f t="shared" si="7"/>
        <v>0</v>
      </c>
      <c r="BI584" s="150">
        <f t="shared" si="8"/>
        <v>0</v>
      </c>
      <c r="BJ584" s="21" t="s">
        <v>21</v>
      </c>
      <c r="BK584" s="150">
        <f t="shared" si="9"/>
        <v>0</v>
      </c>
      <c r="BL584" s="21" t="s">
        <v>281</v>
      </c>
      <c r="BM584" s="21" t="s">
        <v>1667</v>
      </c>
    </row>
    <row r="585" spans="2:63" s="9" customFormat="1" ht="29.85" customHeight="1">
      <c r="B585" s="130"/>
      <c r="C585" s="222"/>
      <c r="D585" s="223" t="s">
        <v>1270</v>
      </c>
      <c r="E585" s="223"/>
      <c r="F585" s="223"/>
      <c r="G585" s="223"/>
      <c r="H585" s="223"/>
      <c r="I585" s="223"/>
      <c r="J585" s="223"/>
      <c r="K585" s="223"/>
      <c r="L585" s="223"/>
      <c r="M585" s="223"/>
      <c r="N585" s="335">
        <f>BK585</f>
        <v>0</v>
      </c>
      <c r="O585" s="336"/>
      <c r="P585" s="336"/>
      <c r="Q585" s="336"/>
      <c r="R585" s="224"/>
      <c r="T585" s="134"/>
      <c r="U585" s="131"/>
      <c r="V585" s="131"/>
      <c r="W585" s="135">
        <f>SUM(W586:W589)</f>
        <v>245.78415500000003</v>
      </c>
      <c r="X585" s="131"/>
      <c r="Y585" s="135">
        <f>SUM(Y586:Y589)</f>
        <v>0</v>
      </c>
      <c r="Z585" s="131"/>
      <c r="AA585" s="136">
        <f>SUM(AA586:AA589)</f>
        <v>0</v>
      </c>
      <c r="AR585" s="137" t="s">
        <v>21</v>
      </c>
      <c r="AT585" s="138" t="s">
        <v>77</v>
      </c>
      <c r="AU585" s="138" t="s">
        <v>21</v>
      </c>
      <c r="AY585" s="137" t="s">
        <v>167</v>
      </c>
      <c r="BK585" s="139">
        <f>SUM(BK586:BK589)</f>
        <v>0</v>
      </c>
    </row>
    <row r="586" spans="2:65" s="1" customFormat="1" ht="31.5" customHeight="1">
      <c r="B586" s="141"/>
      <c r="C586" s="201" t="s">
        <v>1023</v>
      </c>
      <c r="D586" s="201" t="s">
        <v>168</v>
      </c>
      <c r="E586" s="202" t="s">
        <v>1668</v>
      </c>
      <c r="F586" s="317" t="s">
        <v>1669</v>
      </c>
      <c r="G586" s="317"/>
      <c r="H586" s="317"/>
      <c r="I586" s="317"/>
      <c r="J586" s="203" t="s">
        <v>210</v>
      </c>
      <c r="K586" s="204">
        <v>1328.563</v>
      </c>
      <c r="L586" s="318"/>
      <c r="M586" s="318"/>
      <c r="N586" s="318">
        <f>ROUND(L586*K586,2)</f>
        <v>0</v>
      </c>
      <c r="O586" s="318"/>
      <c r="P586" s="318"/>
      <c r="Q586" s="318"/>
      <c r="R586" s="205"/>
      <c r="T586" s="147" t="s">
        <v>5</v>
      </c>
      <c r="U586" s="44" t="s">
        <v>43</v>
      </c>
      <c r="V586" s="148">
        <v>0.125</v>
      </c>
      <c r="W586" s="148">
        <f>V586*K586</f>
        <v>166.070375</v>
      </c>
      <c r="X586" s="148">
        <v>0</v>
      </c>
      <c r="Y586" s="148">
        <f>X586*K586</f>
        <v>0</v>
      </c>
      <c r="Z586" s="148">
        <v>0</v>
      </c>
      <c r="AA586" s="149">
        <f>Z586*K586</f>
        <v>0</v>
      </c>
      <c r="AR586" s="21" t="s">
        <v>172</v>
      </c>
      <c r="AT586" s="21" t="s">
        <v>168</v>
      </c>
      <c r="AU586" s="21" t="s">
        <v>135</v>
      </c>
      <c r="AY586" s="21" t="s">
        <v>167</v>
      </c>
      <c r="BE586" s="150">
        <f>IF(U586="základní",N586,0)</f>
        <v>0</v>
      </c>
      <c r="BF586" s="150">
        <f>IF(U586="snížená",N586,0)</f>
        <v>0</v>
      </c>
      <c r="BG586" s="150">
        <f>IF(U586="zákl. přenesená",N586,0)</f>
        <v>0</v>
      </c>
      <c r="BH586" s="150">
        <f>IF(U586="sníž. přenesená",N586,0)</f>
        <v>0</v>
      </c>
      <c r="BI586" s="150">
        <f>IF(U586="nulová",N586,0)</f>
        <v>0</v>
      </c>
      <c r="BJ586" s="21" t="s">
        <v>21</v>
      </c>
      <c r="BK586" s="150">
        <f>ROUND(L586*K586,2)</f>
        <v>0</v>
      </c>
      <c r="BL586" s="21" t="s">
        <v>172</v>
      </c>
      <c r="BM586" s="21" t="s">
        <v>1670</v>
      </c>
    </row>
    <row r="587" spans="2:65" s="1" customFormat="1" ht="31.5" customHeight="1">
      <c r="B587" s="141"/>
      <c r="C587" s="201" t="s">
        <v>1027</v>
      </c>
      <c r="D587" s="201" t="s">
        <v>168</v>
      </c>
      <c r="E587" s="202" t="s">
        <v>1671</v>
      </c>
      <c r="F587" s="317" t="s">
        <v>1672</v>
      </c>
      <c r="G587" s="317"/>
      <c r="H587" s="317"/>
      <c r="I587" s="317"/>
      <c r="J587" s="203" t="s">
        <v>210</v>
      </c>
      <c r="K587" s="204">
        <f>+K586*10</f>
        <v>13285.630000000001</v>
      </c>
      <c r="L587" s="318"/>
      <c r="M587" s="318"/>
      <c r="N587" s="318">
        <f>ROUND(L587*K587,2)</f>
        <v>0</v>
      </c>
      <c r="O587" s="318"/>
      <c r="P587" s="318"/>
      <c r="Q587" s="318"/>
      <c r="R587" s="205"/>
      <c r="T587" s="147" t="s">
        <v>5</v>
      </c>
      <c r="U587" s="44" t="s">
        <v>43</v>
      </c>
      <c r="V587" s="148">
        <v>0.006</v>
      </c>
      <c r="W587" s="148">
        <f>V587*K587</f>
        <v>79.71378000000001</v>
      </c>
      <c r="X587" s="148">
        <v>0</v>
      </c>
      <c r="Y587" s="148">
        <f>X587*K587</f>
        <v>0</v>
      </c>
      <c r="Z587" s="148">
        <v>0</v>
      </c>
      <c r="AA587" s="149">
        <f>Z587*K587</f>
        <v>0</v>
      </c>
      <c r="AR587" s="21" t="s">
        <v>172</v>
      </c>
      <c r="AT587" s="21" t="s">
        <v>168</v>
      </c>
      <c r="AU587" s="21" t="s">
        <v>135</v>
      </c>
      <c r="AY587" s="21" t="s">
        <v>167</v>
      </c>
      <c r="BE587" s="150">
        <f>IF(U587="základní",N587,0)</f>
        <v>0</v>
      </c>
      <c r="BF587" s="150">
        <f>IF(U587="snížená",N587,0)</f>
        <v>0</v>
      </c>
      <c r="BG587" s="150">
        <f>IF(U587="zákl. přenesená",N587,0)</f>
        <v>0</v>
      </c>
      <c r="BH587" s="150">
        <f>IF(U587="sníž. přenesená",N587,0)</f>
        <v>0</v>
      </c>
      <c r="BI587" s="150">
        <f>IF(U587="nulová",N587,0)</f>
        <v>0</v>
      </c>
      <c r="BJ587" s="21" t="s">
        <v>21</v>
      </c>
      <c r="BK587" s="150">
        <f>ROUND(L587*K587,2)</f>
        <v>0</v>
      </c>
      <c r="BL587" s="21" t="s">
        <v>172</v>
      </c>
      <c r="BM587" s="21" t="s">
        <v>1673</v>
      </c>
    </row>
    <row r="588" spans="2:65" s="1" customFormat="1" ht="31.5" customHeight="1">
      <c r="B588" s="141"/>
      <c r="C588" s="201" t="s">
        <v>26</v>
      </c>
      <c r="D588" s="201" t="s">
        <v>168</v>
      </c>
      <c r="E588" s="202" t="s">
        <v>1674</v>
      </c>
      <c r="F588" s="317" t="s">
        <v>1675</v>
      </c>
      <c r="G588" s="317"/>
      <c r="H588" s="317"/>
      <c r="I588" s="317"/>
      <c r="J588" s="203" t="s">
        <v>210</v>
      </c>
      <c r="K588" s="204">
        <v>236.471</v>
      </c>
      <c r="L588" s="318"/>
      <c r="M588" s="318"/>
      <c r="N588" s="318">
        <f>ROUND(L588*K588,2)</f>
        <v>0</v>
      </c>
      <c r="O588" s="318"/>
      <c r="P588" s="318"/>
      <c r="Q588" s="318"/>
      <c r="R588" s="205"/>
      <c r="T588" s="147" t="s">
        <v>5</v>
      </c>
      <c r="U588" s="44" t="s">
        <v>43</v>
      </c>
      <c r="V588" s="148">
        <v>0</v>
      </c>
      <c r="W588" s="148">
        <f>V588*K588</f>
        <v>0</v>
      </c>
      <c r="X588" s="148">
        <v>0</v>
      </c>
      <c r="Y588" s="148">
        <f>X588*K588</f>
        <v>0</v>
      </c>
      <c r="Z588" s="148">
        <v>0</v>
      </c>
      <c r="AA588" s="149">
        <f>Z588*K588</f>
        <v>0</v>
      </c>
      <c r="AR588" s="21" t="s">
        <v>172</v>
      </c>
      <c r="AT588" s="21" t="s">
        <v>168</v>
      </c>
      <c r="AU588" s="21" t="s">
        <v>135</v>
      </c>
      <c r="AY588" s="21" t="s">
        <v>167</v>
      </c>
      <c r="BE588" s="150">
        <f>IF(U588="základní",N588,0)</f>
        <v>0</v>
      </c>
      <c r="BF588" s="150">
        <f>IF(U588="snížená",N588,0)</f>
        <v>0</v>
      </c>
      <c r="BG588" s="150">
        <f>IF(U588="zákl. přenesená",N588,0)</f>
        <v>0</v>
      </c>
      <c r="BH588" s="150">
        <f>IF(U588="sníž. přenesená",N588,0)</f>
        <v>0</v>
      </c>
      <c r="BI588" s="150">
        <f>IF(U588="nulová",N588,0)</f>
        <v>0</v>
      </c>
      <c r="BJ588" s="21" t="s">
        <v>21</v>
      </c>
      <c r="BK588" s="150">
        <f>ROUND(L588*K588,2)</f>
        <v>0</v>
      </c>
      <c r="BL588" s="21" t="s">
        <v>172</v>
      </c>
      <c r="BM588" s="21" t="s">
        <v>1676</v>
      </c>
    </row>
    <row r="589" spans="2:65" s="1" customFormat="1" ht="31.5" customHeight="1">
      <c r="B589" s="141"/>
      <c r="C589" s="201" t="s">
        <v>1035</v>
      </c>
      <c r="D589" s="201" t="s">
        <v>168</v>
      </c>
      <c r="E589" s="202" t="s">
        <v>1677</v>
      </c>
      <c r="F589" s="317" t="s">
        <v>1678</v>
      </c>
      <c r="G589" s="317"/>
      <c r="H589" s="317"/>
      <c r="I589" s="317"/>
      <c r="J589" s="203" t="s">
        <v>210</v>
      </c>
      <c r="K589" s="204">
        <v>1074.639</v>
      </c>
      <c r="L589" s="318"/>
      <c r="M589" s="318"/>
      <c r="N589" s="318">
        <f>ROUND(L589*K589,2)</f>
        <v>0</v>
      </c>
      <c r="O589" s="318"/>
      <c r="P589" s="318"/>
      <c r="Q589" s="318"/>
      <c r="R589" s="205"/>
      <c r="T589" s="147" t="s">
        <v>5</v>
      </c>
      <c r="U589" s="175" t="s">
        <v>43</v>
      </c>
      <c r="V589" s="176">
        <v>0</v>
      </c>
      <c r="W589" s="176">
        <f>V589*K589</f>
        <v>0</v>
      </c>
      <c r="X589" s="176">
        <v>0</v>
      </c>
      <c r="Y589" s="176">
        <f>X589*K589</f>
        <v>0</v>
      </c>
      <c r="Z589" s="176">
        <v>0</v>
      </c>
      <c r="AA589" s="177">
        <f>Z589*K589</f>
        <v>0</v>
      </c>
      <c r="AR589" s="21" t="s">
        <v>172</v>
      </c>
      <c r="AT589" s="21" t="s">
        <v>168</v>
      </c>
      <c r="AU589" s="21" t="s">
        <v>135</v>
      </c>
      <c r="AY589" s="21" t="s">
        <v>167</v>
      </c>
      <c r="BE589" s="150">
        <f>IF(U589="základní",N589,0)</f>
        <v>0</v>
      </c>
      <c r="BF589" s="150">
        <f>IF(U589="snížená",N589,0)</f>
        <v>0</v>
      </c>
      <c r="BG589" s="150">
        <f>IF(U589="zákl. přenesená",N589,0)</f>
        <v>0</v>
      </c>
      <c r="BH589" s="150">
        <f>IF(U589="sníž. přenesená",N589,0)</f>
        <v>0</v>
      </c>
      <c r="BI589" s="150">
        <f>IF(U589="nulová",N589,0)</f>
        <v>0</v>
      </c>
      <c r="BJ589" s="21" t="s">
        <v>21</v>
      </c>
      <c r="BK589" s="150">
        <f>ROUND(L589*K589,2)</f>
        <v>0</v>
      </c>
      <c r="BL589" s="21" t="s">
        <v>172</v>
      </c>
      <c r="BM589" s="21" t="s">
        <v>1679</v>
      </c>
    </row>
    <row r="590" spans="2:18" s="1" customFormat="1" ht="6.95" customHeight="1">
      <c r="B590" s="59"/>
      <c r="C590" s="229"/>
      <c r="D590" s="229"/>
      <c r="E590" s="229"/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30"/>
    </row>
    <row r="591" spans="3:18" ht="13.5"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</row>
    <row r="592" spans="3:18" ht="13.5">
      <c r="C592" s="231"/>
      <c r="D592" s="231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</row>
    <row r="593" spans="3:18" ht="13.5">
      <c r="C593" s="231"/>
      <c r="D593" s="231"/>
      <c r="E593" s="231"/>
      <c r="F593" s="231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  <c r="R593" s="231"/>
    </row>
    <row r="594" spans="3:18" ht="13.5">
      <c r="C594" s="231"/>
      <c r="D594" s="231"/>
      <c r="E594" s="231"/>
      <c r="F594" s="231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  <c r="R594" s="231"/>
    </row>
    <row r="595" spans="3:18" ht="13.5">
      <c r="C595" s="231"/>
      <c r="D595" s="231"/>
      <c r="E595" s="231"/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</row>
    <row r="596" spans="3:18" ht="13.5">
      <c r="C596" s="231"/>
      <c r="D596" s="231"/>
      <c r="E596" s="231"/>
      <c r="F596" s="231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  <c r="R596" s="231"/>
    </row>
    <row r="597" spans="3:18" ht="13.5">
      <c r="C597" s="231"/>
      <c r="D597" s="231"/>
      <c r="E597" s="231"/>
      <c r="F597" s="231"/>
      <c r="G597" s="231"/>
      <c r="H597" s="231"/>
      <c r="I597" s="231"/>
      <c r="J597" s="231"/>
      <c r="K597" s="231"/>
      <c r="L597" s="231"/>
      <c r="M597" s="231"/>
      <c r="N597" s="231"/>
      <c r="O597" s="231"/>
      <c r="P597" s="231"/>
      <c r="Q597" s="231"/>
      <c r="R597" s="231"/>
    </row>
    <row r="598" spans="3:18" ht="13.5">
      <c r="C598" s="231"/>
      <c r="D598" s="231"/>
      <c r="E598" s="231"/>
      <c r="F598" s="231"/>
      <c r="G598" s="231"/>
      <c r="H598" s="231"/>
      <c r="I598" s="231"/>
      <c r="J598" s="231"/>
      <c r="K598" s="231"/>
      <c r="L598" s="231"/>
      <c r="M598" s="231"/>
      <c r="N598" s="231"/>
      <c r="O598" s="231"/>
      <c r="P598" s="231"/>
      <c r="Q598" s="231"/>
      <c r="R598" s="231"/>
    </row>
    <row r="599" spans="3:18" ht="13.5">
      <c r="C599" s="231"/>
      <c r="D599" s="231"/>
      <c r="E599" s="231"/>
      <c r="F599" s="231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  <c r="R599" s="231"/>
    </row>
    <row r="600" spans="3:18" ht="13.5">
      <c r="C600" s="231"/>
      <c r="D600" s="231"/>
      <c r="E600" s="231"/>
      <c r="F600" s="231"/>
      <c r="G600" s="231"/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  <c r="R600" s="231"/>
    </row>
    <row r="601" spans="3:18" ht="13.5">
      <c r="C601" s="231"/>
      <c r="D601" s="231"/>
      <c r="E601" s="231"/>
      <c r="F601" s="231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  <c r="R601" s="231"/>
    </row>
    <row r="602" spans="3:18" ht="13.5">
      <c r="C602" s="231"/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1"/>
      <c r="P602" s="231"/>
      <c r="Q602" s="231"/>
      <c r="R602" s="231"/>
    </row>
    <row r="603" spans="3:18" ht="13.5">
      <c r="C603" s="231"/>
      <c r="D603" s="231"/>
      <c r="E603" s="231"/>
      <c r="F603" s="231"/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  <c r="R603" s="231"/>
    </row>
    <row r="604" spans="3:18" ht="13.5">
      <c r="C604" s="231"/>
      <c r="D604" s="231"/>
      <c r="E604" s="231"/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</row>
    <row r="605" spans="3:18" ht="13.5">
      <c r="C605" s="231"/>
      <c r="D605" s="231"/>
      <c r="E605" s="231"/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</row>
    <row r="606" spans="3:18" ht="13.5">
      <c r="C606" s="231"/>
      <c r="D606" s="231"/>
      <c r="E606" s="231"/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</row>
    <row r="607" spans="3:18" ht="13.5">
      <c r="C607" s="231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</row>
    <row r="608" spans="3:18" ht="13.5">
      <c r="C608" s="231"/>
      <c r="D608" s="231"/>
      <c r="E608" s="231"/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</row>
    <row r="609" spans="3:18" ht="13.5">
      <c r="C609" s="231"/>
      <c r="D609" s="231"/>
      <c r="E609" s="231"/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</row>
    <row r="610" spans="3:18" ht="13.5">
      <c r="C610" s="231"/>
      <c r="D610" s="231"/>
      <c r="E610" s="231"/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</row>
    <row r="611" spans="3:18" ht="13.5"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</row>
    <row r="612" spans="3:18" ht="13.5">
      <c r="C612" s="231"/>
      <c r="D612" s="231"/>
      <c r="E612" s="231"/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</row>
    <row r="613" spans="3:18" ht="13.5">
      <c r="C613" s="231"/>
      <c r="D613" s="231"/>
      <c r="E613" s="231"/>
      <c r="F613" s="231"/>
      <c r="G613" s="231"/>
      <c r="H613" s="231"/>
      <c r="I613" s="231"/>
      <c r="J613" s="231"/>
      <c r="K613" s="231"/>
      <c r="L613" s="231"/>
      <c r="M613" s="231"/>
      <c r="N613" s="231"/>
      <c r="O613" s="231"/>
      <c r="P613" s="231"/>
      <c r="Q613" s="231"/>
      <c r="R613" s="231"/>
    </row>
    <row r="614" spans="3:18" ht="13.5">
      <c r="C614" s="231"/>
      <c r="D614" s="231"/>
      <c r="E614" s="231"/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</row>
    <row r="615" spans="3:18" ht="13.5">
      <c r="C615" s="231"/>
      <c r="D615" s="231"/>
      <c r="E615" s="231"/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</row>
    <row r="616" spans="3:18" ht="13.5">
      <c r="C616" s="231"/>
      <c r="D616" s="231"/>
      <c r="E616" s="231"/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</row>
    <row r="617" spans="3:18" ht="13.5">
      <c r="C617" s="231"/>
      <c r="D617" s="231"/>
      <c r="E617" s="231"/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</row>
    <row r="618" spans="3:18" ht="13.5">
      <c r="C618" s="231"/>
      <c r="D618" s="231"/>
      <c r="E618" s="231"/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</row>
    <row r="619" spans="3:18" ht="13.5">
      <c r="C619" s="231"/>
      <c r="D619" s="231"/>
      <c r="E619" s="231"/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</row>
    <row r="620" spans="3:18" ht="13.5">
      <c r="C620" s="231"/>
      <c r="D620" s="231"/>
      <c r="E620" s="231"/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</row>
    <row r="621" spans="3:18" ht="13.5">
      <c r="C621" s="231"/>
      <c r="D621" s="231"/>
      <c r="E621" s="231"/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</row>
    <row r="622" spans="3:18" ht="13.5">
      <c r="C622" s="231"/>
      <c r="D622" s="231"/>
      <c r="E622" s="231"/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</row>
    <row r="623" spans="3:18" ht="13.5">
      <c r="C623" s="231"/>
      <c r="D623" s="231"/>
      <c r="E623" s="231"/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  <c r="R623" s="231"/>
    </row>
    <row r="624" spans="3:18" ht="13.5">
      <c r="C624" s="231"/>
      <c r="D624" s="231"/>
      <c r="E624" s="231"/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</row>
    <row r="625" spans="3:18" ht="13.5">
      <c r="C625" s="231"/>
      <c r="D625" s="231"/>
      <c r="E625" s="231"/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</row>
    <row r="626" spans="3:18" ht="13.5">
      <c r="C626" s="231"/>
      <c r="D626" s="231"/>
      <c r="E626" s="231"/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</row>
    <row r="627" spans="3:18" ht="13.5">
      <c r="C627" s="231"/>
      <c r="D627" s="231"/>
      <c r="E627" s="231"/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</row>
    <row r="628" spans="3:18" ht="13.5">
      <c r="C628" s="231"/>
      <c r="D628" s="231"/>
      <c r="E628" s="231"/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</row>
    <row r="629" spans="3:18" ht="13.5">
      <c r="C629" s="231"/>
      <c r="D629" s="231"/>
      <c r="E629" s="231"/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</row>
    <row r="630" spans="3:18" ht="13.5"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</row>
    <row r="631" spans="3:18" ht="13.5">
      <c r="C631" s="231"/>
      <c r="D631" s="231"/>
      <c r="E631" s="231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</row>
    <row r="632" spans="3:18" ht="13.5">
      <c r="C632" s="231"/>
      <c r="D632" s="231"/>
      <c r="E632" s="231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</row>
    <row r="633" spans="3:18" ht="13.5">
      <c r="C633" s="231"/>
      <c r="D633" s="231"/>
      <c r="E633" s="231"/>
      <c r="F633" s="231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  <c r="R633" s="231"/>
    </row>
    <row r="634" spans="3:18" ht="13.5">
      <c r="C634" s="231"/>
      <c r="D634" s="231"/>
      <c r="E634" s="231"/>
      <c r="F634" s="231"/>
      <c r="G634" s="231"/>
      <c r="H634" s="231"/>
      <c r="I634" s="231"/>
      <c r="J634" s="231"/>
      <c r="K634" s="231"/>
      <c r="L634" s="231"/>
      <c r="M634" s="231"/>
      <c r="N634" s="231"/>
      <c r="O634" s="231"/>
      <c r="P634" s="231"/>
      <c r="Q634" s="231"/>
      <c r="R634" s="231"/>
    </row>
    <row r="635" spans="3:18" ht="13.5">
      <c r="C635" s="231"/>
      <c r="D635" s="231"/>
      <c r="E635" s="231"/>
      <c r="F635" s="231"/>
      <c r="G635" s="231"/>
      <c r="H635" s="231"/>
      <c r="I635" s="231"/>
      <c r="J635" s="231"/>
      <c r="K635" s="231"/>
      <c r="L635" s="231"/>
      <c r="M635" s="231"/>
      <c r="N635" s="231"/>
      <c r="O635" s="231"/>
      <c r="P635" s="231"/>
      <c r="Q635" s="231"/>
      <c r="R635" s="231"/>
    </row>
  </sheetData>
  <mergeCells count="733">
    <mergeCell ref="H1:K1"/>
    <mergeCell ref="S2:AC2"/>
    <mergeCell ref="F589:I589"/>
    <mergeCell ref="L589:M589"/>
    <mergeCell ref="N589:Q589"/>
    <mergeCell ref="N118:Q118"/>
    <mergeCell ref="N119:Q119"/>
    <mergeCell ref="N120:Q120"/>
    <mergeCell ref="N288:Q288"/>
    <mergeCell ref="N476:Q476"/>
    <mergeCell ref="N485:Q485"/>
    <mergeCell ref="N494:Q494"/>
    <mergeCell ref="N509:Q509"/>
    <mergeCell ref="N556:Q556"/>
    <mergeCell ref="N585:Q585"/>
    <mergeCell ref="F586:I586"/>
    <mergeCell ref="L586:M586"/>
    <mergeCell ref="N586:Q586"/>
    <mergeCell ref="F587:I587"/>
    <mergeCell ref="L587:M587"/>
    <mergeCell ref="N587:Q587"/>
    <mergeCell ref="F588:I588"/>
    <mergeCell ref="L588:M588"/>
    <mergeCell ref="N588:Q588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79:I579"/>
    <mergeCell ref="L579:M579"/>
    <mergeCell ref="N579:Q579"/>
    <mergeCell ref="F580:I580"/>
    <mergeCell ref="L580:M580"/>
    <mergeCell ref="N580:Q580"/>
    <mergeCell ref="F581:I581"/>
    <mergeCell ref="L581:M581"/>
    <mergeCell ref="N581:Q581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68:I568"/>
    <mergeCell ref="F569:I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61:I561"/>
    <mergeCell ref="L561:M561"/>
    <mergeCell ref="N561:Q561"/>
    <mergeCell ref="F562:I562"/>
    <mergeCell ref="F563:I563"/>
    <mergeCell ref="F564:I564"/>
    <mergeCell ref="F565:I565"/>
    <mergeCell ref="F566:I566"/>
    <mergeCell ref="F567:I567"/>
    <mergeCell ref="L567:M567"/>
    <mergeCell ref="N567:Q567"/>
    <mergeCell ref="F558:I558"/>
    <mergeCell ref="L558:M558"/>
    <mergeCell ref="N558:Q558"/>
    <mergeCell ref="F559:I559"/>
    <mergeCell ref="L559:M559"/>
    <mergeCell ref="N559:Q559"/>
    <mergeCell ref="F560:I560"/>
    <mergeCell ref="L560:M560"/>
    <mergeCell ref="N560:Q560"/>
    <mergeCell ref="F554:I554"/>
    <mergeCell ref="L554:M554"/>
    <mergeCell ref="N554:Q554"/>
    <mergeCell ref="F555:I555"/>
    <mergeCell ref="L555:M555"/>
    <mergeCell ref="N555:Q555"/>
    <mergeCell ref="F557:I557"/>
    <mergeCell ref="L557:M557"/>
    <mergeCell ref="N557:Q557"/>
    <mergeCell ref="F549:I549"/>
    <mergeCell ref="F550:I550"/>
    <mergeCell ref="L550:M550"/>
    <mergeCell ref="N550:Q550"/>
    <mergeCell ref="F551:I551"/>
    <mergeCell ref="F552:I552"/>
    <mergeCell ref="L552:M552"/>
    <mergeCell ref="N552:Q552"/>
    <mergeCell ref="F553:I553"/>
    <mergeCell ref="L553:M553"/>
    <mergeCell ref="N553:Q553"/>
    <mergeCell ref="F542:I542"/>
    <mergeCell ref="L542:M542"/>
    <mergeCell ref="N542:Q542"/>
    <mergeCell ref="F543:I543"/>
    <mergeCell ref="F544:I544"/>
    <mergeCell ref="F545:I545"/>
    <mergeCell ref="F546:I546"/>
    <mergeCell ref="F547:I547"/>
    <mergeCell ref="F548:I548"/>
    <mergeCell ref="F537:I537"/>
    <mergeCell ref="F538:I538"/>
    <mergeCell ref="L538:M538"/>
    <mergeCell ref="N538:Q538"/>
    <mergeCell ref="F539:I539"/>
    <mergeCell ref="F540:I540"/>
    <mergeCell ref="L540:M540"/>
    <mergeCell ref="N540:Q540"/>
    <mergeCell ref="F541:I541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F522:I522"/>
    <mergeCell ref="F523:I523"/>
    <mergeCell ref="L523:M523"/>
    <mergeCell ref="N523:Q523"/>
    <mergeCell ref="F524:I524"/>
    <mergeCell ref="L524:M524"/>
    <mergeCell ref="N524:Q524"/>
    <mergeCell ref="F525:I525"/>
    <mergeCell ref="F526:I526"/>
    <mergeCell ref="L526:M526"/>
    <mergeCell ref="N526:Q526"/>
    <mergeCell ref="F515:I515"/>
    <mergeCell ref="L515:M515"/>
    <mergeCell ref="N515:Q515"/>
    <mergeCell ref="F516:I516"/>
    <mergeCell ref="F517:I517"/>
    <mergeCell ref="F518:I518"/>
    <mergeCell ref="F519:I519"/>
    <mergeCell ref="F520:I520"/>
    <mergeCell ref="F521:I521"/>
    <mergeCell ref="F508:I508"/>
    <mergeCell ref="F510:I510"/>
    <mergeCell ref="L510:M510"/>
    <mergeCell ref="N510:Q510"/>
    <mergeCell ref="F511:I511"/>
    <mergeCell ref="F512:I512"/>
    <mergeCell ref="F513:I513"/>
    <mergeCell ref="F514:I514"/>
    <mergeCell ref="L514:M514"/>
    <mergeCell ref="N514:Q514"/>
    <mergeCell ref="F503:I503"/>
    <mergeCell ref="F504:I504"/>
    <mergeCell ref="L504:M504"/>
    <mergeCell ref="N504:Q504"/>
    <mergeCell ref="F505:I505"/>
    <mergeCell ref="L505:M505"/>
    <mergeCell ref="N505:Q505"/>
    <mergeCell ref="F506:I506"/>
    <mergeCell ref="F507:I507"/>
    <mergeCell ref="L507:M507"/>
    <mergeCell ref="N507:Q507"/>
    <mergeCell ref="F499:I499"/>
    <mergeCell ref="L499:M499"/>
    <mergeCell ref="N499:Q499"/>
    <mergeCell ref="F500:I500"/>
    <mergeCell ref="F501:I501"/>
    <mergeCell ref="L501:M501"/>
    <mergeCell ref="N501:Q501"/>
    <mergeCell ref="F502:I502"/>
    <mergeCell ref="L502:M502"/>
    <mergeCell ref="N502:Q502"/>
    <mergeCell ref="F495:I495"/>
    <mergeCell ref="L495:M495"/>
    <mergeCell ref="N495:Q495"/>
    <mergeCell ref="F496:I496"/>
    <mergeCell ref="F497:I497"/>
    <mergeCell ref="L497:M497"/>
    <mergeCell ref="N497:Q497"/>
    <mergeCell ref="F498:I498"/>
    <mergeCell ref="L498:M498"/>
    <mergeCell ref="N498:Q498"/>
    <mergeCell ref="F487:I487"/>
    <mergeCell ref="F488:I488"/>
    <mergeCell ref="F489:I489"/>
    <mergeCell ref="L489:M489"/>
    <mergeCell ref="N489:Q489"/>
    <mergeCell ref="F490:I490"/>
    <mergeCell ref="F491:I491"/>
    <mergeCell ref="F492:I492"/>
    <mergeCell ref="F493:I493"/>
    <mergeCell ref="F481:I481"/>
    <mergeCell ref="F482:I482"/>
    <mergeCell ref="F483:I483"/>
    <mergeCell ref="L483:M483"/>
    <mergeCell ref="N483:Q483"/>
    <mergeCell ref="F484:I484"/>
    <mergeCell ref="F486:I486"/>
    <mergeCell ref="L486:M486"/>
    <mergeCell ref="N486:Q486"/>
    <mergeCell ref="F475:I475"/>
    <mergeCell ref="L475:M475"/>
    <mergeCell ref="N475:Q475"/>
    <mergeCell ref="F477:I477"/>
    <mergeCell ref="L477:M477"/>
    <mergeCell ref="N477:Q477"/>
    <mergeCell ref="F478:I478"/>
    <mergeCell ref="F479:I479"/>
    <mergeCell ref="F480:I480"/>
    <mergeCell ref="L480:M480"/>
    <mergeCell ref="N480:Q480"/>
    <mergeCell ref="F471:I471"/>
    <mergeCell ref="L471:M471"/>
    <mergeCell ref="N471:Q471"/>
    <mergeCell ref="F472:I472"/>
    <mergeCell ref="F473:I473"/>
    <mergeCell ref="L473:M473"/>
    <mergeCell ref="N473:Q473"/>
    <mergeCell ref="F474:I474"/>
    <mergeCell ref="L474:M474"/>
    <mergeCell ref="N474:Q474"/>
    <mergeCell ref="F464:I464"/>
    <mergeCell ref="F465:I465"/>
    <mergeCell ref="F466:I466"/>
    <mergeCell ref="F467:I467"/>
    <mergeCell ref="F468:I468"/>
    <mergeCell ref="L468:M468"/>
    <mergeCell ref="N468:Q468"/>
    <mergeCell ref="F469:I469"/>
    <mergeCell ref="F470:I470"/>
    <mergeCell ref="F457:I457"/>
    <mergeCell ref="F458:I458"/>
    <mergeCell ref="L458:M458"/>
    <mergeCell ref="N458:Q458"/>
    <mergeCell ref="F459:I459"/>
    <mergeCell ref="F460:I460"/>
    <mergeCell ref="F461:I461"/>
    <mergeCell ref="F462:I462"/>
    <mergeCell ref="F463:I463"/>
    <mergeCell ref="F452:I452"/>
    <mergeCell ref="F453:I453"/>
    <mergeCell ref="L453:M453"/>
    <mergeCell ref="N453:Q453"/>
    <mergeCell ref="F454:I454"/>
    <mergeCell ref="F455:I455"/>
    <mergeCell ref="F456:I456"/>
    <mergeCell ref="L456:M456"/>
    <mergeCell ref="N456:Q456"/>
    <mergeCell ref="F447:I447"/>
    <mergeCell ref="F448:I448"/>
    <mergeCell ref="L448:M448"/>
    <mergeCell ref="N448:Q448"/>
    <mergeCell ref="F449:I449"/>
    <mergeCell ref="F450:I450"/>
    <mergeCell ref="L450:M450"/>
    <mergeCell ref="N450:Q450"/>
    <mergeCell ref="F451:I451"/>
    <mergeCell ref="L442:M442"/>
    <mergeCell ref="N442:Q442"/>
    <mergeCell ref="F443:I443"/>
    <mergeCell ref="L443:M443"/>
    <mergeCell ref="N443:Q443"/>
    <mergeCell ref="F444:I444"/>
    <mergeCell ref="F445:I445"/>
    <mergeCell ref="F446:I446"/>
    <mergeCell ref="L446:M446"/>
    <mergeCell ref="N446:Q446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63:I363"/>
    <mergeCell ref="F364:I364"/>
    <mergeCell ref="L364:M364"/>
    <mergeCell ref="N364:Q364"/>
    <mergeCell ref="F365:I365"/>
    <mergeCell ref="F366:I366"/>
    <mergeCell ref="F367:I367"/>
    <mergeCell ref="L367:M367"/>
    <mergeCell ref="N367:Q367"/>
    <mergeCell ref="F358:I358"/>
    <mergeCell ref="L358:M358"/>
    <mergeCell ref="N358:Q358"/>
    <mergeCell ref="F359:I359"/>
    <mergeCell ref="F360:I360"/>
    <mergeCell ref="F361:I361"/>
    <mergeCell ref="L361:M361"/>
    <mergeCell ref="N361:Q361"/>
    <mergeCell ref="F362:I362"/>
    <mergeCell ref="F353:I353"/>
    <mergeCell ref="F354:I354"/>
    <mergeCell ref="L354:M354"/>
    <mergeCell ref="N354:Q354"/>
    <mergeCell ref="F355:I355"/>
    <mergeCell ref="L355:M355"/>
    <mergeCell ref="N355:Q355"/>
    <mergeCell ref="F356:I356"/>
    <mergeCell ref="F357:I357"/>
    <mergeCell ref="F348:I348"/>
    <mergeCell ref="F349:I349"/>
    <mergeCell ref="F350:I350"/>
    <mergeCell ref="L350:M350"/>
    <mergeCell ref="N350:Q350"/>
    <mergeCell ref="F351:I351"/>
    <mergeCell ref="L351:M351"/>
    <mergeCell ref="N351:Q351"/>
    <mergeCell ref="F352:I352"/>
    <mergeCell ref="N339:Q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L347:M347"/>
    <mergeCell ref="N347:Q347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L339:M339"/>
    <mergeCell ref="F325:I325"/>
    <mergeCell ref="F326:I326"/>
    <mergeCell ref="F327:I327"/>
    <mergeCell ref="F328:I328"/>
    <mergeCell ref="F329:I329"/>
    <mergeCell ref="F330:I330"/>
    <mergeCell ref="F331:I331"/>
    <mergeCell ref="L331:M331"/>
    <mergeCell ref="N331:Q331"/>
    <mergeCell ref="F320:I320"/>
    <mergeCell ref="F321:I321"/>
    <mergeCell ref="F322:I322"/>
    <mergeCell ref="L322:M322"/>
    <mergeCell ref="N322:Q322"/>
    <mergeCell ref="F323:I323"/>
    <mergeCell ref="L323:M323"/>
    <mergeCell ref="N323:Q323"/>
    <mergeCell ref="F324:I324"/>
    <mergeCell ref="N313:Q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L313:M313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6:I296"/>
    <mergeCell ref="F297:I297"/>
    <mergeCell ref="L297:M297"/>
    <mergeCell ref="N297:Q297"/>
    <mergeCell ref="F298:I298"/>
    <mergeCell ref="F299:I299"/>
    <mergeCell ref="L299:M299"/>
    <mergeCell ref="N299:Q299"/>
    <mergeCell ref="F300:I300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L295:M295"/>
    <mergeCell ref="N295:Q295"/>
    <mergeCell ref="F282:I282"/>
    <mergeCell ref="F283:I283"/>
    <mergeCell ref="F284:I284"/>
    <mergeCell ref="F285:I285"/>
    <mergeCell ref="F286:I286"/>
    <mergeCell ref="F287:I287"/>
    <mergeCell ref="F289:I289"/>
    <mergeCell ref="L289:M289"/>
    <mergeCell ref="N289:Q289"/>
    <mergeCell ref="F275:I275"/>
    <mergeCell ref="F276:I276"/>
    <mergeCell ref="F277:I277"/>
    <mergeCell ref="F278:I278"/>
    <mergeCell ref="F279:I279"/>
    <mergeCell ref="F280:I280"/>
    <mergeCell ref="L280:M280"/>
    <mergeCell ref="N280:Q280"/>
    <mergeCell ref="F281:I281"/>
    <mergeCell ref="F268:I268"/>
    <mergeCell ref="L268:M268"/>
    <mergeCell ref="N268:Q268"/>
    <mergeCell ref="F269:I269"/>
    <mergeCell ref="F270:I270"/>
    <mergeCell ref="F271:I271"/>
    <mergeCell ref="F272:I272"/>
    <mergeCell ref="F273:I273"/>
    <mergeCell ref="F274:I274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F152:I152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21:I121"/>
    <mergeCell ref="L121:M121"/>
    <mergeCell ref="N121:Q121"/>
    <mergeCell ref="F122:I122"/>
    <mergeCell ref="F123:I123"/>
    <mergeCell ref="F124:I124"/>
    <mergeCell ref="F125:I125"/>
    <mergeCell ref="F126:I126"/>
    <mergeCell ref="F127:I12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N545"/>
  <sheetViews>
    <sheetView showGridLines="0" tabSelected="1" view="pageBreakPreview" zoomScale="118" zoomScaleSheetLayoutView="118" workbookViewId="0" topLeftCell="A1">
      <pane ySplit="1" topLeftCell="A445" activePane="bottomLeft" state="frozen"/>
      <selection pane="topLeft" activeCell="A2" sqref="A2"/>
      <selection pane="bottomLeft" activeCell="AE454" sqref="AE454:AF4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125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1911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N100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ROUNDUP((SUM(BE100:BE101)+SUM(BE119:BE544)),2)</f>
        <v>0</v>
      </c>
      <c r="I32" s="275"/>
      <c r="J32" s="275"/>
      <c r="K32" s="36"/>
      <c r="L32" s="36"/>
      <c r="M32" s="279">
        <f>ROUNDUP(ROUNDUP((SUM(BE100:BE101)+SUM(BE119:BE544)),2)*F32,1)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ROUNDUP((SUM(BF100:BF101)+SUM(BF119:BF544)),2)</f>
        <v>0</v>
      </c>
      <c r="I33" s="275"/>
      <c r="J33" s="275"/>
      <c r="K33" s="36"/>
      <c r="L33" s="36"/>
      <c r="M33" s="279">
        <f>ROUNDUP(ROUNDUP((SUM(BF100:BF101)+SUM(BF119:BF544)),2)*F33,1)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ROUNDUP((SUM(BG100:BG101)+SUM(BG119:BG544)),2)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ROUNDUP((SUM(BH100:BH101)+SUM(BH119:BH544)),2)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ROUNDUP((SUM(BI100:BI101)+SUM(BI119:BI544)),2)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SO.2.03 - Kanalizace - část 3 včetně ČS1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N119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N120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1267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N121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148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N242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149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N384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227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N393</f>
        <v>0</v>
      </c>
      <c r="O93" s="288"/>
      <c r="P93" s="288"/>
      <c r="Q93" s="288"/>
      <c r="R93" s="120"/>
    </row>
    <row r="94" spans="2:18" s="7" customFormat="1" ht="19.9" customHeight="1">
      <c r="B94" s="117"/>
      <c r="C94" s="118"/>
      <c r="D94" s="119" t="s">
        <v>1268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N401</f>
        <v>0</v>
      </c>
      <c r="O94" s="288"/>
      <c r="P94" s="288"/>
      <c r="Q94" s="288"/>
      <c r="R94" s="120"/>
    </row>
    <row r="95" spans="2:18" s="7" customFormat="1" ht="19.9" customHeight="1">
      <c r="B95" s="117"/>
      <c r="C95" s="118"/>
      <c r="D95" s="119" t="s">
        <v>1094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87">
        <f>N427</f>
        <v>0</v>
      </c>
      <c r="O95" s="288"/>
      <c r="P95" s="288"/>
      <c r="Q95" s="288"/>
      <c r="R95" s="120"/>
    </row>
    <row r="96" spans="2:18" s="7" customFormat="1" ht="19.9" customHeight="1">
      <c r="B96" s="117"/>
      <c r="C96" s="118"/>
      <c r="D96" s="119" t="s">
        <v>150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87">
        <f>N441</f>
        <v>0</v>
      </c>
      <c r="O96" s="288"/>
      <c r="P96" s="288"/>
      <c r="Q96" s="288"/>
      <c r="R96" s="120"/>
    </row>
    <row r="97" spans="2:18" s="7" customFormat="1" ht="19.9" customHeight="1">
      <c r="B97" s="117"/>
      <c r="C97" s="118"/>
      <c r="D97" s="119" t="s">
        <v>1269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87">
        <f>N511</f>
        <v>0</v>
      </c>
      <c r="O97" s="288"/>
      <c r="P97" s="288"/>
      <c r="Q97" s="288"/>
      <c r="R97" s="120"/>
    </row>
    <row r="98" spans="2:18" s="7" customFormat="1" ht="19.9" customHeight="1">
      <c r="B98" s="117"/>
      <c r="C98" s="118"/>
      <c r="D98" s="119" t="s">
        <v>1270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87">
        <f>N540</f>
        <v>0</v>
      </c>
      <c r="O98" s="288"/>
      <c r="P98" s="288"/>
      <c r="Q98" s="288"/>
      <c r="R98" s="120"/>
    </row>
    <row r="99" spans="2:18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12" t="s">
        <v>152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84">
        <v>0</v>
      </c>
      <c r="O100" s="289"/>
      <c r="P100" s="289"/>
      <c r="Q100" s="289"/>
      <c r="R100" s="37"/>
      <c r="T100" s="121"/>
      <c r="U100" s="122" t="s">
        <v>42</v>
      </c>
    </row>
    <row r="101" spans="2:18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18" s="1" customFormat="1" ht="29.25" customHeight="1">
      <c r="B102" s="35"/>
      <c r="C102" s="103" t="s">
        <v>129</v>
      </c>
      <c r="D102" s="104"/>
      <c r="E102" s="104"/>
      <c r="F102" s="104"/>
      <c r="G102" s="104"/>
      <c r="H102" s="104"/>
      <c r="I102" s="104"/>
      <c r="J102" s="104"/>
      <c r="K102" s="104"/>
      <c r="L102" s="268">
        <f>ROUNDUP(SUM(N88+N100),2)</f>
        <v>0</v>
      </c>
      <c r="M102" s="268"/>
      <c r="N102" s="268"/>
      <c r="O102" s="268"/>
      <c r="P102" s="268"/>
      <c r="Q102" s="268"/>
      <c r="R102" s="37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18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5" customHeight="1">
      <c r="B108" s="35"/>
      <c r="C108" s="237" t="s">
        <v>153</v>
      </c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2" t="s">
        <v>16</v>
      </c>
      <c r="D110" s="36"/>
      <c r="E110" s="36"/>
      <c r="F110" s="273" t="str">
        <f>F6</f>
        <v>ČOV a splašková kanalizace Žinkovy</v>
      </c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36"/>
      <c r="R110" s="37"/>
    </row>
    <row r="111" spans="2:18" s="1" customFormat="1" ht="36.95" customHeight="1">
      <c r="B111" s="35"/>
      <c r="C111" s="69" t="s">
        <v>137</v>
      </c>
      <c r="D111" s="36"/>
      <c r="E111" s="36"/>
      <c r="F111" s="254" t="str">
        <f>F7</f>
        <v>SO.2.03 - Kanalizace - část 3 včetně ČS1</v>
      </c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36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8" customHeight="1">
      <c r="B113" s="35"/>
      <c r="C113" s="32" t="s">
        <v>22</v>
      </c>
      <c r="D113" s="36"/>
      <c r="E113" s="36"/>
      <c r="F113" s="30" t="str">
        <f>F9</f>
        <v>Žinkovy</v>
      </c>
      <c r="G113" s="36"/>
      <c r="H113" s="36"/>
      <c r="I113" s="36"/>
      <c r="J113" s="36"/>
      <c r="K113" s="32" t="s">
        <v>24</v>
      </c>
      <c r="L113" s="36"/>
      <c r="M113" s="276">
        <f>IF(O9="","",O9)</f>
        <v>42912</v>
      </c>
      <c r="N113" s="276"/>
      <c r="O113" s="276"/>
      <c r="P113" s="276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5">
      <c r="B115" s="35"/>
      <c r="C115" s="32" t="s">
        <v>27</v>
      </c>
      <c r="D115" s="36"/>
      <c r="E115" s="36"/>
      <c r="F115" s="30" t="str">
        <f>E12</f>
        <v>Obec Žinkovy</v>
      </c>
      <c r="G115" s="36"/>
      <c r="H115" s="36"/>
      <c r="I115" s="36"/>
      <c r="J115" s="36"/>
      <c r="K115" s="32" t="s">
        <v>33</v>
      </c>
      <c r="L115" s="36"/>
      <c r="M115" s="277" t="str">
        <f>E18</f>
        <v>PIK Vítek s.r.o.</v>
      </c>
      <c r="N115" s="277"/>
      <c r="O115" s="277"/>
      <c r="P115" s="277"/>
      <c r="Q115" s="277"/>
      <c r="R115" s="37"/>
    </row>
    <row r="116" spans="2:18" s="1" customFormat="1" ht="14.45" customHeight="1">
      <c r="B116" s="35"/>
      <c r="C116" s="32" t="s">
        <v>31</v>
      </c>
      <c r="D116" s="36"/>
      <c r="E116" s="36"/>
      <c r="F116" s="30" t="str">
        <f>IF(E15="","",E15)</f>
        <v xml:space="preserve"> </v>
      </c>
      <c r="G116" s="36"/>
      <c r="H116" s="36"/>
      <c r="I116" s="36"/>
      <c r="J116" s="36"/>
      <c r="K116" s="32" t="s">
        <v>36</v>
      </c>
      <c r="L116" s="36"/>
      <c r="M116" s="277" t="str">
        <f>E21</f>
        <v>Acrone s.r.o.</v>
      </c>
      <c r="N116" s="277"/>
      <c r="O116" s="277"/>
      <c r="P116" s="277"/>
      <c r="Q116" s="277"/>
      <c r="R116" s="37"/>
    </row>
    <row r="117" spans="2:18" s="1" customFormat="1" ht="10.3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27" s="8" customFormat="1" ht="29.25" customHeight="1">
      <c r="B118" s="123"/>
      <c r="C118" s="124" t="s">
        <v>154</v>
      </c>
      <c r="D118" s="125" t="s">
        <v>155</v>
      </c>
      <c r="E118" s="125" t="s">
        <v>60</v>
      </c>
      <c r="F118" s="290" t="s">
        <v>156</v>
      </c>
      <c r="G118" s="290"/>
      <c r="H118" s="290"/>
      <c r="I118" s="290"/>
      <c r="J118" s="125" t="s">
        <v>157</v>
      </c>
      <c r="K118" s="125" t="s">
        <v>158</v>
      </c>
      <c r="L118" s="291" t="s">
        <v>159</v>
      </c>
      <c r="M118" s="291"/>
      <c r="N118" s="290" t="s">
        <v>144</v>
      </c>
      <c r="O118" s="290"/>
      <c r="P118" s="290"/>
      <c r="Q118" s="292"/>
      <c r="R118" s="126"/>
      <c r="T118" s="76" t="s">
        <v>160</v>
      </c>
      <c r="U118" s="77" t="s">
        <v>42</v>
      </c>
      <c r="V118" s="77" t="s">
        <v>161</v>
      </c>
      <c r="W118" s="77" t="s">
        <v>162</v>
      </c>
      <c r="X118" s="77" t="s">
        <v>163</v>
      </c>
      <c r="Y118" s="77" t="s">
        <v>164</v>
      </c>
      <c r="Z118" s="77" t="s">
        <v>165</v>
      </c>
      <c r="AA118" s="78" t="s">
        <v>166</v>
      </c>
    </row>
    <row r="119" spans="2:63" s="1" customFormat="1" ht="29.25" customHeight="1">
      <c r="B119" s="35"/>
      <c r="C119" s="80" t="s">
        <v>140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95">
        <f>BK119</f>
        <v>0</v>
      </c>
      <c r="O119" s="296"/>
      <c r="P119" s="296"/>
      <c r="Q119" s="296"/>
      <c r="R119" s="37"/>
      <c r="T119" s="79"/>
      <c r="U119" s="51"/>
      <c r="V119" s="51"/>
      <c r="W119" s="127">
        <f>W120</f>
        <v>27034.97439700001</v>
      </c>
      <c r="X119" s="51"/>
      <c r="Y119" s="127">
        <f>Y120</f>
        <v>2076.72053259</v>
      </c>
      <c r="Z119" s="51"/>
      <c r="AA119" s="128">
        <f>AA120</f>
        <v>966.7321499999999</v>
      </c>
      <c r="AT119" s="21" t="s">
        <v>77</v>
      </c>
      <c r="AU119" s="21" t="s">
        <v>146</v>
      </c>
      <c r="BK119" s="129">
        <f>BK120</f>
        <v>0</v>
      </c>
    </row>
    <row r="120" spans="2:63" s="9" customFormat="1" ht="37.35" customHeight="1">
      <c r="B120" s="130"/>
      <c r="C120" s="131"/>
      <c r="D120" s="132" t="s">
        <v>147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297">
        <f>BK120</f>
        <v>0</v>
      </c>
      <c r="O120" s="285"/>
      <c r="P120" s="285"/>
      <c r="Q120" s="285"/>
      <c r="R120" s="133"/>
      <c r="T120" s="134"/>
      <c r="U120" s="131"/>
      <c r="V120" s="131"/>
      <c r="W120" s="135">
        <f>W121+W242+W384+W393+W401+W427+W441+W511+W540</f>
        <v>27034.97439700001</v>
      </c>
      <c r="X120" s="131"/>
      <c r="Y120" s="135">
        <f>Y121+Y242+Y384+Y393+Y401+Y427+Y441+Y511+Y540</f>
        <v>2076.72053259</v>
      </c>
      <c r="Z120" s="131"/>
      <c r="AA120" s="136">
        <f>AA121+AA242+AA384+AA393+AA401+AA427+AA441+AA511+AA540</f>
        <v>966.7321499999999</v>
      </c>
      <c r="AR120" s="137" t="s">
        <v>21</v>
      </c>
      <c r="AT120" s="138" t="s">
        <v>77</v>
      </c>
      <c r="AU120" s="138" t="s">
        <v>78</v>
      </c>
      <c r="AY120" s="137" t="s">
        <v>167</v>
      </c>
      <c r="BK120" s="139">
        <f>BK121+BK242+BK384+BK393+BK401+BK427+BK441+BK511+BK540</f>
        <v>0</v>
      </c>
    </row>
    <row r="121" spans="2:63" s="9" customFormat="1" ht="19.9" customHeight="1">
      <c r="B121" s="130"/>
      <c r="C121" s="131"/>
      <c r="D121" s="140" t="s">
        <v>1267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298">
        <f>BK121</f>
        <v>0</v>
      </c>
      <c r="O121" s="299"/>
      <c r="P121" s="299"/>
      <c r="Q121" s="299"/>
      <c r="R121" s="133"/>
      <c r="T121" s="134"/>
      <c r="U121" s="131"/>
      <c r="V121" s="131"/>
      <c r="W121" s="135">
        <f>SUM(W122:W241)</f>
        <v>3818.65748</v>
      </c>
      <c r="X121" s="131"/>
      <c r="Y121" s="135">
        <f>SUM(Y122:Y241)</f>
        <v>0</v>
      </c>
      <c r="Z121" s="131"/>
      <c r="AA121" s="136">
        <f>SUM(AA122:AA241)</f>
        <v>0</v>
      </c>
      <c r="AR121" s="137" t="s">
        <v>21</v>
      </c>
      <c r="AT121" s="138" t="s">
        <v>77</v>
      </c>
      <c r="AU121" s="138" t="s">
        <v>21</v>
      </c>
      <c r="AY121" s="137" t="s">
        <v>167</v>
      </c>
      <c r="BK121" s="139">
        <f>SUM(BK122:BK241)</f>
        <v>0</v>
      </c>
    </row>
    <row r="122" spans="2:65" s="1" customFormat="1" ht="22.5" customHeight="1">
      <c r="B122" s="141"/>
      <c r="C122" s="142" t="s">
        <v>21</v>
      </c>
      <c r="D122" s="142" t="s">
        <v>168</v>
      </c>
      <c r="E122" s="143" t="s">
        <v>169</v>
      </c>
      <c r="F122" s="293" t="s">
        <v>1271</v>
      </c>
      <c r="G122" s="293"/>
      <c r="H122" s="293"/>
      <c r="I122" s="293"/>
      <c r="J122" s="144" t="s">
        <v>259</v>
      </c>
      <c r="K122" s="145">
        <v>2047.5</v>
      </c>
      <c r="L122" s="294">
        <v>0</v>
      </c>
      <c r="M122" s="294"/>
      <c r="N122" s="294">
        <f>ROUND(L122*K122,2)</f>
        <v>0</v>
      </c>
      <c r="O122" s="294"/>
      <c r="P122" s="294"/>
      <c r="Q122" s="294"/>
      <c r="R122" s="146"/>
      <c r="T122" s="147" t="s">
        <v>5</v>
      </c>
      <c r="U122" s="44" t="s">
        <v>43</v>
      </c>
      <c r="V122" s="148">
        <v>0.44</v>
      </c>
      <c r="W122" s="148">
        <f>V122*K122</f>
        <v>900.9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172</v>
      </c>
      <c r="AT122" s="21" t="s">
        <v>168</v>
      </c>
      <c r="AU122" s="21" t="s">
        <v>135</v>
      </c>
      <c r="AY122" s="21" t="s">
        <v>167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21</v>
      </c>
      <c r="BK122" s="150">
        <f>ROUND(L122*K122,2)</f>
        <v>0</v>
      </c>
      <c r="BL122" s="21" t="s">
        <v>172</v>
      </c>
      <c r="BM122" s="21" t="s">
        <v>1272</v>
      </c>
    </row>
    <row r="123" spans="2:51" s="10" customFormat="1" ht="22.5" customHeight="1">
      <c r="B123" s="151"/>
      <c r="C123" s="152"/>
      <c r="D123" s="152"/>
      <c r="E123" s="153" t="s">
        <v>5</v>
      </c>
      <c r="F123" s="300" t="s">
        <v>1279</v>
      </c>
      <c r="G123" s="301"/>
      <c r="H123" s="301"/>
      <c r="I123" s="301"/>
      <c r="J123" s="152"/>
      <c r="K123" s="154" t="s">
        <v>5</v>
      </c>
      <c r="L123" s="152"/>
      <c r="M123" s="152"/>
      <c r="N123" s="152"/>
      <c r="O123" s="152"/>
      <c r="P123" s="152"/>
      <c r="Q123" s="152"/>
      <c r="R123" s="155"/>
      <c r="T123" s="156"/>
      <c r="U123" s="152"/>
      <c r="V123" s="152"/>
      <c r="W123" s="152"/>
      <c r="X123" s="152"/>
      <c r="Y123" s="152"/>
      <c r="Z123" s="152"/>
      <c r="AA123" s="157"/>
      <c r="AT123" s="158" t="s">
        <v>179</v>
      </c>
      <c r="AU123" s="158" t="s">
        <v>135</v>
      </c>
      <c r="AV123" s="10" t="s">
        <v>21</v>
      </c>
      <c r="AW123" s="10" t="s">
        <v>35</v>
      </c>
      <c r="AX123" s="10" t="s">
        <v>78</v>
      </c>
      <c r="AY123" s="158" t="s">
        <v>167</v>
      </c>
    </row>
    <row r="124" spans="2:51" s="11" customFormat="1" ht="22.5" customHeight="1">
      <c r="B124" s="159"/>
      <c r="C124" s="160"/>
      <c r="D124" s="160"/>
      <c r="E124" s="161" t="s">
        <v>5</v>
      </c>
      <c r="F124" s="302" t="s">
        <v>1912</v>
      </c>
      <c r="G124" s="303"/>
      <c r="H124" s="303"/>
      <c r="I124" s="303"/>
      <c r="J124" s="160"/>
      <c r="K124" s="162">
        <v>34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78</v>
      </c>
      <c r="AY124" s="166" t="s">
        <v>167</v>
      </c>
    </row>
    <row r="125" spans="2:51" s="13" customFormat="1" ht="22.5" customHeight="1">
      <c r="B125" s="186"/>
      <c r="C125" s="187"/>
      <c r="D125" s="187"/>
      <c r="E125" s="188" t="s">
        <v>5</v>
      </c>
      <c r="F125" s="337" t="s">
        <v>1278</v>
      </c>
      <c r="G125" s="338"/>
      <c r="H125" s="338"/>
      <c r="I125" s="338"/>
      <c r="J125" s="187"/>
      <c r="K125" s="189">
        <v>34</v>
      </c>
      <c r="L125" s="187"/>
      <c r="M125" s="187"/>
      <c r="N125" s="187"/>
      <c r="O125" s="187"/>
      <c r="P125" s="187"/>
      <c r="Q125" s="187"/>
      <c r="R125" s="190"/>
      <c r="T125" s="191"/>
      <c r="U125" s="187"/>
      <c r="V125" s="187"/>
      <c r="W125" s="187"/>
      <c r="X125" s="187"/>
      <c r="Y125" s="187"/>
      <c r="Z125" s="187"/>
      <c r="AA125" s="192"/>
      <c r="AT125" s="193" t="s">
        <v>179</v>
      </c>
      <c r="AU125" s="193" t="s">
        <v>135</v>
      </c>
      <c r="AV125" s="13" t="s">
        <v>184</v>
      </c>
      <c r="AW125" s="13" t="s">
        <v>35</v>
      </c>
      <c r="AX125" s="13" t="s">
        <v>78</v>
      </c>
      <c r="AY125" s="193" t="s">
        <v>167</v>
      </c>
    </row>
    <row r="126" spans="2:51" s="10" customFormat="1" ht="22.5" customHeight="1">
      <c r="B126" s="151"/>
      <c r="C126" s="152"/>
      <c r="D126" s="152"/>
      <c r="E126" s="153" t="s">
        <v>5</v>
      </c>
      <c r="F126" s="304" t="s">
        <v>1913</v>
      </c>
      <c r="G126" s="305"/>
      <c r="H126" s="305"/>
      <c r="I126" s="305"/>
      <c r="J126" s="152"/>
      <c r="K126" s="154" t="s">
        <v>5</v>
      </c>
      <c r="L126" s="152"/>
      <c r="M126" s="152"/>
      <c r="N126" s="152"/>
      <c r="O126" s="152"/>
      <c r="P126" s="152"/>
      <c r="Q126" s="152"/>
      <c r="R126" s="155"/>
      <c r="T126" s="156"/>
      <c r="U126" s="152"/>
      <c r="V126" s="152"/>
      <c r="W126" s="152"/>
      <c r="X126" s="152"/>
      <c r="Y126" s="152"/>
      <c r="Z126" s="152"/>
      <c r="AA126" s="157"/>
      <c r="AT126" s="158" t="s">
        <v>179</v>
      </c>
      <c r="AU126" s="158" t="s">
        <v>135</v>
      </c>
      <c r="AV126" s="10" t="s">
        <v>21</v>
      </c>
      <c r="AW126" s="10" t="s">
        <v>35</v>
      </c>
      <c r="AX126" s="10" t="s">
        <v>78</v>
      </c>
      <c r="AY126" s="158" t="s">
        <v>167</v>
      </c>
    </row>
    <row r="127" spans="2:51" s="11" customFormat="1" ht="22.5" customHeight="1">
      <c r="B127" s="159"/>
      <c r="C127" s="160"/>
      <c r="D127" s="160"/>
      <c r="E127" s="161" t="s">
        <v>5</v>
      </c>
      <c r="F127" s="302" t="s">
        <v>1914</v>
      </c>
      <c r="G127" s="303"/>
      <c r="H127" s="303"/>
      <c r="I127" s="303"/>
      <c r="J127" s="160"/>
      <c r="K127" s="162">
        <v>777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179</v>
      </c>
      <c r="AU127" s="166" t="s">
        <v>135</v>
      </c>
      <c r="AV127" s="11" t="s">
        <v>135</v>
      </c>
      <c r="AW127" s="11" t="s">
        <v>35</v>
      </c>
      <c r="AX127" s="11" t="s">
        <v>78</v>
      </c>
      <c r="AY127" s="166" t="s">
        <v>167</v>
      </c>
    </row>
    <row r="128" spans="2:51" s="11" customFormat="1" ht="22.5" customHeight="1">
      <c r="B128" s="159"/>
      <c r="C128" s="160"/>
      <c r="D128" s="160"/>
      <c r="E128" s="161" t="s">
        <v>5</v>
      </c>
      <c r="F128" s="302" t="s">
        <v>1915</v>
      </c>
      <c r="G128" s="303"/>
      <c r="H128" s="303"/>
      <c r="I128" s="303"/>
      <c r="J128" s="160"/>
      <c r="K128" s="162">
        <v>168</v>
      </c>
      <c r="L128" s="160"/>
      <c r="M128" s="160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179</v>
      </c>
      <c r="AU128" s="166" t="s">
        <v>135</v>
      </c>
      <c r="AV128" s="11" t="s">
        <v>135</v>
      </c>
      <c r="AW128" s="11" t="s">
        <v>35</v>
      </c>
      <c r="AX128" s="11" t="s">
        <v>78</v>
      </c>
      <c r="AY128" s="166" t="s">
        <v>167</v>
      </c>
    </row>
    <row r="129" spans="2:51" s="11" customFormat="1" ht="22.5" customHeight="1">
      <c r="B129" s="159"/>
      <c r="C129" s="160"/>
      <c r="D129" s="160"/>
      <c r="E129" s="161" t="s">
        <v>5</v>
      </c>
      <c r="F129" s="302" t="s">
        <v>1916</v>
      </c>
      <c r="G129" s="303"/>
      <c r="H129" s="303"/>
      <c r="I129" s="303"/>
      <c r="J129" s="160"/>
      <c r="K129" s="162">
        <v>17</v>
      </c>
      <c r="L129" s="160"/>
      <c r="M129" s="160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179</v>
      </c>
      <c r="AU129" s="166" t="s">
        <v>135</v>
      </c>
      <c r="AV129" s="11" t="s">
        <v>135</v>
      </c>
      <c r="AW129" s="11" t="s">
        <v>35</v>
      </c>
      <c r="AX129" s="11" t="s">
        <v>78</v>
      </c>
      <c r="AY129" s="166" t="s">
        <v>167</v>
      </c>
    </row>
    <row r="130" spans="2:51" s="11" customFormat="1" ht="22.5" customHeight="1">
      <c r="B130" s="159"/>
      <c r="C130" s="160"/>
      <c r="D130" s="160"/>
      <c r="E130" s="161" t="s">
        <v>5</v>
      </c>
      <c r="F130" s="302" t="s">
        <v>1917</v>
      </c>
      <c r="G130" s="303"/>
      <c r="H130" s="303"/>
      <c r="I130" s="303"/>
      <c r="J130" s="160"/>
      <c r="K130" s="162">
        <v>11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179</v>
      </c>
      <c r="AU130" s="166" t="s">
        <v>135</v>
      </c>
      <c r="AV130" s="11" t="s">
        <v>135</v>
      </c>
      <c r="AW130" s="11" t="s">
        <v>35</v>
      </c>
      <c r="AX130" s="11" t="s">
        <v>78</v>
      </c>
      <c r="AY130" s="166" t="s">
        <v>167</v>
      </c>
    </row>
    <row r="131" spans="2:51" s="13" customFormat="1" ht="22.5" customHeight="1">
      <c r="B131" s="186"/>
      <c r="C131" s="187"/>
      <c r="D131" s="187"/>
      <c r="E131" s="188" t="s">
        <v>5</v>
      </c>
      <c r="F131" s="337" t="s">
        <v>1278</v>
      </c>
      <c r="G131" s="338"/>
      <c r="H131" s="338"/>
      <c r="I131" s="338"/>
      <c r="J131" s="187"/>
      <c r="K131" s="189">
        <v>973</v>
      </c>
      <c r="L131" s="187"/>
      <c r="M131" s="187"/>
      <c r="N131" s="187"/>
      <c r="O131" s="187"/>
      <c r="P131" s="187"/>
      <c r="Q131" s="187"/>
      <c r="R131" s="190"/>
      <c r="T131" s="191"/>
      <c r="U131" s="187"/>
      <c r="V131" s="187"/>
      <c r="W131" s="187"/>
      <c r="X131" s="187"/>
      <c r="Y131" s="187"/>
      <c r="Z131" s="187"/>
      <c r="AA131" s="192"/>
      <c r="AT131" s="193" t="s">
        <v>179</v>
      </c>
      <c r="AU131" s="193" t="s">
        <v>135</v>
      </c>
      <c r="AV131" s="13" t="s">
        <v>184</v>
      </c>
      <c r="AW131" s="13" t="s">
        <v>35</v>
      </c>
      <c r="AX131" s="13" t="s">
        <v>78</v>
      </c>
      <c r="AY131" s="193" t="s">
        <v>167</v>
      </c>
    </row>
    <row r="132" spans="2:51" s="10" customFormat="1" ht="22.5" customHeight="1">
      <c r="B132" s="151"/>
      <c r="C132" s="152"/>
      <c r="D132" s="152"/>
      <c r="E132" s="153" t="s">
        <v>5</v>
      </c>
      <c r="F132" s="304" t="s">
        <v>1918</v>
      </c>
      <c r="G132" s="305"/>
      <c r="H132" s="305"/>
      <c r="I132" s="305"/>
      <c r="J132" s="152"/>
      <c r="K132" s="154" t="s">
        <v>5</v>
      </c>
      <c r="L132" s="152"/>
      <c r="M132" s="152"/>
      <c r="N132" s="152"/>
      <c r="O132" s="152"/>
      <c r="P132" s="152"/>
      <c r="Q132" s="152"/>
      <c r="R132" s="155"/>
      <c r="T132" s="156"/>
      <c r="U132" s="152"/>
      <c r="V132" s="152"/>
      <c r="W132" s="152"/>
      <c r="X132" s="152"/>
      <c r="Y132" s="152"/>
      <c r="Z132" s="152"/>
      <c r="AA132" s="157"/>
      <c r="AT132" s="158" t="s">
        <v>179</v>
      </c>
      <c r="AU132" s="158" t="s">
        <v>135</v>
      </c>
      <c r="AV132" s="10" t="s">
        <v>21</v>
      </c>
      <c r="AW132" s="10" t="s">
        <v>35</v>
      </c>
      <c r="AX132" s="10" t="s">
        <v>78</v>
      </c>
      <c r="AY132" s="158" t="s">
        <v>167</v>
      </c>
    </row>
    <row r="133" spans="2:51" s="11" customFormat="1" ht="22.5" customHeight="1">
      <c r="B133" s="159"/>
      <c r="C133" s="160"/>
      <c r="D133" s="160"/>
      <c r="E133" s="161" t="s">
        <v>5</v>
      </c>
      <c r="F133" s="302" t="s">
        <v>1919</v>
      </c>
      <c r="G133" s="303"/>
      <c r="H133" s="303"/>
      <c r="I133" s="303"/>
      <c r="J133" s="160"/>
      <c r="K133" s="162">
        <v>177.5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179</v>
      </c>
      <c r="AU133" s="166" t="s">
        <v>135</v>
      </c>
      <c r="AV133" s="11" t="s">
        <v>135</v>
      </c>
      <c r="AW133" s="11" t="s">
        <v>35</v>
      </c>
      <c r="AX133" s="11" t="s">
        <v>78</v>
      </c>
      <c r="AY133" s="166" t="s">
        <v>167</v>
      </c>
    </row>
    <row r="134" spans="2:51" s="11" customFormat="1" ht="22.5" customHeight="1">
      <c r="B134" s="159"/>
      <c r="C134" s="160"/>
      <c r="D134" s="160"/>
      <c r="E134" s="161" t="s">
        <v>5</v>
      </c>
      <c r="F134" s="302" t="s">
        <v>1920</v>
      </c>
      <c r="G134" s="303"/>
      <c r="H134" s="303"/>
      <c r="I134" s="303"/>
      <c r="J134" s="160"/>
      <c r="K134" s="162">
        <v>165</v>
      </c>
      <c r="L134" s="160"/>
      <c r="M134" s="160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179</v>
      </c>
      <c r="AU134" s="166" t="s">
        <v>135</v>
      </c>
      <c r="AV134" s="11" t="s">
        <v>135</v>
      </c>
      <c r="AW134" s="11" t="s">
        <v>35</v>
      </c>
      <c r="AX134" s="11" t="s">
        <v>78</v>
      </c>
      <c r="AY134" s="166" t="s">
        <v>167</v>
      </c>
    </row>
    <row r="135" spans="2:51" s="11" customFormat="1" ht="22.5" customHeight="1">
      <c r="B135" s="159"/>
      <c r="C135" s="160"/>
      <c r="D135" s="160"/>
      <c r="E135" s="161" t="s">
        <v>5</v>
      </c>
      <c r="F135" s="302" t="s">
        <v>1921</v>
      </c>
      <c r="G135" s="303"/>
      <c r="H135" s="303"/>
      <c r="I135" s="303"/>
      <c r="J135" s="160"/>
      <c r="K135" s="162">
        <v>266</v>
      </c>
      <c r="L135" s="160"/>
      <c r="M135" s="160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179</v>
      </c>
      <c r="AU135" s="166" t="s">
        <v>135</v>
      </c>
      <c r="AV135" s="11" t="s">
        <v>135</v>
      </c>
      <c r="AW135" s="11" t="s">
        <v>35</v>
      </c>
      <c r="AX135" s="11" t="s">
        <v>78</v>
      </c>
      <c r="AY135" s="166" t="s">
        <v>167</v>
      </c>
    </row>
    <row r="136" spans="2:51" s="11" customFormat="1" ht="22.5" customHeight="1">
      <c r="B136" s="159"/>
      <c r="C136" s="160"/>
      <c r="D136" s="160"/>
      <c r="E136" s="161" t="s">
        <v>5</v>
      </c>
      <c r="F136" s="302" t="s">
        <v>1922</v>
      </c>
      <c r="G136" s="303"/>
      <c r="H136" s="303"/>
      <c r="I136" s="303"/>
      <c r="J136" s="160"/>
      <c r="K136" s="162">
        <v>100.5</v>
      </c>
      <c r="L136" s="160"/>
      <c r="M136" s="160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179</v>
      </c>
      <c r="AU136" s="166" t="s">
        <v>135</v>
      </c>
      <c r="AV136" s="11" t="s">
        <v>135</v>
      </c>
      <c r="AW136" s="11" t="s">
        <v>35</v>
      </c>
      <c r="AX136" s="11" t="s">
        <v>78</v>
      </c>
      <c r="AY136" s="166" t="s">
        <v>167</v>
      </c>
    </row>
    <row r="137" spans="2:51" s="13" customFormat="1" ht="22.5" customHeight="1">
      <c r="B137" s="186"/>
      <c r="C137" s="187"/>
      <c r="D137" s="187"/>
      <c r="E137" s="188" t="s">
        <v>5</v>
      </c>
      <c r="F137" s="337" t="s">
        <v>1278</v>
      </c>
      <c r="G137" s="338"/>
      <c r="H137" s="338"/>
      <c r="I137" s="338"/>
      <c r="J137" s="187"/>
      <c r="K137" s="189">
        <v>709</v>
      </c>
      <c r="L137" s="187"/>
      <c r="M137" s="187"/>
      <c r="N137" s="187"/>
      <c r="O137" s="187"/>
      <c r="P137" s="187"/>
      <c r="Q137" s="187"/>
      <c r="R137" s="190"/>
      <c r="T137" s="191"/>
      <c r="U137" s="187"/>
      <c r="V137" s="187"/>
      <c r="W137" s="187"/>
      <c r="X137" s="187"/>
      <c r="Y137" s="187"/>
      <c r="Z137" s="187"/>
      <c r="AA137" s="192"/>
      <c r="AT137" s="193" t="s">
        <v>179</v>
      </c>
      <c r="AU137" s="193" t="s">
        <v>135</v>
      </c>
      <c r="AV137" s="13" t="s">
        <v>184</v>
      </c>
      <c r="AW137" s="13" t="s">
        <v>35</v>
      </c>
      <c r="AX137" s="13" t="s">
        <v>78</v>
      </c>
      <c r="AY137" s="193" t="s">
        <v>167</v>
      </c>
    </row>
    <row r="138" spans="2:51" s="10" customFormat="1" ht="22.5" customHeight="1">
      <c r="B138" s="151"/>
      <c r="C138" s="152"/>
      <c r="D138" s="152"/>
      <c r="E138" s="153" t="s">
        <v>5</v>
      </c>
      <c r="F138" s="304" t="s">
        <v>1923</v>
      </c>
      <c r="G138" s="305"/>
      <c r="H138" s="305"/>
      <c r="I138" s="305"/>
      <c r="J138" s="152"/>
      <c r="K138" s="154" t="s">
        <v>5</v>
      </c>
      <c r="L138" s="152"/>
      <c r="M138" s="152"/>
      <c r="N138" s="152"/>
      <c r="O138" s="152"/>
      <c r="P138" s="152"/>
      <c r="Q138" s="152"/>
      <c r="R138" s="155"/>
      <c r="T138" s="156"/>
      <c r="U138" s="152"/>
      <c r="V138" s="152"/>
      <c r="W138" s="152"/>
      <c r="X138" s="152"/>
      <c r="Y138" s="152"/>
      <c r="Z138" s="152"/>
      <c r="AA138" s="157"/>
      <c r="AT138" s="158" t="s">
        <v>179</v>
      </c>
      <c r="AU138" s="158" t="s">
        <v>135</v>
      </c>
      <c r="AV138" s="10" t="s">
        <v>21</v>
      </c>
      <c r="AW138" s="10" t="s">
        <v>35</v>
      </c>
      <c r="AX138" s="10" t="s">
        <v>78</v>
      </c>
      <c r="AY138" s="158" t="s">
        <v>167</v>
      </c>
    </row>
    <row r="139" spans="2:51" s="11" customFormat="1" ht="22.5" customHeight="1">
      <c r="B139" s="159"/>
      <c r="C139" s="160"/>
      <c r="D139" s="160"/>
      <c r="E139" s="161" t="s">
        <v>5</v>
      </c>
      <c r="F139" s="302" t="s">
        <v>1924</v>
      </c>
      <c r="G139" s="303"/>
      <c r="H139" s="303"/>
      <c r="I139" s="303"/>
      <c r="J139" s="160"/>
      <c r="K139" s="162">
        <v>130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179</v>
      </c>
      <c r="AU139" s="166" t="s">
        <v>135</v>
      </c>
      <c r="AV139" s="11" t="s">
        <v>135</v>
      </c>
      <c r="AW139" s="11" t="s">
        <v>35</v>
      </c>
      <c r="AX139" s="11" t="s">
        <v>78</v>
      </c>
      <c r="AY139" s="166" t="s">
        <v>167</v>
      </c>
    </row>
    <row r="140" spans="2:51" s="11" customFormat="1" ht="22.5" customHeight="1">
      <c r="B140" s="159"/>
      <c r="C140" s="160"/>
      <c r="D140" s="160"/>
      <c r="E140" s="161" t="s">
        <v>5</v>
      </c>
      <c r="F140" s="302" t="s">
        <v>1925</v>
      </c>
      <c r="G140" s="303"/>
      <c r="H140" s="303"/>
      <c r="I140" s="303"/>
      <c r="J140" s="160"/>
      <c r="K140" s="162">
        <v>138</v>
      </c>
      <c r="L140" s="160"/>
      <c r="M140" s="160"/>
      <c r="N140" s="160"/>
      <c r="O140" s="160"/>
      <c r="P140" s="160"/>
      <c r="Q140" s="160"/>
      <c r="R140" s="163"/>
      <c r="T140" s="164"/>
      <c r="U140" s="160"/>
      <c r="V140" s="160"/>
      <c r="W140" s="160"/>
      <c r="X140" s="160"/>
      <c r="Y140" s="160"/>
      <c r="Z140" s="160"/>
      <c r="AA140" s="165"/>
      <c r="AT140" s="166" t="s">
        <v>179</v>
      </c>
      <c r="AU140" s="166" t="s">
        <v>135</v>
      </c>
      <c r="AV140" s="11" t="s">
        <v>135</v>
      </c>
      <c r="AW140" s="11" t="s">
        <v>35</v>
      </c>
      <c r="AX140" s="11" t="s">
        <v>78</v>
      </c>
      <c r="AY140" s="166" t="s">
        <v>167</v>
      </c>
    </row>
    <row r="141" spans="2:51" s="11" customFormat="1" ht="22.5" customHeight="1">
      <c r="B141" s="159"/>
      <c r="C141" s="160"/>
      <c r="D141" s="160"/>
      <c r="E141" s="161" t="s">
        <v>5</v>
      </c>
      <c r="F141" s="302" t="s">
        <v>1926</v>
      </c>
      <c r="G141" s="303"/>
      <c r="H141" s="303"/>
      <c r="I141" s="303"/>
      <c r="J141" s="160"/>
      <c r="K141" s="162">
        <v>63.5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179</v>
      </c>
      <c r="AU141" s="166" t="s">
        <v>135</v>
      </c>
      <c r="AV141" s="11" t="s">
        <v>135</v>
      </c>
      <c r="AW141" s="11" t="s">
        <v>35</v>
      </c>
      <c r="AX141" s="11" t="s">
        <v>78</v>
      </c>
      <c r="AY141" s="166" t="s">
        <v>167</v>
      </c>
    </row>
    <row r="142" spans="2:51" s="13" customFormat="1" ht="22.5" customHeight="1">
      <c r="B142" s="186"/>
      <c r="C142" s="187"/>
      <c r="D142" s="187"/>
      <c r="E142" s="188" t="s">
        <v>5</v>
      </c>
      <c r="F142" s="337" t="s">
        <v>1278</v>
      </c>
      <c r="G142" s="338"/>
      <c r="H142" s="338"/>
      <c r="I142" s="338"/>
      <c r="J142" s="187"/>
      <c r="K142" s="189">
        <v>331.5</v>
      </c>
      <c r="L142" s="187"/>
      <c r="M142" s="187"/>
      <c r="N142" s="187"/>
      <c r="O142" s="187"/>
      <c r="P142" s="187"/>
      <c r="Q142" s="187"/>
      <c r="R142" s="190"/>
      <c r="T142" s="191"/>
      <c r="U142" s="187"/>
      <c r="V142" s="187"/>
      <c r="W142" s="187"/>
      <c r="X142" s="187"/>
      <c r="Y142" s="187"/>
      <c r="Z142" s="187"/>
      <c r="AA142" s="192"/>
      <c r="AT142" s="193" t="s">
        <v>179</v>
      </c>
      <c r="AU142" s="193" t="s">
        <v>135</v>
      </c>
      <c r="AV142" s="13" t="s">
        <v>184</v>
      </c>
      <c r="AW142" s="13" t="s">
        <v>35</v>
      </c>
      <c r="AX142" s="13" t="s">
        <v>78</v>
      </c>
      <c r="AY142" s="193" t="s">
        <v>167</v>
      </c>
    </row>
    <row r="143" spans="2:51" s="12" customFormat="1" ht="22.5" customHeight="1">
      <c r="B143" s="167"/>
      <c r="C143" s="168"/>
      <c r="D143" s="168"/>
      <c r="E143" s="169" t="s">
        <v>5</v>
      </c>
      <c r="F143" s="306" t="s">
        <v>183</v>
      </c>
      <c r="G143" s="307"/>
      <c r="H143" s="307"/>
      <c r="I143" s="307"/>
      <c r="J143" s="168"/>
      <c r="K143" s="170">
        <v>2047.5</v>
      </c>
      <c r="L143" s="168"/>
      <c r="M143" s="168"/>
      <c r="N143" s="168"/>
      <c r="O143" s="168"/>
      <c r="P143" s="168"/>
      <c r="Q143" s="168"/>
      <c r="R143" s="171"/>
      <c r="T143" s="172"/>
      <c r="U143" s="168"/>
      <c r="V143" s="168"/>
      <c r="W143" s="168"/>
      <c r="X143" s="168"/>
      <c r="Y143" s="168"/>
      <c r="Z143" s="168"/>
      <c r="AA143" s="173"/>
      <c r="AT143" s="174" t="s">
        <v>179</v>
      </c>
      <c r="AU143" s="174" t="s">
        <v>135</v>
      </c>
      <c r="AV143" s="12" t="s">
        <v>172</v>
      </c>
      <c r="AW143" s="12" t="s">
        <v>35</v>
      </c>
      <c r="AX143" s="12" t="s">
        <v>21</v>
      </c>
      <c r="AY143" s="174" t="s">
        <v>167</v>
      </c>
    </row>
    <row r="144" spans="2:65" s="1" customFormat="1" ht="22.5" customHeight="1">
      <c r="B144" s="141"/>
      <c r="C144" s="142" t="s">
        <v>135</v>
      </c>
      <c r="D144" s="142" t="s">
        <v>168</v>
      </c>
      <c r="E144" s="143" t="s">
        <v>1292</v>
      </c>
      <c r="F144" s="293" t="s">
        <v>1293</v>
      </c>
      <c r="G144" s="293"/>
      <c r="H144" s="293"/>
      <c r="I144" s="293"/>
      <c r="J144" s="144" t="s">
        <v>176</v>
      </c>
      <c r="K144" s="145">
        <v>4462.151</v>
      </c>
      <c r="L144" s="294">
        <v>0</v>
      </c>
      <c r="M144" s="294"/>
      <c r="N144" s="294">
        <f>ROUND(L144*K144,2)</f>
        <v>0</v>
      </c>
      <c r="O144" s="294"/>
      <c r="P144" s="294"/>
      <c r="Q144" s="294"/>
      <c r="R144" s="146"/>
      <c r="T144" s="147" t="s">
        <v>5</v>
      </c>
      <c r="U144" s="44" t="s">
        <v>43</v>
      </c>
      <c r="V144" s="148">
        <v>0.44</v>
      </c>
      <c r="W144" s="148">
        <f>V144*K144</f>
        <v>1963.34644</v>
      </c>
      <c r="X144" s="148">
        <v>0</v>
      </c>
      <c r="Y144" s="148">
        <f>X144*K144</f>
        <v>0</v>
      </c>
      <c r="Z144" s="148">
        <v>0</v>
      </c>
      <c r="AA144" s="149">
        <f>Z144*K144</f>
        <v>0</v>
      </c>
      <c r="AR144" s="21" t="s">
        <v>172</v>
      </c>
      <c r="AT144" s="21" t="s">
        <v>168</v>
      </c>
      <c r="AU144" s="21" t="s">
        <v>135</v>
      </c>
      <c r="AY144" s="21" t="s">
        <v>167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21</v>
      </c>
      <c r="BK144" s="150">
        <f>ROUND(L144*K144,2)</f>
        <v>0</v>
      </c>
      <c r="BL144" s="21" t="s">
        <v>172</v>
      </c>
      <c r="BM144" s="21" t="s">
        <v>1294</v>
      </c>
    </row>
    <row r="145" spans="2:51" s="10" customFormat="1" ht="22.5" customHeight="1">
      <c r="B145" s="151"/>
      <c r="C145" s="152"/>
      <c r="D145" s="152"/>
      <c r="E145" s="153" t="s">
        <v>5</v>
      </c>
      <c r="F145" s="300" t="s">
        <v>1927</v>
      </c>
      <c r="G145" s="301"/>
      <c r="H145" s="301"/>
      <c r="I145" s="301"/>
      <c r="J145" s="152"/>
      <c r="K145" s="154" t="s">
        <v>5</v>
      </c>
      <c r="L145" s="152"/>
      <c r="M145" s="152"/>
      <c r="N145" s="152"/>
      <c r="O145" s="152"/>
      <c r="P145" s="152"/>
      <c r="Q145" s="152"/>
      <c r="R145" s="155"/>
      <c r="T145" s="156"/>
      <c r="U145" s="152"/>
      <c r="V145" s="152"/>
      <c r="W145" s="152"/>
      <c r="X145" s="152"/>
      <c r="Y145" s="152"/>
      <c r="Z145" s="152"/>
      <c r="AA145" s="157"/>
      <c r="AT145" s="158" t="s">
        <v>179</v>
      </c>
      <c r="AU145" s="158" t="s">
        <v>135</v>
      </c>
      <c r="AV145" s="10" t="s">
        <v>21</v>
      </c>
      <c r="AW145" s="10" t="s">
        <v>35</v>
      </c>
      <c r="AX145" s="10" t="s">
        <v>78</v>
      </c>
      <c r="AY145" s="158" t="s">
        <v>167</v>
      </c>
    </row>
    <row r="146" spans="2:51" s="11" customFormat="1" ht="22.5" customHeight="1">
      <c r="B146" s="159"/>
      <c r="C146" s="160"/>
      <c r="D146" s="160"/>
      <c r="E146" s="161" t="s">
        <v>5</v>
      </c>
      <c r="F146" s="302" t="s">
        <v>1928</v>
      </c>
      <c r="G146" s="303"/>
      <c r="H146" s="303"/>
      <c r="I146" s="303"/>
      <c r="J146" s="160"/>
      <c r="K146" s="162">
        <v>1243.2</v>
      </c>
      <c r="L146" s="160"/>
      <c r="M146" s="160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179</v>
      </c>
      <c r="AU146" s="166" t="s">
        <v>135</v>
      </c>
      <c r="AV146" s="11" t="s">
        <v>135</v>
      </c>
      <c r="AW146" s="11" t="s">
        <v>35</v>
      </c>
      <c r="AX146" s="11" t="s">
        <v>78</v>
      </c>
      <c r="AY146" s="166" t="s">
        <v>167</v>
      </c>
    </row>
    <row r="147" spans="2:51" s="13" customFormat="1" ht="22.5" customHeight="1">
      <c r="B147" s="186"/>
      <c r="C147" s="187"/>
      <c r="D147" s="187"/>
      <c r="E147" s="188" t="s">
        <v>5</v>
      </c>
      <c r="F147" s="337" t="s">
        <v>1278</v>
      </c>
      <c r="G147" s="338"/>
      <c r="H147" s="338"/>
      <c r="I147" s="338"/>
      <c r="J147" s="187"/>
      <c r="K147" s="189">
        <v>1243.2</v>
      </c>
      <c r="L147" s="187"/>
      <c r="M147" s="187"/>
      <c r="N147" s="187"/>
      <c r="O147" s="187"/>
      <c r="P147" s="187"/>
      <c r="Q147" s="187"/>
      <c r="R147" s="190"/>
      <c r="T147" s="191"/>
      <c r="U147" s="187"/>
      <c r="V147" s="187"/>
      <c r="W147" s="187"/>
      <c r="X147" s="187"/>
      <c r="Y147" s="187"/>
      <c r="Z147" s="187"/>
      <c r="AA147" s="192"/>
      <c r="AT147" s="193" t="s">
        <v>179</v>
      </c>
      <c r="AU147" s="193" t="s">
        <v>135</v>
      </c>
      <c r="AV147" s="13" t="s">
        <v>184</v>
      </c>
      <c r="AW147" s="13" t="s">
        <v>35</v>
      </c>
      <c r="AX147" s="13" t="s">
        <v>78</v>
      </c>
      <c r="AY147" s="193" t="s">
        <v>167</v>
      </c>
    </row>
    <row r="148" spans="2:51" s="10" customFormat="1" ht="22.5" customHeight="1">
      <c r="B148" s="151"/>
      <c r="C148" s="152"/>
      <c r="D148" s="152"/>
      <c r="E148" s="153" t="s">
        <v>5</v>
      </c>
      <c r="F148" s="304" t="s">
        <v>1929</v>
      </c>
      <c r="G148" s="305"/>
      <c r="H148" s="305"/>
      <c r="I148" s="305"/>
      <c r="J148" s="152"/>
      <c r="K148" s="154" t="s">
        <v>5</v>
      </c>
      <c r="L148" s="152"/>
      <c r="M148" s="152"/>
      <c r="N148" s="152"/>
      <c r="O148" s="152"/>
      <c r="P148" s="152"/>
      <c r="Q148" s="152"/>
      <c r="R148" s="155"/>
      <c r="T148" s="156"/>
      <c r="U148" s="152"/>
      <c r="V148" s="152"/>
      <c r="W148" s="152"/>
      <c r="X148" s="152"/>
      <c r="Y148" s="152"/>
      <c r="Z148" s="152"/>
      <c r="AA148" s="157"/>
      <c r="AT148" s="158" t="s">
        <v>179</v>
      </c>
      <c r="AU148" s="158" t="s">
        <v>135</v>
      </c>
      <c r="AV148" s="10" t="s">
        <v>21</v>
      </c>
      <c r="AW148" s="10" t="s">
        <v>35</v>
      </c>
      <c r="AX148" s="10" t="s">
        <v>78</v>
      </c>
      <c r="AY148" s="158" t="s">
        <v>167</v>
      </c>
    </row>
    <row r="149" spans="2:51" s="11" customFormat="1" ht="22.5" customHeight="1">
      <c r="B149" s="159"/>
      <c r="C149" s="160"/>
      <c r="D149" s="160"/>
      <c r="E149" s="161" t="s">
        <v>5</v>
      </c>
      <c r="F149" s="302" t="s">
        <v>1930</v>
      </c>
      <c r="G149" s="303"/>
      <c r="H149" s="303"/>
      <c r="I149" s="303"/>
      <c r="J149" s="160"/>
      <c r="K149" s="162">
        <v>121.849</v>
      </c>
      <c r="L149" s="160"/>
      <c r="M149" s="160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179</v>
      </c>
      <c r="AU149" s="166" t="s">
        <v>135</v>
      </c>
      <c r="AV149" s="11" t="s">
        <v>135</v>
      </c>
      <c r="AW149" s="11" t="s">
        <v>35</v>
      </c>
      <c r="AX149" s="11" t="s">
        <v>78</v>
      </c>
      <c r="AY149" s="166" t="s">
        <v>167</v>
      </c>
    </row>
    <row r="150" spans="2:51" s="11" customFormat="1" ht="22.5" customHeight="1">
      <c r="B150" s="159"/>
      <c r="C150" s="160"/>
      <c r="D150" s="160"/>
      <c r="E150" s="161" t="s">
        <v>5</v>
      </c>
      <c r="F150" s="302" t="s">
        <v>1931</v>
      </c>
      <c r="G150" s="303"/>
      <c r="H150" s="303"/>
      <c r="I150" s="303"/>
      <c r="J150" s="160"/>
      <c r="K150" s="162">
        <v>162.393</v>
      </c>
      <c r="L150" s="160"/>
      <c r="M150" s="160"/>
      <c r="N150" s="160"/>
      <c r="O150" s="160"/>
      <c r="P150" s="160"/>
      <c r="Q150" s="160"/>
      <c r="R150" s="163"/>
      <c r="T150" s="164"/>
      <c r="U150" s="160"/>
      <c r="V150" s="160"/>
      <c r="W150" s="160"/>
      <c r="X150" s="160"/>
      <c r="Y150" s="160"/>
      <c r="Z150" s="160"/>
      <c r="AA150" s="165"/>
      <c r="AT150" s="166" t="s">
        <v>179</v>
      </c>
      <c r="AU150" s="166" t="s">
        <v>135</v>
      </c>
      <c r="AV150" s="11" t="s">
        <v>135</v>
      </c>
      <c r="AW150" s="11" t="s">
        <v>35</v>
      </c>
      <c r="AX150" s="11" t="s">
        <v>78</v>
      </c>
      <c r="AY150" s="166" t="s">
        <v>167</v>
      </c>
    </row>
    <row r="151" spans="2:51" s="11" customFormat="1" ht="22.5" customHeight="1">
      <c r="B151" s="159"/>
      <c r="C151" s="160"/>
      <c r="D151" s="160"/>
      <c r="E151" s="161" t="s">
        <v>5</v>
      </c>
      <c r="F151" s="302" t="s">
        <v>1932</v>
      </c>
      <c r="G151" s="303"/>
      <c r="H151" s="303"/>
      <c r="I151" s="303"/>
      <c r="J151" s="160"/>
      <c r="K151" s="162">
        <v>123.75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179</v>
      </c>
      <c r="AU151" s="166" t="s">
        <v>135</v>
      </c>
      <c r="AV151" s="11" t="s">
        <v>135</v>
      </c>
      <c r="AW151" s="11" t="s">
        <v>35</v>
      </c>
      <c r="AX151" s="11" t="s">
        <v>78</v>
      </c>
      <c r="AY151" s="166" t="s">
        <v>167</v>
      </c>
    </row>
    <row r="152" spans="2:51" s="11" customFormat="1" ht="22.5" customHeight="1">
      <c r="B152" s="159"/>
      <c r="C152" s="160"/>
      <c r="D152" s="160"/>
      <c r="E152" s="161" t="s">
        <v>5</v>
      </c>
      <c r="F152" s="302" t="s">
        <v>1933</v>
      </c>
      <c r="G152" s="303"/>
      <c r="H152" s="303"/>
      <c r="I152" s="303"/>
      <c r="J152" s="160"/>
      <c r="K152" s="162">
        <v>112.2</v>
      </c>
      <c r="L152" s="160"/>
      <c r="M152" s="160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179</v>
      </c>
      <c r="AU152" s="166" t="s">
        <v>135</v>
      </c>
      <c r="AV152" s="11" t="s">
        <v>135</v>
      </c>
      <c r="AW152" s="11" t="s">
        <v>35</v>
      </c>
      <c r="AX152" s="11" t="s">
        <v>78</v>
      </c>
      <c r="AY152" s="166" t="s">
        <v>167</v>
      </c>
    </row>
    <row r="153" spans="2:51" s="11" customFormat="1" ht="22.5" customHeight="1">
      <c r="B153" s="159"/>
      <c r="C153" s="160"/>
      <c r="D153" s="160"/>
      <c r="E153" s="161" t="s">
        <v>5</v>
      </c>
      <c r="F153" s="302" t="s">
        <v>1934</v>
      </c>
      <c r="G153" s="303"/>
      <c r="H153" s="303"/>
      <c r="I153" s="303"/>
      <c r="J153" s="160"/>
      <c r="K153" s="162">
        <v>99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179</v>
      </c>
      <c r="AU153" s="166" t="s">
        <v>135</v>
      </c>
      <c r="AV153" s="11" t="s">
        <v>135</v>
      </c>
      <c r="AW153" s="11" t="s">
        <v>35</v>
      </c>
      <c r="AX153" s="11" t="s">
        <v>78</v>
      </c>
      <c r="AY153" s="166" t="s">
        <v>167</v>
      </c>
    </row>
    <row r="154" spans="2:51" s="11" customFormat="1" ht="22.5" customHeight="1">
      <c r="B154" s="159"/>
      <c r="C154" s="160"/>
      <c r="D154" s="160"/>
      <c r="E154" s="161" t="s">
        <v>5</v>
      </c>
      <c r="F154" s="302" t="s">
        <v>1750</v>
      </c>
      <c r="G154" s="303"/>
      <c r="H154" s="303"/>
      <c r="I154" s="303"/>
      <c r="J154" s="160"/>
      <c r="K154" s="162">
        <v>123.75</v>
      </c>
      <c r="L154" s="160"/>
      <c r="M154" s="160"/>
      <c r="N154" s="160"/>
      <c r="O154" s="160"/>
      <c r="P154" s="160"/>
      <c r="Q154" s="160"/>
      <c r="R154" s="163"/>
      <c r="T154" s="164"/>
      <c r="U154" s="160"/>
      <c r="V154" s="160"/>
      <c r="W154" s="160"/>
      <c r="X154" s="160"/>
      <c r="Y154" s="160"/>
      <c r="Z154" s="160"/>
      <c r="AA154" s="165"/>
      <c r="AT154" s="166" t="s">
        <v>179</v>
      </c>
      <c r="AU154" s="166" t="s">
        <v>135</v>
      </c>
      <c r="AV154" s="11" t="s">
        <v>135</v>
      </c>
      <c r="AW154" s="11" t="s">
        <v>35</v>
      </c>
      <c r="AX154" s="11" t="s">
        <v>78</v>
      </c>
      <c r="AY154" s="166" t="s">
        <v>167</v>
      </c>
    </row>
    <row r="155" spans="2:51" s="11" customFormat="1" ht="22.5" customHeight="1">
      <c r="B155" s="159"/>
      <c r="C155" s="160"/>
      <c r="D155" s="160"/>
      <c r="E155" s="161" t="s">
        <v>5</v>
      </c>
      <c r="F155" s="302" t="s">
        <v>1935</v>
      </c>
      <c r="G155" s="303"/>
      <c r="H155" s="303"/>
      <c r="I155" s="303"/>
      <c r="J155" s="160"/>
      <c r="K155" s="162">
        <v>69.3</v>
      </c>
      <c r="L155" s="160"/>
      <c r="M155" s="160"/>
      <c r="N155" s="160"/>
      <c r="O155" s="160"/>
      <c r="P155" s="160"/>
      <c r="Q155" s="160"/>
      <c r="R155" s="163"/>
      <c r="T155" s="164"/>
      <c r="U155" s="160"/>
      <c r="V155" s="160"/>
      <c r="W155" s="160"/>
      <c r="X155" s="160"/>
      <c r="Y155" s="160"/>
      <c r="Z155" s="160"/>
      <c r="AA155" s="165"/>
      <c r="AT155" s="166" t="s">
        <v>179</v>
      </c>
      <c r="AU155" s="166" t="s">
        <v>135</v>
      </c>
      <c r="AV155" s="11" t="s">
        <v>135</v>
      </c>
      <c r="AW155" s="11" t="s">
        <v>35</v>
      </c>
      <c r="AX155" s="11" t="s">
        <v>78</v>
      </c>
      <c r="AY155" s="166" t="s">
        <v>167</v>
      </c>
    </row>
    <row r="156" spans="2:51" s="11" customFormat="1" ht="22.5" customHeight="1">
      <c r="B156" s="159"/>
      <c r="C156" s="160"/>
      <c r="D156" s="160"/>
      <c r="E156" s="161" t="s">
        <v>5</v>
      </c>
      <c r="F156" s="302" t="s">
        <v>1936</v>
      </c>
      <c r="G156" s="303"/>
      <c r="H156" s="303"/>
      <c r="I156" s="303"/>
      <c r="J156" s="160"/>
      <c r="K156" s="162">
        <v>58.322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179</v>
      </c>
      <c r="AU156" s="166" t="s">
        <v>135</v>
      </c>
      <c r="AV156" s="11" t="s">
        <v>135</v>
      </c>
      <c r="AW156" s="11" t="s">
        <v>35</v>
      </c>
      <c r="AX156" s="11" t="s">
        <v>78</v>
      </c>
      <c r="AY156" s="166" t="s">
        <v>167</v>
      </c>
    </row>
    <row r="157" spans="2:51" s="11" customFormat="1" ht="22.5" customHeight="1">
      <c r="B157" s="159"/>
      <c r="C157" s="160"/>
      <c r="D157" s="160"/>
      <c r="E157" s="161" t="s">
        <v>5</v>
      </c>
      <c r="F157" s="302" t="s">
        <v>1937</v>
      </c>
      <c r="G157" s="303"/>
      <c r="H157" s="303"/>
      <c r="I157" s="303"/>
      <c r="J157" s="160"/>
      <c r="K157" s="162">
        <v>103.593</v>
      </c>
      <c r="L157" s="160"/>
      <c r="M157" s="160"/>
      <c r="N157" s="160"/>
      <c r="O157" s="160"/>
      <c r="P157" s="160"/>
      <c r="Q157" s="160"/>
      <c r="R157" s="163"/>
      <c r="T157" s="164"/>
      <c r="U157" s="160"/>
      <c r="V157" s="160"/>
      <c r="W157" s="160"/>
      <c r="X157" s="160"/>
      <c r="Y157" s="160"/>
      <c r="Z157" s="160"/>
      <c r="AA157" s="165"/>
      <c r="AT157" s="166" t="s">
        <v>179</v>
      </c>
      <c r="AU157" s="166" t="s">
        <v>135</v>
      </c>
      <c r="AV157" s="11" t="s">
        <v>135</v>
      </c>
      <c r="AW157" s="11" t="s">
        <v>35</v>
      </c>
      <c r="AX157" s="11" t="s">
        <v>78</v>
      </c>
      <c r="AY157" s="166" t="s">
        <v>167</v>
      </c>
    </row>
    <row r="158" spans="2:51" s="11" customFormat="1" ht="22.5" customHeight="1">
      <c r="B158" s="159"/>
      <c r="C158" s="160"/>
      <c r="D158" s="160"/>
      <c r="E158" s="161" t="s">
        <v>5</v>
      </c>
      <c r="F158" s="302" t="s">
        <v>1938</v>
      </c>
      <c r="G158" s="303"/>
      <c r="H158" s="303"/>
      <c r="I158" s="303"/>
      <c r="J158" s="160"/>
      <c r="K158" s="162">
        <v>73.699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179</v>
      </c>
      <c r="AU158" s="166" t="s">
        <v>135</v>
      </c>
      <c r="AV158" s="11" t="s">
        <v>135</v>
      </c>
      <c r="AW158" s="11" t="s">
        <v>35</v>
      </c>
      <c r="AX158" s="11" t="s">
        <v>78</v>
      </c>
      <c r="AY158" s="166" t="s">
        <v>167</v>
      </c>
    </row>
    <row r="159" spans="2:51" s="11" customFormat="1" ht="22.5" customHeight="1">
      <c r="B159" s="159"/>
      <c r="C159" s="160"/>
      <c r="D159" s="160"/>
      <c r="E159" s="161" t="s">
        <v>5</v>
      </c>
      <c r="F159" s="302" t="s">
        <v>1939</v>
      </c>
      <c r="G159" s="303"/>
      <c r="H159" s="303"/>
      <c r="I159" s="303"/>
      <c r="J159" s="160"/>
      <c r="K159" s="162">
        <v>28.215</v>
      </c>
      <c r="L159" s="160"/>
      <c r="M159" s="160"/>
      <c r="N159" s="160"/>
      <c r="O159" s="160"/>
      <c r="P159" s="160"/>
      <c r="Q159" s="160"/>
      <c r="R159" s="163"/>
      <c r="T159" s="164"/>
      <c r="U159" s="160"/>
      <c r="V159" s="160"/>
      <c r="W159" s="160"/>
      <c r="X159" s="160"/>
      <c r="Y159" s="160"/>
      <c r="Z159" s="160"/>
      <c r="AA159" s="165"/>
      <c r="AT159" s="166" t="s">
        <v>179</v>
      </c>
      <c r="AU159" s="166" t="s">
        <v>135</v>
      </c>
      <c r="AV159" s="11" t="s">
        <v>135</v>
      </c>
      <c r="AW159" s="11" t="s">
        <v>35</v>
      </c>
      <c r="AX159" s="11" t="s">
        <v>78</v>
      </c>
      <c r="AY159" s="166" t="s">
        <v>167</v>
      </c>
    </row>
    <row r="160" spans="2:51" s="11" customFormat="1" ht="22.5" customHeight="1">
      <c r="B160" s="159"/>
      <c r="C160" s="160"/>
      <c r="D160" s="160"/>
      <c r="E160" s="161" t="s">
        <v>5</v>
      </c>
      <c r="F160" s="302" t="s">
        <v>1940</v>
      </c>
      <c r="G160" s="303"/>
      <c r="H160" s="303"/>
      <c r="I160" s="303"/>
      <c r="J160" s="160"/>
      <c r="K160" s="162">
        <v>61.884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179</v>
      </c>
      <c r="AU160" s="166" t="s">
        <v>135</v>
      </c>
      <c r="AV160" s="11" t="s">
        <v>135</v>
      </c>
      <c r="AW160" s="11" t="s">
        <v>35</v>
      </c>
      <c r="AX160" s="11" t="s">
        <v>78</v>
      </c>
      <c r="AY160" s="166" t="s">
        <v>167</v>
      </c>
    </row>
    <row r="161" spans="2:51" s="11" customFormat="1" ht="22.5" customHeight="1">
      <c r="B161" s="159"/>
      <c r="C161" s="160"/>
      <c r="D161" s="160"/>
      <c r="E161" s="161" t="s">
        <v>5</v>
      </c>
      <c r="F161" s="302" t="s">
        <v>1941</v>
      </c>
      <c r="G161" s="303"/>
      <c r="H161" s="303"/>
      <c r="I161" s="303"/>
      <c r="J161" s="160"/>
      <c r="K161" s="162">
        <v>39.125</v>
      </c>
      <c r="L161" s="160"/>
      <c r="M161" s="160"/>
      <c r="N161" s="160"/>
      <c r="O161" s="160"/>
      <c r="P161" s="160"/>
      <c r="Q161" s="160"/>
      <c r="R161" s="163"/>
      <c r="T161" s="164"/>
      <c r="U161" s="160"/>
      <c r="V161" s="160"/>
      <c r="W161" s="160"/>
      <c r="X161" s="160"/>
      <c r="Y161" s="160"/>
      <c r="Z161" s="160"/>
      <c r="AA161" s="165"/>
      <c r="AT161" s="166" t="s">
        <v>179</v>
      </c>
      <c r="AU161" s="166" t="s">
        <v>135</v>
      </c>
      <c r="AV161" s="11" t="s">
        <v>135</v>
      </c>
      <c r="AW161" s="11" t="s">
        <v>35</v>
      </c>
      <c r="AX161" s="11" t="s">
        <v>78</v>
      </c>
      <c r="AY161" s="166" t="s">
        <v>167</v>
      </c>
    </row>
    <row r="162" spans="2:51" s="11" customFormat="1" ht="22.5" customHeight="1">
      <c r="B162" s="159"/>
      <c r="C162" s="160"/>
      <c r="D162" s="160"/>
      <c r="E162" s="161" t="s">
        <v>5</v>
      </c>
      <c r="F162" s="302" t="s">
        <v>1942</v>
      </c>
      <c r="G162" s="303"/>
      <c r="H162" s="303"/>
      <c r="I162" s="303"/>
      <c r="J162" s="160"/>
      <c r="K162" s="162">
        <v>99.22</v>
      </c>
      <c r="L162" s="160"/>
      <c r="M162" s="160"/>
      <c r="N162" s="160"/>
      <c r="O162" s="160"/>
      <c r="P162" s="160"/>
      <c r="Q162" s="160"/>
      <c r="R162" s="163"/>
      <c r="T162" s="164"/>
      <c r="U162" s="160"/>
      <c r="V162" s="160"/>
      <c r="W162" s="160"/>
      <c r="X162" s="160"/>
      <c r="Y162" s="160"/>
      <c r="Z162" s="160"/>
      <c r="AA162" s="165"/>
      <c r="AT162" s="166" t="s">
        <v>179</v>
      </c>
      <c r="AU162" s="166" t="s">
        <v>135</v>
      </c>
      <c r="AV162" s="11" t="s">
        <v>135</v>
      </c>
      <c r="AW162" s="11" t="s">
        <v>35</v>
      </c>
      <c r="AX162" s="11" t="s">
        <v>78</v>
      </c>
      <c r="AY162" s="166" t="s">
        <v>167</v>
      </c>
    </row>
    <row r="163" spans="2:51" s="11" customFormat="1" ht="22.5" customHeight="1">
      <c r="B163" s="159"/>
      <c r="C163" s="160"/>
      <c r="D163" s="160"/>
      <c r="E163" s="161" t="s">
        <v>5</v>
      </c>
      <c r="F163" s="302" t="s">
        <v>1943</v>
      </c>
      <c r="G163" s="303"/>
      <c r="H163" s="303"/>
      <c r="I163" s="303"/>
      <c r="J163" s="160"/>
      <c r="K163" s="162">
        <v>103.95</v>
      </c>
      <c r="L163" s="160"/>
      <c r="M163" s="160"/>
      <c r="N163" s="160"/>
      <c r="O163" s="160"/>
      <c r="P163" s="160"/>
      <c r="Q163" s="160"/>
      <c r="R163" s="163"/>
      <c r="T163" s="164"/>
      <c r="U163" s="160"/>
      <c r="V163" s="160"/>
      <c r="W163" s="160"/>
      <c r="X163" s="160"/>
      <c r="Y163" s="160"/>
      <c r="Z163" s="160"/>
      <c r="AA163" s="165"/>
      <c r="AT163" s="166" t="s">
        <v>179</v>
      </c>
      <c r="AU163" s="166" t="s">
        <v>135</v>
      </c>
      <c r="AV163" s="11" t="s">
        <v>135</v>
      </c>
      <c r="AW163" s="11" t="s">
        <v>35</v>
      </c>
      <c r="AX163" s="11" t="s">
        <v>78</v>
      </c>
      <c r="AY163" s="166" t="s">
        <v>167</v>
      </c>
    </row>
    <row r="164" spans="2:51" s="11" customFormat="1" ht="22.5" customHeight="1">
      <c r="B164" s="159"/>
      <c r="C164" s="160"/>
      <c r="D164" s="160"/>
      <c r="E164" s="161" t="s">
        <v>5</v>
      </c>
      <c r="F164" s="302" t="s">
        <v>1944</v>
      </c>
      <c r="G164" s="303"/>
      <c r="H164" s="303"/>
      <c r="I164" s="303"/>
      <c r="J164" s="160"/>
      <c r="K164" s="162">
        <v>111.527</v>
      </c>
      <c r="L164" s="160"/>
      <c r="M164" s="160"/>
      <c r="N164" s="160"/>
      <c r="O164" s="160"/>
      <c r="P164" s="160"/>
      <c r="Q164" s="160"/>
      <c r="R164" s="163"/>
      <c r="T164" s="164"/>
      <c r="U164" s="160"/>
      <c r="V164" s="160"/>
      <c r="W164" s="160"/>
      <c r="X164" s="160"/>
      <c r="Y164" s="160"/>
      <c r="Z164" s="160"/>
      <c r="AA164" s="165"/>
      <c r="AT164" s="166" t="s">
        <v>179</v>
      </c>
      <c r="AU164" s="166" t="s">
        <v>135</v>
      </c>
      <c r="AV164" s="11" t="s">
        <v>135</v>
      </c>
      <c r="AW164" s="11" t="s">
        <v>35</v>
      </c>
      <c r="AX164" s="11" t="s">
        <v>78</v>
      </c>
      <c r="AY164" s="166" t="s">
        <v>167</v>
      </c>
    </row>
    <row r="165" spans="2:51" s="13" customFormat="1" ht="22.5" customHeight="1">
      <c r="B165" s="186"/>
      <c r="C165" s="187"/>
      <c r="D165" s="187"/>
      <c r="E165" s="188" t="s">
        <v>5</v>
      </c>
      <c r="F165" s="337" t="s">
        <v>1278</v>
      </c>
      <c r="G165" s="338"/>
      <c r="H165" s="338"/>
      <c r="I165" s="338"/>
      <c r="J165" s="187"/>
      <c r="K165" s="189">
        <v>1491.777</v>
      </c>
      <c r="L165" s="187"/>
      <c r="M165" s="187"/>
      <c r="N165" s="187"/>
      <c r="O165" s="187"/>
      <c r="P165" s="187"/>
      <c r="Q165" s="187"/>
      <c r="R165" s="190"/>
      <c r="T165" s="191"/>
      <c r="U165" s="187"/>
      <c r="V165" s="187"/>
      <c r="W165" s="187"/>
      <c r="X165" s="187"/>
      <c r="Y165" s="187"/>
      <c r="Z165" s="187"/>
      <c r="AA165" s="192"/>
      <c r="AT165" s="193" t="s">
        <v>179</v>
      </c>
      <c r="AU165" s="193" t="s">
        <v>135</v>
      </c>
      <c r="AV165" s="13" t="s">
        <v>184</v>
      </c>
      <c r="AW165" s="13" t="s">
        <v>35</v>
      </c>
      <c r="AX165" s="13" t="s">
        <v>78</v>
      </c>
      <c r="AY165" s="193" t="s">
        <v>167</v>
      </c>
    </row>
    <row r="166" spans="2:51" s="10" customFormat="1" ht="22.5" customHeight="1">
      <c r="B166" s="151"/>
      <c r="C166" s="152"/>
      <c r="D166" s="152"/>
      <c r="E166" s="153" t="s">
        <v>5</v>
      </c>
      <c r="F166" s="304" t="s">
        <v>1945</v>
      </c>
      <c r="G166" s="305"/>
      <c r="H166" s="305"/>
      <c r="I166" s="305"/>
      <c r="J166" s="152"/>
      <c r="K166" s="154" t="s">
        <v>5</v>
      </c>
      <c r="L166" s="152"/>
      <c r="M166" s="152"/>
      <c r="N166" s="152"/>
      <c r="O166" s="152"/>
      <c r="P166" s="152"/>
      <c r="Q166" s="152"/>
      <c r="R166" s="155"/>
      <c r="T166" s="156"/>
      <c r="U166" s="152"/>
      <c r="V166" s="152"/>
      <c r="W166" s="152"/>
      <c r="X166" s="152"/>
      <c r="Y166" s="152"/>
      <c r="Z166" s="152"/>
      <c r="AA166" s="157"/>
      <c r="AT166" s="158" t="s">
        <v>179</v>
      </c>
      <c r="AU166" s="158" t="s">
        <v>135</v>
      </c>
      <c r="AV166" s="10" t="s">
        <v>21</v>
      </c>
      <c r="AW166" s="10" t="s">
        <v>35</v>
      </c>
      <c r="AX166" s="10" t="s">
        <v>78</v>
      </c>
      <c r="AY166" s="158" t="s">
        <v>167</v>
      </c>
    </row>
    <row r="167" spans="2:51" s="11" customFormat="1" ht="22.5" customHeight="1">
      <c r="B167" s="159"/>
      <c r="C167" s="160"/>
      <c r="D167" s="160"/>
      <c r="E167" s="161" t="s">
        <v>5</v>
      </c>
      <c r="F167" s="302" t="s">
        <v>1946</v>
      </c>
      <c r="G167" s="303"/>
      <c r="H167" s="303"/>
      <c r="I167" s="303"/>
      <c r="J167" s="160"/>
      <c r="K167" s="162">
        <v>57.688</v>
      </c>
      <c r="L167" s="160"/>
      <c r="M167" s="160"/>
      <c r="N167" s="160"/>
      <c r="O167" s="160"/>
      <c r="P167" s="160"/>
      <c r="Q167" s="160"/>
      <c r="R167" s="163"/>
      <c r="T167" s="164"/>
      <c r="U167" s="160"/>
      <c r="V167" s="160"/>
      <c r="W167" s="160"/>
      <c r="X167" s="160"/>
      <c r="Y167" s="160"/>
      <c r="Z167" s="160"/>
      <c r="AA167" s="165"/>
      <c r="AT167" s="166" t="s">
        <v>179</v>
      </c>
      <c r="AU167" s="166" t="s">
        <v>135</v>
      </c>
      <c r="AV167" s="11" t="s">
        <v>135</v>
      </c>
      <c r="AW167" s="11" t="s">
        <v>35</v>
      </c>
      <c r="AX167" s="11" t="s">
        <v>78</v>
      </c>
      <c r="AY167" s="166" t="s">
        <v>167</v>
      </c>
    </row>
    <row r="168" spans="2:51" s="11" customFormat="1" ht="22.5" customHeight="1">
      <c r="B168" s="159"/>
      <c r="C168" s="160"/>
      <c r="D168" s="160"/>
      <c r="E168" s="161" t="s">
        <v>5</v>
      </c>
      <c r="F168" s="302" t="s">
        <v>1947</v>
      </c>
      <c r="G168" s="303"/>
      <c r="H168" s="303"/>
      <c r="I168" s="303"/>
      <c r="J168" s="160"/>
      <c r="K168" s="162">
        <v>44.53</v>
      </c>
      <c r="L168" s="160"/>
      <c r="M168" s="160"/>
      <c r="N168" s="160"/>
      <c r="O168" s="160"/>
      <c r="P168" s="160"/>
      <c r="Q168" s="160"/>
      <c r="R168" s="163"/>
      <c r="T168" s="164"/>
      <c r="U168" s="160"/>
      <c r="V168" s="160"/>
      <c r="W168" s="160"/>
      <c r="X168" s="160"/>
      <c r="Y168" s="160"/>
      <c r="Z168" s="160"/>
      <c r="AA168" s="165"/>
      <c r="AT168" s="166" t="s">
        <v>179</v>
      </c>
      <c r="AU168" s="166" t="s">
        <v>135</v>
      </c>
      <c r="AV168" s="11" t="s">
        <v>135</v>
      </c>
      <c r="AW168" s="11" t="s">
        <v>35</v>
      </c>
      <c r="AX168" s="11" t="s">
        <v>78</v>
      </c>
      <c r="AY168" s="166" t="s">
        <v>167</v>
      </c>
    </row>
    <row r="169" spans="2:51" s="11" customFormat="1" ht="22.5" customHeight="1">
      <c r="B169" s="159"/>
      <c r="C169" s="160"/>
      <c r="D169" s="160"/>
      <c r="E169" s="161" t="s">
        <v>5</v>
      </c>
      <c r="F169" s="302" t="s">
        <v>1948</v>
      </c>
      <c r="G169" s="303"/>
      <c r="H169" s="303"/>
      <c r="I169" s="303"/>
      <c r="J169" s="160"/>
      <c r="K169" s="162">
        <v>66.084</v>
      </c>
      <c r="L169" s="160"/>
      <c r="M169" s="160"/>
      <c r="N169" s="160"/>
      <c r="O169" s="160"/>
      <c r="P169" s="160"/>
      <c r="Q169" s="160"/>
      <c r="R169" s="163"/>
      <c r="T169" s="164"/>
      <c r="U169" s="160"/>
      <c r="V169" s="160"/>
      <c r="W169" s="160"/>
      <c r="X169" s="160"/>
      <c r="Y169" s="160"/>
      <c r="Z169" s="160"/>
      <c r="AA169" s="165"/>
      <c r="AT169" s="166" t="s">
        <v>179</v>
      </c>
      <c r="AU169" s="166" t="s">
        <v>135</v>
      </c>
      <c r="AV169" s="11" t="s">
        <v>135</v>
      </c>
      <c r="AW169" s="11" t="s">
        <v>35</v>
      </c>
      <c r="AX169" s="11" t="s">
        <v>78</v>
      </c>
      <c r="AY169" s="166" t="s">
        <v>167</v>
      </c>
    </row>
    <row r="170" spans="2:51" s="11" customFormat="1" ht="22.5" customHeight="1">
      <c r="B170" s="159"/>
      <c r="C170" s="160"/>
      <c r="D170" s="160"/>
      <c r="E170" s="161" t="s">
        <v>5</v>
      </c>
      <c r="F170" s="302" t="s">
        <v>1949</v>
      </c>
      <c r="G170" s="303"/>
      <c r="H170" s="303"/>
      <c r="I170" s="303"/>
      <c r="J170" s="160"/>
      <c r="K170" s="162">
        <v>53.548</v>
      </c>
      <c r="L170" s="160"/>
      <c r="M170" s="160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179</v>
      </c>
      <c r="AU170" s="166" t="s">
        <v>135</v>
      </c>
      <c r="AV170" s="11" t="s">
        <v>135</v>
      </c>
      <c r="AW170" s="11" t="s">
        <v>35</v>
      </c>
      <c r="AX170" s="11" t="s">
        <v>78</v>
      </c>
      <c r="AY170" s="166" t="s">
        <v>167</v>
      </c>
    </row>
    <row r="171" spans="2:51" s="11" customFormat="1" ht="22.5" customHeight="1">
      <c r="B171" s="159"/>
      <c r="C171" s="160"/>
      <c r="D171" s="160"/>
      <c r="E171" s="161" t="s">
        <v>5</v>
      </c>
      <c r="F171" s="302" t="s">
        <v>1950</v>
      </c>
      <c r="G171" s="303"/>
      <c r="H171" s="303"/>
      <c r="I171" s="303"/>
      <c r="J171" s="160"/>
      <c r="K171" s="162">
        <v>101.552</v>
      </c>
      <c r="L171" s="160"/>
      <c r="M171" s="160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179</v>
      </c>
      <c r="AU171" s="166" t="s">
        <v>135</v>
      </c>
      <c r="AV171" s="11" t="s">
        <v>135</v>
      </c>
      <c r="AW171" s="11" t="s">
        <v>35</v>
      </c>
      <c r="AX171" s="11" t="s">
        <v>78</v>
      </c>
      <c r="AY171" s="166" t="s">
        <v>167</v>
      </c>
    </row>
    <row r="172" spans="2:51" s="11" customFormat="1" ht="22.5" customHeight="1">
      <c r="B172" s="159"/>
      <c r="C172" s="160"/>
      <c r="D172" s="160"/>
      <c r="E172" s="161" t="s">
        <v>5</v>
      </c>
      <c r="F172" s="302" t="s">
        <v>1951</v>
      </c>
      <c r="G172" s="303"/>
      <c r="H172" s="303"/>
      <c r="I172" s="303"/>
      <c r="J172" s="160"/>
      <c r="K172" s="162">
        <v>52.536</v>
      </c>
      <c r="L172" s="160"/>
      <c r="M172" s="160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179</v>
      </c>
      <c r="AU172" s="166" t="s">
        <v>135</v>
      </c>
      <c r="AV172" s="11" t="s">
        <v>135</v>
      </c>
      <c r="AW172" s="11" t="s">
        <v>35</v>
      </c>
      <c r="AX172" s="11" t="s">
        <v>78</v>
      </c>
      <c r="AY172" s="166" t="s">
        <v>167</v>
      </c>
    </row>
    <row r="173" spans="2:51" s="11" customFormat="1" ht="22.5" customHeight="1">
      <c r="B173" s="159"/>
      <c r="C173" s="160"/>
      <c r="D173" s="160"/>
      <c r="E173" s="161" t="s">
        <v>5</v>
      </c>
      <c r="F173" s="302" t="s">
        <v>1952</v>
      </c>
      <c r="G173" s="303"/>
      <c r="H173" s="303"/>
      <c r="I173" s="303"/>
      <c r="J173" s="160"/>
      <c r="K173" s="162">
        <v>59.884</v>
      </c>
      <c r="L173" s="160"/>
      <c r="M173" s="160"/>
      <c r="N173" s="160"/>
      <c r="O173" s="160"/>
      <c r="P173" s="160"/>
      <c r="Q173" s="160"/>
      <c r="R173" s="163"/>
      <c r="T173" s="164"/>
      <c r="U173" s="160"/>
      <c r="V173" s="160"/>
      <c r="W173" s="160"/>
      <c r="X173" s="160"/>
      <c r="Y173" s="160"/>
      <c r="Z173" s="160"/>
      <c r="AA173" s="165"/>
      <c r="AT173" s="166" t="s">
        <v>179</v>
      </c>
      <c r="AU173" s="166" t="s">
        <v>135</v>
      </c>
      <c r="AV173" s="11" t="s">
        <v>135</v>
      </c>
      <c r="AW173" s="11" t="s">
        <v>35</v>
      </c>
      <c r="AX173" s="11" t="s">
        <v>78</v>
      </c>
      <c r="AY173" s="166" t="s">
        <v>167</v>
      </c>
    </row>
    <row r="174" spans="2:51" s="13" customFormat="1" ht="22.5" customHeight="1">
      <c r="B174" s="186"/>
      <c r="C174" s="187"/>
      <c r="D174" s="187"/>
      <c r="E174" s="188" t="s">
        <v>5</v>
      </c>
      <c r="F174" s="337" t="s">
        <v>1278</v>
      </c>
      <c r="G174" s="338"/>
      <c r="H174" s="338"/>
      <c r="I174" s="338"/>
      <c r="J174" s="187"/>
      <c r="K174" s="189">
        <v>435.822</v>
      </c>
      <c r="L174" s="187"/>
      <c r="M174" s="187"/>
      <c r="N174" s="187"/>
      <c r="O174" s="187"/>
      <c r="P174" s="187"/>
      <c r="Q174" s="187"/>
      <c r="R174" s="190"/>
      <c r="T174" s="191"/>
      <c r="U174" s="187"/>
      <c r="V174" s="187"/>
      <c r="W174" s="187"/>
      <c r="X174" s="187"/>
      <c r="Y174" s="187"/>
      <c r="Z174" s="187"/>
      <c r="AA174" s="192"/>
      <c r="AT174" s="193" t="s">
        <v>179</v>
      </c>
      <c r="AU174" s="193" t="s">
        <v>135</v>
      </c>
      <c r="AV174" s="13" t="s">
        <v>184</v>
      </c>
      <c r="AW174" s="13" t="s">
        <v>35</v>
      </c>
      <c r="AX174" s="13" t="s">
        <v>78</v>
      </c>
      <c r="AY174" s="193" t="s">
        <v>167</v>
      </c>
    </row>
    <row r="175" spans="2:51" s="10" customFormat="1" ht="22.5" customHeight="1">
      <c r="B175" s="151"/>
      <c r="C175" s="152"/>
      <c r="D175" s="152"/>
      <c r="E175" s="153" t="s">
        <v>5</v>
      </c>
      <c r="F175" s="304" t="s">
        <v>1953</v>
      </c>
      <c r="G175" s="305"/>
      <c r="H175" s="305"/>
      <c r="I175" s="305"/>
      <c r="J175" s="152"/>
      <c r="K175" s="154" t="s">
        <v>5</v>
      </c>
      <c r="L175" s="152"/>
      <c r="M175" s="152"/>
      <c r="N175" s="152"/>
      <c r="O175" s="152"/>
      <c r="P175" s="152"/>
      <c r="Q175" s="152"/>
      <c r="R175" s="155"/>
      <c r="T175" s="156"/>
      <c r="U175" s="152"/>
      <c r="V175" s="152"/>
      <c r="W175" s="152"/>
      <c r="X175" s="152"/>
      <c r="Y175" s="152"/>
      <c r="Z175" s="152"/>
      <c r="AA175" s="157"/>
      <c r="AT175" s="158" t="s">
        <v>179</v>
      </c>
      <c r="AU175" s="158" t="s">
        <v>135</v>
      </c>
      <c r="AV175" s="10" t="s">
        <v>21</v>
      </c>
      <c r="AW175" s="10" t="s">
        <v>35</v>
      </c>
      <c r="AX175" s="10" t="s">
        <v>78</v>
      </c>
      <c r="AY175" s="158" t="s">
        <v>167</v>
      </c>
    </row>
    <row r="176" spans="2:51" s="11" customFormat="1" ht="22.5" customHeight="1">
      <c r="B176" s="159"/>
      <c r="C176" s="160"/>
      <c r="D176" s="160"/>
      <c r="E176" s="161" t="s">
        <v>5</v>
      </c>
      <c r="F176" s="302" t="s">
        <v>1954</v>
      </c>
      <c r="G176" s="303"/>
      <c r="H176" s="303"/>
      <c r="I176" s="303"/>
      <c r="J176" s="160"/>
      <c r="K176" s="162">
        <v>108.9</v>
      </c>
      <c r="L176" s="160"/>
      <c r="M176" s="160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179</v>
      </c>
      <c r="AU176" s="166" t="s">
        <v>135</v>
      </c>
      <c r="AV176" s="11" t="s">
        <v>135</v>
      </c>
      <c r="AW176" s="11" t="s">
        <v>35</v>
      </c>
      <c r="AX176" s="11" t="s">
        <v>78</v>
      </c>
      <c r="AY176" s="166" t="s">
        <v>167</v>
      </c>
    </row>
    <row r="177" spans="2:51" s="11" customFormat="1" ht="22.5" customHeight="1">
      <c r="B177" s="159"/>
      <c r="C177" s="160"/>
      <c r="D177" s="160"/>
      <c r="E177" s="161" t="s">
        <v>5</v>
      </c>
      <c r="F177" s="302" t="s">
        <v>1955</v>
      </c>
      <c r="G177" s="303"/>
      <c r="H177" s="303"/>
      <c r="I177" s="303"/>
      <c r="J177" s="160"/>
      <c r="K177" s="162">
        <v>789.8</v>
      </c>
      <c r="L177" s="160"/>
      <c r="M177" s="160"/>
      <c r="N177" s="160"/>
      <c r="O177" s="160"/>
      <c r="P177" s="160"/>
      <c r="Q177" s="160"/>
      <c r="R177" s="163"/>
      <c r="T177" s="164"/>
      <c r="U177" s="160"/>
      <c r="V177" s="160"/>
      <c r="W177" s="160"/>
      <c r="X177" s="160"/>
      <c r="Y177" s="160"/>
      <c r="Z177" s="160"/>
      <c r="AA177" s="165"/>
      <c r="AT177" s="166" t="s">
        <v>179</v>
      </c>
      <c r="AU177" s="166" t="s">
        <v>135</v>
      </c>
      <c r="AV177" s="11" t="s">
        <v>135</v>
      </c>
      <c r="AW177" s="11" t="s">
        <v>35</v>
      </c>
      <c r="AX177" s="11" t="s">
        <v>78</v>
      </c>
      <c r="AY177" s="166" t="s">
        <v>167</v>
      </c>
    </row>
    <row r="178" spans="2:51" s="13" customFormat="1" ht="22.5" customHeight="1">
      <c r="B178" s="186"/>
      <c r="C178" s="187"/>
      <c r="D178" s="187"/>
      <c r="E178" s="188" t="s">
        <v>5</v>
      </c>
      <c r="F178" s="337" t="s">
        <v>1278</v>
      </c>
      <c r="G178" s="338"/>
      <c r="H178" s="338"/>
      <c r="I178" s="338"/>
      <c r="J178" s="187"/>
      <c r="K178" s="189">
        <v>898.7</v>
      </c>
      <c r="L178" s="187"/>
      <c r="M178" s="187"/>
      <c r="N178" s="187"/>
      <c r="O178" s="187"/>
      <c r="P178" s="187"/>
      <c r="Q178" s="187"/>
      <c r="R178" s="190"/>
      <c r="T178" s="191"/>
      <c r="U178" s="187"/>
      <c r="V178" s="187"/>
      <c r="W178" s="187"/>
      <c r="X178" s="187"/>
      <c r="Y178" s="187"/>
      <c r="Z178" s="187"/>
      <c r="AA178" s="192"/>
      <c r="AT178" s="193" t="s">
        <v>179</v>
      </c>
      <c r="AU178" s="193" t="s">
        <v>135</v>
      </c>
      <c r="AV178" s="13" t="s">
        <v>184</v>
      </c>
      <c r="AW178" s="13" t="s">
        <v>35</v>
      </c>
      <c r="AX178" s="13" t="s">
        <v>78</v>
      </c>
      <c r="AY178" s="193" t="s">
        <v>167</v>
      </c>
    </row>
    <row r="179" spans="2:51" s="10" customFormat="1" ht="22.5" customHeight="1">
      <c r="B179" s="151"/>
      <c r="C179" s="152"/>
      <c r="D179" s="152"/>
      <c r="E179" s="153" t="s">
        <v>5</v>
      </c>
      <c r="F179" s="304" t="s">
        <v>1956</v>
      </c>
      <c r="G179" s="305"/>
      <c r="H179" s="305"/>
      <c r="I179" s="305"/>
      <c r="J179" s="152"/>
      <c r="K179" s="154" t="s">
        <v>5</v>
      </c>
      <c r="L179" s="152"/>
      <c r="M179" s="152"/>
      <c r="N179" s="152"/>
      <c r="O179" s="152"/>
      <c r="P179" s="152"/>
      <c r="Q179" s="152"/>
      <c r="R179" s="155"/>
      <c r="T179" s="156"/>
      <c r="U179" s="152"/>
      <c r="V179" s="152"/>
      <c r="W179" s="152"/>
      <c r="X179" s="152"/>
      <c r="Y179" s="152"/>
      <c r="Z179" s="152"/>
      <c r="AA179" s="157"/>
      <c r="AT179" s="158" t="s">
        <v>179</v>
      </c>
      <c r="AU179" s="158" t="s">
        <v>135</v>
      </c>
      <c r="AV179" s="10" t="s">
        <v>21</v>
      </c>
      <c r="AW179" s="10" t="s">
        <v>35</v>
      </c>
      <c r="AX179" s="10" t="s">
        <v>78</v>
      </c>
      <c r="AY179" s="158" t="s">
        <v>167</v>
      </c>
    </row>
    <row r="180" spans="2:51" s="11" customFormat="1" ht="22.5" customHeight="1">
      <c r="B180" s="159"/>
      <c r="C180" s="160"/>
      <c r="D180" s="160"/>
      <c r="E180" s="161" t="s">
        <v>5</v>
      </c>
      <c r="F180" s="302" t="s">
        <v>1957</v>
      </c>
      <c r="G180" s="303"/>
      <c r="H180" s="303"/>
      <c r="I180" s="303"/>
      <c r="J180" s="160"/>
      <c r="K180" s="162">
        <v>146.685</v>
      </c>
      <c r="L180" s="160"/>
      <c r="M180" s="160"/>
      <c r="N180" s="160"/>
      <c r="O180" s="160"/>
      <c r="P180" s="160"/>
      <c r="Q180" s="160"/>
      <c r="R180" s="163"/>
      <c r="T180" s="164"/>
      <c r="U180" s="160"/>
      <c r="V180" s="160"/>
      <c r="W180" s="160"/>
      <c r="X180" s="160"/>
      <c r="Y180" s="160"/>
      <c r="Z180" s="160"/>
      <c r="AA180" s="165"/>
      <c r="AT180" s="166" t="s">
        <v>179</v>
      </c>
      <c r="AU180" s="166" t="s">
        <v>135</v>
      </c>
      <c r="AV180" s="11" t="s">
        <v>135</v>
      </c>
      <c r="AW180" s="11" t="s">
        <v>35</v>
      </c>
      <c r="AX180" s="11" t="s">
        <v>78</v>
      </c>
      <c r="AY180" s="166" t="s">
        <v>167</v>
      </c>
    </row>
    <row r="181" spans="2:51" s="13" customFormat="1" ht="22.5" customHeight="1">
      <c r="B181" s="186"/>
      <c r="C181" s="187"/>
      <c r="D181" s="187"/>
      <c r="E181" s="188" t="s">
        <v>5</v>
      </c>
      <c r="F181" s="337" t="s">
        <v>1278</v>
      </c>
      <c r="G181" s="338"/>
      <c r="H181" s="338"/>
      <c r="I181" s="338"/>
      <c r="J181" s="187"/>
      <c r="K181" s="189">
        <v>146.685</v>
      </c>
      <c r="L181" s="187"/>
      <c r="M181" s="187"/>
      <c r="N181" s="187"/>
      <c r="O181" s="187"/>
      <c r="P181" s="187"/>
      <c r="Q181" s="187"/>
      <c r="R181" s="190"/>
      <c r="T181" s="191"/>
      <c r="U181" s="187"/>
      <c r="V181" s="187"/>
      <c r="W181" s="187"/>
      <c r="X181" s="187"/>
      <c r="Y181" s="187"/>
      <c r="Z181" s="187"/>
      <c r="AA181" s="192"/>
      <c r="AT181" s="193" t="s">
        <v>179</v>
      </c>
      <c r="AU181" s="193" t="s">
        <v>135</v>
      </c>
      <c r="AV181" s="13" t="s">
        <v>184</v>
      </c>
      <c r="AW181" s="13" t="s">
        <v>35</v>
      </c>
      <c r="AX181" s="13" t="s">
        <v>78</v>
      </c>
      <c r="AY181" s="193" t="s">
        <v>167</v>
      </c>
    </row>
    <row r="182" spans="2:51" s="10" customFormat="1" ht="22.5" customHeight="1">
      <c r="B182" s="151"/>
      <c r="C182" s="152"/>
      <c r="D182" s="152"/>
      <c r="E182" s="153" t="s">
        <v>5</v>
      </c>
      <c r="F182" s="304" t="s">
        <v>1958</v>
      </c>
      <c r="G182" s="305"/>
      <c r="H182" s="305"/>
      <c r="I182" s="305"/>
      <c r="J182" s="152"/>
      <c r="K182" s="154" t="s">
        <v>5</v>
      </c>
      <c r="L182" s="152"/>
      <c r="M182" s="152"/>
      <c r="N182" s="152"/>
      <c r="O182" s="152"/>
      <c r="P182" s="152"/>
      <c r="Q182" s="152"/>
      <c r="R182" s="155"/>
      <c r="T182" s="156"/>
      <c r="U182" s="152"/>
      <c r="V182" s="152"/>
      <c r="W182" s="152"/>
      <c r="X182" s="152"/>
      <c r="Y182" s="152"/>
      <c r="Z182" s="152"/>
      <c r="AA182" s="157"/>
      <c r="AT182" s="158" t="s">
        <v>179</v>
      </c>
      <c r="AU182" s="158" t="s">
        <v>135</v>
      </c>
      <c r="AV182" s="10" t="s">
        <v>21</v>
      </c>
      <c r="AW182" s="10" t="s">
        <v>35</v>
      </c>
      <c r="AX182" s="10" t="s">
        <v>78</v>
      </c>
      <c r="AY182" s="158" t="s">
        <v>167</v>
      </c>
    </row>
    <row r="183" spans="2:51" s="11" customFormat="1" ht="22.5" customHeight="1">
      <c r="B183" s="159"/>
      <c r="C183" s="160"/>
      <c r="D183" s="160"/>
      <c r="E183" s="161" t="s">
        <v>5</v>
      </c>
      <c r="F183" s="302" t="s">
        <v>1959</v>
      </c>
      <c r="G183" s="303"/>
      <c r="H183" s="303"/>
      <c r="I183" s="303"/>
      <c r="J183" s="160"/>
      <c r="K183" s="162">
        <v>15.768</v>
      </c>
      <c r="L183" s="160"/>
      <c r="M183" s="160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179</v>
      </c>
      <c r="AU183" s="166" t="s">
        <v>135</v>
      </c>
      <c r="AV183" s="11" t="s">
        <v>135</v>
      </c>
      <c r="AW183" s="11" t="s">
        <v>35</v>
      </c>
      <c r="AX183" s="11" t="s">
        <v>78</v>
      </c>
      <c r="AY183" s="166" t="s">
        <v>167</v>
      </c>
    </row>
    <row r="184" spans="2:51" s="11" customFormat="1" ht="22.5" customHeight="1">
      <c r="B184" s="159"/>
      <c r="C184" s="160"/>
      <c r="D184" s="160"/>
      <c r="E184" s="161" t="s">
        <v>5</v>
      </c>
      <c r="F184" s="302" t="s">
        <v>1960</v>
      </c>
      <c r="G184" s="303"/>
      <c r="H184" s="303"/>
      <c r="I184" s="303"/>
      <c r="J184" s="160"/>
      <c r="K184" s="162">
        <v>65.856</v>
      </c>
      <c r="L184" s="160"/>
      <c r="M184" s="160"/>
      <c r="N184" s="160"/>
      <c r="O184" s="160"/>
      <c r="P184" s="160"/>
      <c r="Q184" s="160"/>
      <c r="R184" s="163"/>
      <c r="T184" s="164"/>
      <c r="U184" s="160"/>
      <c r="V184" s="160"/>
      <c r="W184" s="160"/>
      <c r="X184" s="160"/>
      <c r="Y184" s="160"/>
      <c r="Z184" s="160"/>
      <c r="AA184" s="165"/>
      <c r="AT184" s="166" t="s">
        <v>179</v>
      </c>
      <c r="AU184" s="166" t="s">
        <v>135</v>
      </c>
      <c r="AV184" s="11" t="s">
        <v>135</v>
      </c>
      <c r="AW184" s="11" t="s">
        <v>35</v>
      </c>
      <c r="AX184" s="11" t="s">
        <v>78</v>
      </c>
      <c r="AY184" s="166" t="s">
        <v>167</v>
      </c>
    </row>
    <row r="185" spans="2:51" s="11" customFormat="1" ht="22.5" customHeight="1">
      <c r="B185" s="159"/>
      <c r="C185" s="160"/>
      <c r="D185" s="160"/>
      <c r="E185" s="161" t="s">
        <v>5</v>
      </c>
      <c r="F185" s="302" t="s">
        <v>1961</v>
      </c>
      <c r="G185" s="303"/>
      <c r="H185" s="303"/>
      <c r="I185" s="303"/>
      <c r="J185" s="160"/>
      <c r="K185" s="162">
        <v>66.371</v>
      </c>
      <c r="L185" s="160"/>
      <c r="M185" s="160"/>
      <c r="N185" s="160"/>
      <c r="O185" s="160"/>
      <c r="P185" s="160"/>
      <c r="Q185" s="160"/>
      <c r="R185" s="163"/>
      <c r="T185" s="164"/>
      <c r="U185" s="160"/>
      <c r="V185" s="160"/>
      <c r="W185" s="160"/>
      <c r="X185" s="160"/>
      <c r="Y185" s="160"/>
      <c r="Z185" s="160"/>
      <c r="AA185" s="165"/>
      <c r="AT185" s="166" t="s">
        <v>179</v>
      </c>
      <c r="AU185" s="166" t="s">
        <v>135</v>
      </c>
      <c r="AV185" s="11" t="s">
        <v>135</v>
      </c>
      <c r="AW185" s="11" t="s">
        <v>35</v>
      </c>
      <c r="AX185" s="11" t="s">
        <v>78</v>
      </c>
      <c r="AY185" s="166" t="s">
        <v>167</v>
      </c>
    </row>
    <row r="186" spans="2:51" s="11" customFormat="1" ht="22.5" customHeight="1">
      <c r="B186" s="159"/>
      <c r="C186" s="160"/>
      <c r="D186" s="160"/>
      <c r="E186" s="161" t="s">
        <v>5</v>
      </c>
      <c r="F186" s="302" t="s">
        <v>1962</v>
      </c>
      <c r="G186" s="303"/>
      <c r="H186" s="303"/>
      <c r="I186" s="303"/>
      <c r="J186" s="160"/>
      <c r="K186" s="162">
        <v>30.6</v>
      </c>
      <c r="L186" s="160"/>
      <c r="M186" s="160"/>
      <c r="N186" s="160"/>
      <c r="O186" s="160"/>
      <c r="P186" s="160"/>
      <c r="Q186" s="160"/>
      <c r="R186" s="163"/>
      <c r="T186" s="164"/>
      <c r="U186" s="160"/>
      <c r="V186" s="160"/>
      <c r="W186" s="160"/>
      <c r="X186" s="160"/>
      <c r="Y186" s="160"/>
      <c r="Z186" s="160"/>
      <c r="AA186" s="165"/>
      <c r="AT186" s="166" t="s">
        <v>179</v>
      </c>
      <c r="AU186" s="166" t="s">
        <v>135</v>
      </c>
      <c r="AV186" s="11" t="s">
        <v>135</v>
      </c>
      <c r="AW186" s="11" t="s">
        <v>35</v>
      </c>
      <c r="AX186" s="11" t="s">
        <v>78</v>
      </c>
      <c r="AY186" s="166" t="s">
        <v>167</v>
      </c>
    </row>
    <row r="187" spans="2:51" s="11" customFormat="1" ht="22.5" customHeight="1">
      <c r="B187" s="159"/>
      <c r="C187" s="160"/>
      <c r="D187" s="160"/>
      <c r="E187" s="161" t="s">
        <v>5</v>
      </c>
      <c r="F187" s="302" t="s">
        <v>1963</v>
      </c>
      <c r="G187" s="303"/>
      <c r="H187" s="303"/>
      <c r="I187" s="303"/>
      <c r="J187" s="160"/>
      <c r="K187" s="162">
        <v>67.372</v>
      </c>
      <c r="L187" s="160"/>
      <c r="M187" s="160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179</v>
      </c>
      <c r="AU187" s="166" t="s">
        <v>135</v>
      </c>
      <c r="AV187" s="11" t="s">
        <v>135</v>
      </c>
      <c r="AW187" s="11" t="s">
        <v>35</v>
      </c>
      <c r="AX187" s="11" t="s">
        <v>78</v>
      </c>
      <c r="AY187" s="166" t="s">
        <v>167</v>
      </c>
    </row>
    <row r="188" spans="2:51" s="13" customFormat="1" ht="22.5" customHeight="1">
      <c r="B188" s="186"/>
      <c r="C188" s="187"/>
      <c r="D188" s="187"/>
      <c r="E188" s="188" t="s">
        <v>5</v>
      </c>
      <c r="F188" s="337" t="s">
        <v>1278</v>
      </c>
      <c r="G188" s="338"/>
      <c r="H188" s="338"/>
      <c r="I188" s="338"/>
      <c r="J188" s="187"/>
      <c r="K188" s="189">
        <v>245.967</v>
      </c>
      <c r="L188" s="187"/>
      <c r="M188" s="187"/>
      <c r="N188" s="187"/>
      <c r="O188" s="187"/>
      <c r="P188" s="187"/>
      <c r="Q188" s="187"/>
      <c r="R188" s="190"/>
      <c r="T188" s="191"/>
      <c r="U188" s="187"/>
      <c r="V188" s="187"/>
      <c r="W188" s="187"/>
      <c r="X188" s="187"/>
      <c r="Y188" s="187"/>
      <c r="Z188" s="187"/>
      <c r="AA188" s="192"/>
      <c r="AT188" s="193" t="s">
        <v>179</v>
      </c>
      <c r="AU188" s="193" t="s">
        <v>135</v>
      </c>
      <c r="AV188" s="13" t="s">
        <v>184</v>
      </c>
      <c r="AW188" s="13" t="s">
        <v>35</v>
      </c>
      <c r="AX188" s="13" t="s">
        <v>78</v>
      </c>
      <c r="AY188" s="193" t="s">
        <v>167</v>
      </c>
    </row>
    <row r="189" spans="2:51" s="12" customFormat="1" ht="22.5" customHeight="1">
      <c r="B189" s="167"/>
      <c r="C189" s="168"/>
      <c r="D189" s="168"/>
      <c r="E189" s="169" t="s">
        <v>5</v>
      </c>
      <c r="F189" s="306" t="s">
        <v>183</v>
      </c>
      <c r="G189" s="307"/>
      <c r="H189" s="307"/>
      <c r="I189" s="307"/>
      <c r="J189" s="168"/>
      <c r="K189" s="170">
        <v>4462.151</v>
      </c>
      <c r="L189" s="168"/>
      <c r="M189" s="168"/>
      <c r="N189" s="168"/>
      <c r="O189" s="168"/>
      <c r="P189" s="168"/>
      <c r="Q189" s="168"/>
      <c r="R189" s="171"/>
      <c r="T189" s="172"/>
      <c r="U189" s="168"/>
      <c r="V189" s="168"/>
      <c r="W189" s="168"/>
      <c r="X189" s="168"/>
      <c r="Y189" s="168"/>
      <c r="Z189" s="168"/>
      <c r="AA189" s="173"/>
      <c r="AT189" s="174" t="s">
        <v>179</v>
      </c>
      <c r="AU189" s="174" t="s">
        <v>135</v>
      </c>
      <c r="AV189" s="12" t="s">
        <v>172</v>
      </c>
      <c r="AW189" s="12" t="s">
        <v>35</v>
      </c>
      <c r="AX189" s="12" t="s">
        <v>21</v>
      </c>
      <c r="AY189" s="174" t="s">
        <v>167</v>
      </c>
    </row>
    <row r="190" spans="2:65" s="1" customFormat="1" ht="22.5" customHeight="1">
      <c r="B190" s="141"/>
      <c r="C190" s="142" t="s">
        <v>184</v>
      </c>
      <c r="D190" s="142" t="s">
        <v>168</v>
      </c>
      <c r="E190" s="143" t="s">
        <v>1329</v>
      </c>
      <c r="F190" s="293" t="s">
        <v>1330</v>
      </c>
      <c r="G190" s="293"/>
      <c r="H190" s="293"/>
      <c r="I190" s="293"/>
      <c r="J190" s="144" t="s">
        <v>176</v>
      </c>
      <c r="K190" s="145">
        <v>83.616</v>
      </c>
      <c r="L190" s="294">
        <v>0</v>
      </c>
      <c r="M190" s="294"/>
      <c r="N190" s="294">
        <f>ROUND(L190*K190,2)</f>
        <v>0</v>
      </c>
      <c r="O190" s="294"/>
      <c r="P190" s="294"/>
      <c r="Q190" s="294"/>
      <c r="R190" s="146"/>
      <c r="T190" s="147" t="s">
        <v>5</v>
      </c>
      <c r="U190" s="44" t="s">
        <v>43</v>
      </c>
      <c r="V190" s="148">
        <v>0.44</v>
      </c>
      <c r="W190" s="148">
        <f>V190*K190</f>
        <v>36.79104</v>
      </c>
      <c r="X190" s="148">
        <v>0</v>
      </c>
      <c r="Y190" s="148">
        <f>X190*K190</f>
        <v>0</v>
      </c>
      <c r="Z190" s="148">
        <v>0</v>
      </c>
      <c r="AA190" s="149">
        <f>Z190*K190</f>
        <v>0</v>
      </c>
      <c r="AR190" s="21" t="s">
        <v>172</v>
      </c>
      <c r="AT190" s="21" t="s">
        <v>168</v>
      </c>
      <c r="AU190" s="21" t="s">
        <v>135</v>
      </c>
      <c r="AY190" s="21" t="s">
        <v>167</v>
      </c>
      <c r="BE190" s="150">
        <f>IF(U190="základní",N190,0)</f>
        <v>0</v>
      </c>
      <c r="BF190" s="150">
        <f>IF(U190="snížená",N190,0)</f>
        <v>0</v>
      </c>
      <c r="BG190" s="150">
        <f>IF(U190="zákl. přenesená",N190,0)</f>
        <v>0</v>
      </c>
      <c r="BH190" s="150">
        <f>IF(U190="sníž. přenesená",N190,0)</f>
        <v>0</v>
      </c>
      <c r="BI190" s="150">
        <f>IF(U190="nulová",N190,0)</f>
        <v>0</v>
      </c>
      <c r="BJ190" s="21" t="s">
        <v>21</v>
      </c>
      <c r="BK190" s="150">
        <f>ROUND(L190*K190,2)</f>
        <v>0</v>
      </c>
      <c r="BL190" s="21" t="s">
        <v>172</v>
      </c>
      <c r="BM190" s="21" t="s">
        <v>1331</v>
      </c>
    </row>
    <row r="191" spans="2:51" s="10" customFormat="1" ht="22.5" customHeight="1">
      <c r="B191" s="151"/>
      <c r="C191" s="152"/>
      <c r="D191" s="152"/>
      <c r="E191" s="153" t="s">
        <v>5</v>
      </c>
      <c r="F191" s="300" t="s">
        <v>1929</v>
      </c>
      <c r="G191" s="301"/>
      <c r="H191" s="301"/>
      <c r="I191" s="301"/>
      <c r="J191" s="152"/>
      <c r="K191" s="154" t="s">
        <v>5</v>
      </c>
      <c r="L191" s="152"/>
      <c r="M191" s="152"/>
      <c r="N191" s="152"/>
      <c r="O191" s="152"/>
      <c r="P191" s="152"/>
      <c r="Q191" s="152"/>
      <c r="R191" s="155"/>
      <c r="T191" s="156"/>
      <c r="U191" s="152"/>
      <c r="V191" s="152"/>
      <c r="W191" s="152"/>
      <c r="X191" s="152"/>
      <c r="Y191" s="152"/>
      <c r="Z191" s="152"/>
      <c r="AA191" s="157"/>
      <c r="AT191" s="158" t="s">
        <v>179</v>
      </c>
      <c r="AU191" s="158" t="s">
        <v>135</v>
      </c>
      <c r="AV191" s="10" t="s">
        <v>21</v>
      </c>
      <c r="AW191" s="10" t="s">
        <v>35</v>
      </c>
      <c r="AX191" s="10" t="s">
        <v>78</v>
      </c>
      <c r="AY191" s="158" t="s">
        <v>167</v>
      </c>
    </row>
    <row r="192" spans="2:51" s="11" customFormat="1" ht="22.5" customHeight="1">
      <c r="B192" s="159"/>
      <c r="C192" s="160"/>
      <c r="D192" s="160"/>
      <c r="E192" s="161" t="s">
        <v>5</v>
      </c>
      <c r="F192" s="302" t="s">
        <v>1763</v>
      </c>
      <c r="G192" s="303"/>
      <c r="H192" s="303"/>
      <c r="I192" s="303"/>
      <c r="J192" s="160"/>
      <c r="K192" s="162">
        <v>3.456</v>
      </c>
      <c r="L192" s="160"/>
      <c r="M192" s="160"/>
      <c r="N192" s="160"/>
      <c r="O192" s="160"/>
      <c r="P192" s="160"/>
      <c r="Q192" s="160"/>
      <c r="R192" s="163"/>
      <c r="T192" s="164"/>
      <c r="U192" s="160"/>
      <c r="V192" s="160"/>
      <c r="W192" s="160"/>
      <c r="X192" s="160"/>
      <c r="Y192" s="160"/>
      <c r="Z192" s="160"/>
      <c r="AA192" s="165"/>
      <c r="AT192" s="166" t="s">
        <v>179</v>
      </c>
      <c r="AU192" s="166" t="s">
        <v>135</v>
      </c>
      <c r="AV192" s="11" t="s">
        <v>135</v>
      </c>
      <c r="AW192" s="11" t="s">
        <v>35</v>
      </c>
      <c r="AX192" s="11" t="s">
        <v>78</v>
      </c>
      <c r="AY192" s="166" t="s">
        <v>167</v>
      </c>
    </row>
    <row r="193" spans="2:51" s="11" customFormat="1" ht="22.5" customHeight="1">
      <c r="B193" s="159"/>
      <c r="C193" s="160"/>
      <c r="D193" s="160"/>
      <c r="E193" s="161" t="s">
        <v>5</v>
      </c>
      <c r="F193" s="302" t="s">
        <v>1964</v>
      </c>
      <c r="G193" s="303"/>
      <c r="H193" s="303"/>
      <c r="I193" s="303"/>
      <c r="J193" s="160"/>
      <c r="K193" s="162">
        <v>7.296</v>
      </c>
      <c r="L193" s="160"/>
      <c r="M193" s="160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179</v>
      </c>
      <c r="AU193" s="166" t="s">
        <v>135</v>
      </c>
      <c r="AV193" s="11" t="s">
        <v>135</v>
      </c>
      <c r="AW193" s="11" t="s">
        <v>35</v>
      </c>
      <c r="AX193" s="11" t="s">
        <v>78</v>
      </c>
      <c r="AY193" s="166" t="s">
        <v>167</v>
      </c>
    </row>
    <row r="194" spans="2:51" s="11" customFormat="1" ht="22.5" customHeight="1">
      <c r="B194" s="159"/>
      <c r="C194" s="160"/>
      <c r="D194" s="160"/>
      <c r="E194" s="161" t="s">
        <v>5</v>
      </c>
      <c r="F194" s="302" t="s">
        <v>1965</v>
      </c>
      <c r="G194" s="303"/>
      <c r="H194" s="303"/>
      <c r="I194" s="303"/>
      <c r="J194" s="160"/>
      <c r="K194" s="162">
        <v>5.76</v>
      </c>
      <c r="L194" s="160"/>
      <c r="M194" s="160"/>
      <c r="N194" s="160"/>
      <c r="O194" s="160"/>
      <c r="P194" s="160"/>
      <c r="Q194" s="160"/>
      <c r="R194" s="163"/>
      <c r="T194" s="164"/>
      <c r="U194" s="160"/>
      <c r="V194" s="160"/>
      <c r="W194" s="160"/>
      <c r="X194" s="160"/>
      <c r="Y194" s="160"/>
      <c r="Z194" s="160"/>
      <c r="AA194" s="165"/>
      <c r="AT194" s="166" t="s">
        <v>179</v>
      </c>
      <c r="AU194" s="166" t="s">
        <v>135</v>
      </c>
      <c r="AV194" s="11" t="s">
        <v>135</v>
      </c>
      <c r="AW194" s="11" t="s">
        <v>35</v>
      </c>
      <c r="AX194" s="11" t="s">
        <v>78</v>
      </c>
      <c r="AY194" s="166" t="s">
        <v>167</v>
      </c>
    </row>
    <row r="195" spans="2:51" s="11" customFormat="1" ht="22.5" customHeight="1">
      <c r="B195" s="159"/>
      <c r="C195" s="160"/>
      <c r="D195" s="160"/>
      <c r="E195" s="161" t="s">
        <v>5</v>
      </c>
      <c r="F195" s="302" t="s">
        <v>1344</v>
      </c>
      <c r="G195" s="303"/>
      <c r="H195" s="303"/>
      <c r="I195" s="303"/>
      <c r="J195" s="160"/>
      <c r="K195" s="162">
        <v>1.92</v>
      </c>
      <c r="L195" s="160"/>
      <c r="M195" s="160"/>
      <c r="N195" s="160"/>
      <c r="O195" s="160"/>
      <c r="P195" s="160"/>
      <c r="Q195" s="160"/>
      <c r="R195" s="163"/>
      <c r="T195" s="164"/>
      <c r="U195" s="160"/>
      <c r="V195" s="160"/>
      <c r="W195" s="160"/>
      <c r="X195" s="160"/>
      <c r="Y195" s="160"/>
      <c r="Z195" s="160"/>
      <c r="AA195" s="165"/>
      <c r="AT195" s="166" t="s">
        <v>179</v>
      </c>
      <c r="AU195" s="166" t="s">
        <v>135</v>
      </c>
      <c r="AV195" s="11" t="s">
        <v>135</v>
      </c>
      <c r="AW195" s="11" t="s">
        <v>35</v>
      </c>
      <c r="AX195" s="11" t="s">
        <v>78</v>
      </c>
      <c r="AY195" s="166" t="s">
        <v>167</v>
      </c>
    </row>
    <row r="196" spans="2:51" s="11" customFormat="1" ht="22.5" customHeight="1">
      <c r="B196" s="159"/>
      <c r="C196" s="160"/>
      <c r="D196" s="160"/>
      <c r="E196" s="161" t="s">
        <v>5</v>
      </c>
      <c r="F196" s="302" t="s">
        <v>1966</v>
      </c>
      <c r="G196" s="303"/>
      <c r="H196" s="303"/>
      <c r="I196" s="303"/>
      <c r="J196" s="160"/>
      <c r="K196" s="162">
        <v>4.224</v>
      </c>
      <c r="L196" s="160"/>
      <c r="M196" s="160"/>
      <c r="N196" s="160"/>
      <c r="O196" s="160"/>
      <c r="P196" s="160"/>
      <c r="Q196" s="160"/>
      <c r="R196" s="163"/>
      <c r="T196" s="164"/>
      <c r="U196" s="160"/>
      <c r="V196" s="160"/>
      <c r="W196" s="160"/>
      <c r="X196" s="160"/>
      <c r="Y196" s="160"/>
      <c r="Z196" s="160"/>
      <c r="AA196" s="165"/>
      <c r="AT196" s="166" t="s">
        <v>179</v>
      </c>
      <c r="AU196" s="166" t="s">
        <v>135</v>
      </c>
      <c r="AV196" s="11" t="s">
        <v>135</v>
      </c>
      <c r="AW196" s="11" t="s">
        <v>35</v>
      </c>
      <c r="AX196" s="11" t="s">
        <v>78</v>
      </c>
      <c r="AY196" s="166" t="s">
        <v>167</v>
      </c>
    </row>
    <row r="197" spans="2:51" s="11" customFormat="1" ht="22.5" customHeight="1">
      <c r="B197" s="159"/>
      <c r="C197" s="160"/>
      <c r="D197" s="160"/>
      <c r="E197" s="161" t="s">
        <v>5</v>
      </c>
      <c r="F197" s="302" t="s">
        <v>1769</v>
      </c>
      <c r="G197" s="303"/>
      <c r="H197" s="303"/>
      <c r="I197" s="303"/>
      <c r="J197" s="160"/>
      <c r="K197" s="162">
        <v>2.592</v>
      </c>
      <c r="L197" s="160"/>
      <c r="M197" s="160"/>
      <c r="N197" s="160"/>
      <c r="O197" s="160"/>
      <c r="P197" s="160"/>
      <c r="Q197" s="160"/>
      <c r="R197" s="163"/>
      <c r="T197" s="164"/>
      <c r="U197" s="160"/>
      <c r="V197" s="160"/>
      <c r="W197" s="160"/>
      <c r="X197" s="160"/>
      <c r="Y197" s="160"/>
      <c r="Z197" s="160"/>
      <c r="AA197" s="165"/>
      <c r="AT197" s="166" t="s">
        <v>179</v>
      </c>
      <c r="AU197" s="166" t="s">
        <v>135</v>
      </c>
      <c r="AV197" s="11" t="s">
        <v>135</v>
      </c>
      <c r="AW197" s="11" t="s">
        <v>35</v>
      </c>
      <c r="AX197" s="11" t="s">
        <v>78</v>
      </c>
      <c r="AY197" s="166" t="s">
        <v>167</v>
      </c>
    </row>
    <row r="198" spans="2:51" s="11" customFormat="1" ht="22.5" customHeight="1">
      <c r="B198" s="159"/>
      <c r="C198" s="160"/>
      <c r="D198" s="160"/>
      <c r="E198" s="161" t="s">
        <v>5</v>
      </c>
      <c r="F198" s="302" t="s">
        <v>1967</v>
      </c>
      <c r="G198" s="303"/>
      <c r="H198" s="303"/>
      <c r="I198" s="303"/>
      <c r="J198" s="160"/>
      <c r="K198" s="162">
        <v>3.648</v>
      </c>
      <c r="L198" s="160"/>
      <c r="M198" s="160"/>
      <c r="N198" s="160"/>
      <c r="O198" s="160"/>
      <c r="P198" s="160"/>
      <c r="Q198" s="160"/>
      <c r="R198" s="163"/>
      <c r="T198" s="164"/>
      <c r="U198" s="160"/>
      <c r="V198" s="160"/>
      <c r="W198" s="160"/>
      <c r="X198" s="160"/>
      <c r="Y198" s="160"/>
      <c r="Z198" s="160"/>
      <c r="AA198" s="165"/>
      <c r="AT198" s="166" t="s">
        <v>179</v>
      </c>
      <c r="AU198" s="166" t="s">
        <v>135</v>
      </c>
      <c r="AV198" s="11" t="s">
        <v>135</v>
      </c>
      <c r="AW198" s="11" t="s">
        <v>35</v>
      </c>
      <c r="AX198" s="11" t="s">
        <v>78</v>
      </c>
      <c r="AY198" s="166" t="s">
        <v>167</v>
      </c>
    </row>
    <row r="199" spans="2:51" s="11" customFormat="1" ht="22.5" customHeight="1">
      <c r="B199" s="159"/>
      <c r="C199" s="160"/>
      <c r="D199" s="160"/>
      <c r="E199" s="161" t="s">
        <v>5</v>
      </c>
      <c r="F199" s="302" t="s">
        <v>1769</v>
      </c>
      <c r="G199" s="303"/>
      <c r="H199" s="303"/>
      <c r="I199" s="303"/>
      <c r="J199" s="160"/>
      <c r="K199" s="162">
        <v>2.592</v>
      </c>
      <c r="L199" s="160"/>
      <c r="M199" s="160"/>
      <c r="N199" s="160"/>
      <c r="O199" s="160"/>
      <c r="P199" s="160"/>
      <c r="Q199" s="160"/>
      <c r="R199" s="163"/>
      <c r="T199" s="164"/>
      <c r="U199" s="160"/>
      <c r="V199" s="160"/>
      <c r="W199" s="160"/>
      <c r="X199" s="160"/>
      <c r="Y199" s="160"/>
      <c r="Z199" s="160"/>
      <c r="AA199" s="165"/>
      <c r="AT199" s="166" t="s">
        <v>179</v>
      </c>
      <c r="AU199" s="166" t="s">
        <v>135</v>
      </c>
      <c r="AV199" s="11" t="s">
        <v>135</v>
      </c>
      <c r="AW199" s="11" t="s">
        <v>35</v>
      </c>
      <c r="AX199" s="11" t="s">
        <v>78</v>
      </c>
      <c r="AY199" s="166" t="s">
        <v>167</v>
      </c>
    </row>
    <row r="200" spans="2:51" s="11" customFormat="1" ht="22.5" customHeight="1">
      <c r="B200" s="159"/>
      <c r="C200" s="160"/>
      <c r="D200" s="160"/>
      <c r="E200" s="161" t="s">
        <v>5</v>
      </c>
      <c r="F200" s="302" t="s">
        <v>1765</v>
      </c>
      <c r="G200" s="303"/>
      <c r="H200" s="303"/>
      <c r="I200" s="303"/>
      <c r="J200" s="160"/>
      <c r="K200" s="162">
        <v>2.4</v>
      </c>
      <c r="L200" s="160"/>
      <c r="M200" s="160"/>
      <c r="N200" s="160"/>
      <c r="O200" s="160"/>
      <c r="P200" s="160"/>
      <c r="Q200" s="160"/>
      <c r="R200" s="163"/>
      <c r="T200" s="164"/>
      <c r="U200" s="160"/>
      <c r="V200" s="160"/>
      <c r="W200" s="160"/>
      <c r="X200" s="160"/>
      <c r="Y200" s="160"/>
      <c r="Z200" s="160"/>
      <c r="AA200" s="165"/>
      <c r="AT200" s="166" t="s">
        <v>179</v>
      </c>
      <c r="AU200" s="166" t="s">
        <v>135</v>
      </c>
      <c r="AV200" s="11" t="s">
        <v>135</v>
      </c>
      <c r="AW200" s="11" t="s">
        <v>35</v>
      </c>
      <c r="AX200" s="11" t="s">
        <v>78</v>
      </c>
      <c r="AY200" s="166" t="s">
        <v>167</v>
      </c>
    </row>
    <row r="201" spans="2:51" s="11" customFormat="1" ht="22.5" customHeight="1">
      <c r="B201" s="159"/>
      <c r="C201" s="160"/>
      <c r="D201" s="160"/>
      <c r="E201" s="161" t="s">
        <v>5</v>
      </c>
      <c r="F201" s="302" t="s">
        <v>1968</v>
      </c>
      <c r="G201" s="303"/>
      <c r="H201" s="303"/>
      <c r="I201" s="303"/>
      <c r="J201" s="160"/>
      <c r="K201" s="162">
        <v>3.84</v>
      </c>
      <c r="L201" s="160"/>
      <c r="M201" s="160"/>
      <c r="N201" s="160"/>
      <c r="O201" s="160"/>
      <c r="P201" s="160"/>
      <c r="Q201" s="160"/>
      <c r="R201" s="163"/>
      <c r="T201" s="164"/>
      <c r="U201" s="160"/>
      <c r="V201" s="160"/>
      <c r="W201" s="160"/>
      <c r="X201" s="160"/>
      <c r="Y201" s="160"/>
      <c r="Z201" s="160"/>
      <c r="AA201" s="165"/>
      <c r="AT201" s="166" t="s">
        <v>179</v>
      </c>
      <c r="AU201" s="166" t="s">
        <v>135</v>
      </c>
      <c r="AV201" s="11" t="s">
        <v>135</v>
      </c>
      <c r="AW201" s="11" t="s">
        <v>35</v>
      </c>
      <c r="AX201" s="11" t="s">
        <v>78</v>
      </c>
      <c r="AY201" s="166" t="s">
        <v>167</v>
      </c>
    </row>
    <row r="202" spans="2:51" s="11" customFormat="1" ht="22.5" customHeight="1">
      <c r="B202" s="159"/>
      <c r="C202" s="160"/>
      <c r="D202" s="160"/>
      <c r="E202" s="161" t="s">
        <v>5</v>
      </c>
      <c r="F202" s="302" t="s">
        <v>1346</v>
      </c>
      <c r="G202" s="303"/>
      <c r="H202" s="303"/>
      <c r="I202" s="303"/>
      <c r="J202" s="160"/>
      <c r="K202" s="162">
        <v>2.208</v>
      </c>
      <c r="L202" s="160"/>
      <c r="M202" s="160"/>
      <c r="N202" s="160"/>
      <c r="O202" s="160"/>
      <c r="P202" s="160"/>
      <c r="Q202" s="160"/>
      <c r="R202" s="163"/>
      <c r="T202" s="164"/>
      <c r="U202" s="160"/>
      <c r="V202" s="160"/>
      <c r="W202" s="160"/>
      <c r="X202" s="160"/>
      <c r="Y202" s="160"/>
      <c r="Z202" s="160"/>
      <c r="AA202" s="165"/>
      <c r="AT202" s="166" t="s">
        <v>179</v>
      </c>
      <c r="AU202" s="166" t="s">
        <v>135</v>
      </c>
      <c r="AV202" s="11" t="s">
        <v>135</v>
      </c>
      <c r="AW202" s="11" t="s">
        <v>35</v>
      </c>
      <c r="AX202" s="11" t="s">
        <v>78</v>
      </c>
      <c r="AY202" s="166" t="s">
        <v>167</v>
      </c>
    </row>
    <row r="203" spans="2:51" s="13" customFormat="1" ht="22.5" customHeight="1">
      <c r="B203" s="186"/>
      <c r="C203" s="187"/>
      <c r="D203" s="187"/>
      <c r="E203" s="188" t="s">
        <v>5</v>
      </c>
      <c r="F203" s="337" t="s">
        <v>1278</v>
      </c>
      <c r="G203" s="338"/>
      <c r="H203" s="338"/>
      <c r="I203" s="338"/>
      <c r="J203" s="187"/>
      <c r="K203" s="189">
        <v>39.936</v>
      </c>
      <c r="L203" s="187"/>
      <c r="M203" s="187"/>
      <c r="N203" s="187"/>
      <c r="O203" s="187"/>
      <c r="P203" s="187"/>
      <c r="Q203" s="187"/>
      <c r="R203" s="190"/>
      <c r="T203" s="191"/>
      <c r="U203" s="187"/>
      <c r="V203" s="187"/>
      <c r="W203" s="187"/>
      <c r="X203" s="187"/>
      <c r="Y203" s="187"/>
      <c r="Z203" s="187"/>
      <c r="AA203" s="192"/>
      <c r="AT203" s="193" t="s">
        <v>179</v>
      </c>
      <c r="AU203" s="193" t="s">
        <v>135</v>
      </c>
      <c r="AV203" s="13" t="s">
        <v>184</v>
      </c>
      <c r="AW203" s="13" t="s">
        <v>35</v>
      </c>
      <c r="AX203" s="13" t="s">
        <v>78</v>
      </c>
      <c r="AY203" s="193" t="s">
        <v>167</v>
      </c>
    </row>
    <row r="204" spans="2:51" s="10" customFormat="1" ht="22.5" customHeight="1">
      <c r="B204" s="151"/>
      <c r="C204" s="152"/>
      <c r="D204" s="152"/>
      <c r="E204" s="153" t="s">
        <v>5</v>
      </c>
      <c r="F204" s="304" t="s">
        <v>1945</v>
      </c>
      <c r="G204" s="305"/>
      <c r="H204" s="305"/>
      <c r="I204" s="305"/>
      <c r="J204" s="152"/>
      <c r="K204" s="154" t="s">
        <v>5</v>
      </c>
      <c r="L204" s="152"/>
      <c r="M204" s="152"/>
      <c r="N204" s="152"/>
      <c r="O204" s="152"/>
      <c r="P204" s="152"/>
      <c r="Q204" s="152"/>
      <c r="R204" s="155"/>
      <c r="T204" s="156"/>
      <c r="U204" s="152"/>
      <c r="V204" s="152"/>
      <c r="W204" s="152"/>
      <c r="X204" s="152"/>
      <c r="Y204" s="152"/>
      <c r="Z204" s="152"/>
      <c r="AA204" s="157"/>
      <c r="AT204" s="158" t="s">
        <v>179</v>
      </c>
      <c r="AU204" s="158" t="s">
        <v>135</v>
      </c>
      <c r="AV204" s="10" t="s">
        <v>21</v>
      </c>
      <c r="AW204" s="10" t="s">
        <v>35</v>
      </c>
      <c r="AX204" s="10" t="s">
        <v>78</v>
      </c>
      <c r="AY204" s="158" t="s">
        <v>167</v>
      </c>
    </row>
    <row r="205" spans="2:51" s="11" customFormat="1" ht="22.5" customHeight="1">
      <c r="B205" s="159"/>
      <c r="C205" s="160"/>
      <c r="D205" s="160"/>
      <c r="E205" s="161" t="s">
        <v>5</v>
      </c>
      <c r="F205" s="302" t="s">
        <v>1351</v>
      </c>
      <c r="G205" s="303"/>
      <c r="H205" s="303"/>
      <c r="I205" s="303"/>
      <c r="J205" s="160"/>
      <c r="K205" s="162">
        <v>2.688</v>
      </c>
      <c r="L205" s="160"/>
      <c r="M205" s="160"/>
      <c r="N205" s="160"/>
      <c r="O205" s="160"/>
      <c r="P205" s="160"/>
      <c r="Q205" s="160"/>
      <c r="R205" s="163"/>
      <c r="T205" s="164"/>
      <c r="U205" s="160"/>
      <c r="V205" s="160"/>
      <c r="W205" s="160"/>
      <c r="X205" s="160"/>
      <c r="Y205" s="160"/>
      <c r="Z205" s="160"/>
      <c r="AA205" s="165"/>
      <c r="AT205" s="166" t="s">
        <v>179</v>
      </c>
      <c r="AU205" s="166" t="s">
        <v>135</v>
      </c>
      <c r="AV205" s="11" t="s">
        <v>135</v>
      </c>
      <c r="AW205" s="11" t="s">
        <v>35</v>
      </c>
      <c r="AX205" s="11" t="s">
        <v>78</v>
      </c>
      <c r="AY205" s="166" t="s">
        <v>167</v>
      </c>
    </row>
    <row r="206" spans="2:51" s="11" customFormat="1" ht="22.5" customHeight="1">
      <c r="B206" s="159"/>
      <c r="C206" s="160"/>
      <c r="D206" s="160"/>
      <c r="E206" s="161" t="s">
        <v>5</v>
      </c>
      <c r="F206" s="302" t="s">
        <v>1348</v>
      </c>
      <c r="G206" s="303"/>
      <c r="H206" s="303"/>
      <c r="I206" s="303"/>
      <c r="J206" s="160"/>
      <c r="K206" s="162">
        <v>2.304</v>
      </c>
      <c r="L206" s="160"/>
      <c r="M206" s="160"/>
      <c r="N206" s="160"/>
      <c r="O206" s="160"/>
      <c r="P206" s="160"/>
      <c r="Q206" s="160"/>
      <c r="R206" s="163"/>
      <c r="T206" s="164"/>
      <c r="U206" s="160"/>
      <c r="V206" s="160"/>
      <c r="W206" s="160"/>
      <c r="X206" s="160"/>
      <c r="Y206" s="160"/>
      <c r="Z206" s="160"/>
      <c r="AA206" s="165"/>
      <c r="AT206" s="166" t="s">
        <v>179</v>
      </c>
      <c r="AU206" s="166" t="s">
        <v>135</v>
      </c>
      <c r="AV206" s="11" t="s">
        <v>135</v>
      </c>
      <c r="AW206" s="11" t="s">
        <v>35</v>
      </c>
      <c r="AX206" s="11" t="s">
        <v>78</v>
      </c>
      <c r="AY206" s="166" t="s">
        <v>167</v>
      </c>
    </row>
    <row r="207" spans="2:51" s="11" customFormat="1" ht="22.5" customHeight="1">
      <c r="B207" s="159"/>
      <c r="C207" s="160"/>
      <c r="D207" s="160"/>
      <c r="E207" s="161" t="s">
        <v>5</v>
      </c>
      <c r="F207" s="302" t="s">
        <v>1969</v>
      </c>
      <c r="G207" s="303"/>
      <c r="H207" s="303"/>
      <c r="I207" s="303"/>
      <c r="J207" s="160"/>
      <c r="K207" s="162">
        <v>9.6</v>
      </c>
      <c r="L207" s="160"/>
      <c r="M207" s="160"/>
      <c r="N207" s="160"/>
      <c r="O207" s="160"/>
      <c r="P207" s="160"/>
      <c r="Q207" s="160"/>
      <c r="R207" s="163"/>
      <c r="T207" s="164"/>
      <c r="U207" s="160"/>
      <c r="V207" s="160"/>
      <c r="W207" s="160"/>
      <c r="X207" s="160"/>
      <c r="Y207" s="160"/>
      <c r="Z207" s="160"/>
      <c r="AA207" s="165"/>
      <c r="AT207" s="166" t="s">
        <v>179</v>
      </c>
      <c r="AU207" s="166" t="s">
        <v>135</v>
      </c>
      <c r="AV207" s="11" t="s">
        <v>135</v>
      </c>
      <c r="AW207" s="11" t="s">
        <v>35</v>
      </c>
      <c r="AX207" s="11" t="s">
        <v>78</v>
      </c>
      <c r="AY207" s="166" t="s">
        <v>167</v>
      </c>
    </row>
    <row r="208" spans="2:51" s="13" customFormat="1" ht="22.5" customHeight="1">
      <c r="B208" s="186"/>
      <c r="C208" s="187"/>
      <c r="D208" s="187"/>
      <c r="E208" s="188" t="s">
        <v>5</v>
      </c>
      <c r="F208" s="337" t="s">
        <v>1278</v>
      </c>
      <c r="G208" s="338"/>
      <c r="H208" s="338"/>
      <c r="I208" s="338"/>
      <c r="J208" s="187"/>
      <c r="K208" s="189">
        <v>14.592</v>
      </c>
      <c r="L208" s="187"/>
      <c r="M208" s="187"/>
      <c r="N208" s="187"/>
      <c r="O208" s="187"/>
      <c r="P208" s="187"/>
      <c r="Q208" s="187"/>
      <c r="R208" s="190"/>
      <c r="T208" s="191"/>
      <c r="U208" s="187"/>
      <c r="V208" s="187"/>
      <c r="W208" s="187"/>
      <c r="X208" s="187"/>
      <c r="Y208" s="187"/>
      <c r="Z208" s="187"/>
      <c r="AA208" s="192"/>
      <c r="AT208" s="193" t="s">
        <v>179</v>
      </c>
      <c r="AU208" s="193" t="s">
        <v>135</v>
      </c>
      <c r="AV208" s="13" t="s">
        <v>184</v>
      </c>
      <c r="AW208" s="13" t="s">
        <v>35</v>
      </c>
      <c r="AX208" s="13" t="s">
        <v>78</v>
      </c>
      <c r="AY208" s="193" t="s">
        <v>167</v>
      </c>
    </row>
    <row r="209" spans="2:51" s="10" customFormat="1" ht="22.5" customHeight="1">
      <c r="B209" s="151"/>
      <c r="C209" s="152"/>
      <c r="D209" s="152"/>
      <c r="E209" s="153" t="s">
        <v>5</v>
      </c>
      <c r="F209" s="304" t="s">
        <v>1953</v>
      </c>
      <c r="G209" s="305"/>
      <c r="H209" s="305"/>
      <c r="I209" s="305"/>
      <c r="J209" s="152"/>
      <c r="K209" s="154" t="s">
        <v>5</v>
      </c>
      <c r="L209" s="152"/>
      <c r="M209" s="152"/>
      <c r="N209" s="152"/>
      <c r="O209" s="152"/>
      <c r="P209" s="152"/>
      <c r="Q209" s="152"/>
      <c r="R209" s="155"/>
      <c r="T209" s="156"/>
      <c r="U209" s="152"/>
      <c r="V209" s="152"/>
      <c r="W209" s="152"/>
      <c r="X209" s="152"/>
      <c r="Y209" s="152"/>
      <c r="Z209" s="152"/>
      <c r="AA209" s="157"/>
      <c r="AT209" s="158" t="s">
        <v>179</v>
      </c>
      <c r="AU209" s="158" t="s">
        <v>135</v>
      </c>
      <c r="AV209" s="10" t="s">
        <v>21</v>
      </c>
      <c r="AW209" s="10" t="s">
        <v>35</v>
      </c>
      <c r="AX209" s="10" t="s">
        <v>78</v>
      </c>
      <c r="AY209" s="158" t="s">
        <v>167</v>
      </c>
    </row>
    <row r="210" spans="2:51" s="11" customFormat="1" ht="22.5" customHeight="1">
      <c r="B210" s="159"/>
      <c r="C210" s="160"/>
      <c r="D210" s="160"/>
      <c r="E210" s="161" t="s">
        <v>5</v>
      </c>
      <c r="F210" s="302" t="s">
        <v>1970</v>
      </c>
      <c r="G210" s="303"/>
      <c r="H210" s="303"/>
      <c r="I210" s="303"/>
      <c r="J210" s="160"/>
      <c r="K210" s="162">
        <v>19.2</v>
      </c>
      <c r="L210" s="160"/>
      <c r="M210" s="160"/>
      <c r="N210" s="160"/>
      <c r="O210" s="160"/>
      <c r="P210" s="160"/>
      <c r="Q210" s="160"/>
      <c r="R210" s="163"/>
      <c r="T210" s="164"/>
      <c r="U210" s="160"/>
      <c r="V210" s="160"/>
      <c r="W210" s="160"/>
      <c r="X210" s="160"/>
      <c r="Y210" s="160"/>
      <c r="Z210" s="160"/>
      <c r="AA210" s="165"/>
      <c r="AT210" s="166" t="s">
        <v>179</v>
      </c>
      <c r="AU210" s="166" t="s">
        <v>135</v>
      </c>
      <c r="AV210" s="11" t="s">
        <v>135</v>
      </c>
      <c r="AW210" s="11" t="s">
        <v>35</v>
      </c>
      <c r="AX210" s="11" t="s">
        <v>78</v>
      </c>
      <c r="AY210" s="166" t="s">
        <v>167</v>
      </c>
    </row>
    <row r="211" spans="2:51" s="13" customFormat="1" ht="22.5" customHeight="1">
      <c r="B211" s="186"/>
      <c r="C211" s="187"/>
      <c r="D211" s="187"/>
      <c r="E211" s="188" t="s">
        <v>5</v>
      </c>
      <c r="F211" s="337" t="s">
        <v>1278</v>
      </c>
      <c r="G211" s="338"/>
      <c r="H211" s="338"/>
      <c r="I211" s="338"/>
      <c r="J211" s="187"/>
      <c r="K211" s="189">
        <v>19.2</v>
      </c>
      <c r="L211" s="187"/>
      <c r="M211" s="187"/>
      <c r="N211" s="187"/>
      <c r="O211" s="187"/>
      <c r="P211" s="187"/>
      <c r="Q211" s="187"/>
      <c r="R211" s="190"/>
      <c r="T211" s="191"/>
      <c r="U211" s="187"/>
      <c r="V211" s="187"/>
      <c r="W211" s="187"/>
      <c r="X211" s="187"/>
      <c r="Y211" s="187"/>
      <c r="Z211" s="187"/>
      <c r="AA211" s="192"/>
      <c r="AT211" s="193" t="s">
        <v>179</v>
      </c>
      <c r="AU211" s="193" t="s">
        <v>135</v>
      </c>
      <c r="AV211" s="13" t="s">
        <v>184</v>
      </c>
      <c r="AW211" s="13" t="s">
        <v>35</v>
      </c>
      <c r="AX211" s="13" t="s">
        <v>78</v>
      </c>
      <c r="AY211" s="193" t="s">
        <v>167</v>
      </c>
    </row>
    <row r="212" spans="2:51" s="10" customFormat="1" ht="22.5" customHeight="1">
      <c r="B212" s="151"/>
      <c r="C212" s="152"/>
      <c r="D212" s="152"/>
      <c r="E212" s="153" t="s">
        <v>5</v>
      </c>
      <c r="F212" s="304" t="s">
        <v>1956</v>
      </c>
      <c r="G212" s="305"/>
      <c r="H212" s="305"/>
      <c r="I212" s="305"/>
      <c r="J212" s="152"/>
      <c r="K212" s="154" t="s">
        <v>5</v>
      </c>
      <c r="L212" s="152"/>
      <c r="M212" s="152"/>
      <c r="N212" s="152"/>
      <c r="O212" s="152"/>
      <c r="P212" s="152"/>
      <c r="Q212" s="152"/>
      <c r="R212" s="155"/>
      <c r="T212" s="156"/>
      <c r="U212" s="152"/>
      <c r="V212" s="152"/>
      <c r="W212" s="152"/>
      <c r="X212" s="152"/>
      <c r="Y212" s="152"/>
      <c r="Z212" s="152"/>
      <c r="AA212" s="157"/>
      <c r="AT212" s="158" t="s">
        <v>179</v>
      </c>
      <c r="AU212" s="158" t="s">
        <v>135</v>
      </c>
      <c r="AV212" s="10" t="s">
        <v>21</v>
      </c>
      <c r="AW212" s="10" t="s">
        <v>35</v>
      </c>
      <c r="AX212" s="10" t="s">
        <v>78</v>
      </c>
      <c r="AY212" s="158" t="s">
        <v>167</v>
      </c>
    </row>
    <row r="213" spans="2:51" s="11" customFormat="1" ht="22.5" customHeight="1">
      <c r="B213" s="159"/>
      <c r="C213" s="160"/>
      <c r="D213" s="160"/>
      <c r="E213" s="161" t="s">
        <v>5</v>
      </c>
      <c r="F213" s="302" t="s">
        <v>1968</v>
      </c>
      <c r="G213" s="303"/>
      <c r="H213" s="303"/>
      <c r="I213" s="303"/>
      <c r="J213" s="160"/>
      <c r="K213" s="162">
        <v>3.84</v>
      </c>
      <c r="L213" s="160"/>
      <c r="M213" s="160"/>
      <c r="N213" s="160"/>
      <c r="O213" s="160"/>
      <c r="P213" s="160"/>
      <c r="Q213" s="160"/>
      <c r="R213" s="163"/>
      <c r="T213" s="164"/>
      <c r="U213" s="160"/>
      <c r="V213" s="160"/>
      <c r="W213" s="160"/>
      <c r="X213" s="160"/>
      <c r="Y213" s="160"/>
      <c r="Z213" s="160"/>
      <c r="AA213" s="165"/>
      <c r="AT213" s="166" t="s">
        <v>179</v>
      </c>
      <c r="AU213" s="166" t="s">
        <v>135</v>
      </c>
      <c r="AV213" s="11" t="s">
        <v>135</v>
      </c>
      <c r="AW213" s="11" t="s">
        <v>35</v>
      </c>
      <c r="AX213" s="11" t="s">
        <v>78</v>
      </c>
      <c r="AY213" s="166" t="s">
        <v>167</v>
      </c>
    </row>
    <row r="214" spans="2:51" s="13" customFormat="1" ht="22.5" customHeight="1">
      <c r="B214" s="186"/>
      <c r="C214" s="187"/>
      <c r="D214" s="187"/>
      <c r="E214" s="188" t="s">
        <v>5</v>
      </c>
      <c r="F214" s="337" t="s">
        <v>1278</v>
      </c>
      <c r="G214" s="338"/>
      <c r="H214" s="338"/>
      <c r="I214" s="338"/>
      <c r="J214" s="187"/>
      <c r="K214" s="189">
        <v>3.84</v>
      </c>
      <c r="L214" s="187"/>
      <c r="M214" s="187"/>
      <c r="N214" s="187"/>
      <c r="O214" s="187"/>
      <c r="P214" s="187"/>
      <c r="Q214" s="187"/>
      <c r="R214" s="190"/>
      <c r="T214" s="191"/>
      <c r="U214" s="187"/>
      <c r="V214" s="187"/>
      <c r="W214" s="187"/>
      <c r="X214" s="187"/>
      <c r="Y214" s="187"/>
      <c r="Z214" s="187"/>
      <c r="AA214" s="192"/>
      <c r="AT214" s="193" t="s">
        <v>179</v>
      </c>
      <c r="AU214" s="193" t="s">
        <v>135</v>
      </c>
      <c r="AV214" s="13" t="s">
        <v>184</v>
      </c>
      <c r="AW214" s="13" t="s">
        <v>35</v>
      </c>
      <c r="AX214" s="13" t="s">
        <v>78</v>
      </c>
      <c r="AY214" s="193" t="s">
        <v>167</v>
      </c>
    </row>
    <row r="215" spans="2:51" s="10" customFormat="1" ht="22.5" customHeight="1">
      <c r="B215" s="151"/>
      <c r="C215" s="152"/>
      <c r="D215" s="152"/>
      <c r="E215" s="153" t="s">
        <v>5</v>
      </c>
      <c r="F215" s="304" t="s">
        <v>1958</v>
      </c>
      <c r="G215" s="305"/>
      <c r="H215" s="305"/>
      <c r="I215" s="305"/>
      <c r="J215" s="152"/>
      <c r="K215" s="154" t="s">
        <v>5</v>
      </c>
      <c r="L215" s="152"/>
      <c r="M215" s="152"/>
      <c r="N215" s="152"/>
      <c r="O215" s="152"/>
      <c r="P215" s="152"/>
      <c r="Q215" s="152"/>
      <c r="R215" s="155"/>
      <c r="T215" s="156"/>
      <c r="U215" s="152"/>
      <c r="V215" s="152"/>
      <c r="W215" s="152"/>
      <c r="X215" s="152"/>
      <c r="Y215" s="152"/>
      <c r="Z215" s="152"/>
      <c r="AA215" s="157"/>
      <c r="AT215" s="158" t="s">
        <v>179</v>
      </c>
      <c r="AU215" s="158" t="s">
        <v>135</v>
      </c>
      <c r="AV215" s="10" t="s">
        <v>21</v>
      </c>
      <c r="AW215" s="10" t="s">
        <v>35</v>
      </c>
      <c r="AX215" s="10" t="s">
        <v>78</v>
      </c>
      <c r="AY215" s="158" t="s">
        <v>167</v>
      </c>
    </row>
    <row r="216" spans="2:51" s="11" customFormat="1" ht="22.5" customHeight="1">
      <c r="B216" s="159"/>
      <c r="C216" s="160"/>
      <c r="D216" s="160"/>
      <c r="E216" s="161" t="s">
        <v>5</v>
      </c>
      <c r="F216" s="302" t="s">
        <v>1971</v>
      </c>
      <c r="G216" s="303"/>
      <c r="H216" s="303"/>
      <c r="I216" s="303"/>
      <c r="J216" s="160"/>
      <c r="K216" s="162">
        <v>1.632</v>
      </c>
      <c r="L216" s="160"/>
      <c r="M216" s="160"/>
      <c r="N216" s="160"/>
      <c r="O216" s="160"/>
      <c r="P216" s="160"/>
      <c r="Q216" s="160"/>
      <c r="R216" s="163"/>
      <c r="T216" s="164"/>
      <c r="U216" s="160"/>
      <c r="V216" s="160"/>
      <c r="W216" s="160"/>
      <c r="X216" s="160"/>
      <c r="Y216" s="160"/>
      <c r="Z216" s="160"/>
      <c r="AA216" s="165"/>
      <c r="AT216" s="166" t="s">
        <v>179</v>
      </c>
      <c r="AU216" s="166" t="s">
        <v>135</v>
      </c>
      <c r="AV216" s="11" t="s">
        <v>135</v>
      </c>
      <c r="AW216" s="11" t="s">
        <v>35</v>
      </c>
      <c r="AX216" s="11" t="s">
        <v>78</v>
      </c>
      <c r="AY216" s="166" t="s">
        <v>167</v>
      </c>
    </row>
    <row r="217" spans="2:51" s="11" customFormat="1" ht="22.5" customHeight="1">
      <c r="B217" s="159"/>
      <c r="C217" s="160"/>
      <c r="D217" s="160"/>
      <c r="E217" s="161" t="s">
        <v>5</v>
      </c>
      <c r="F217" s="302" t="s">
        <v>1333</v>
      </c>
      <c r="G217" s="303"/>
      <c r="H217" s="303"/>
      <c r="I217" s="303"/>
      <c r="J217" s="160"/>
      <c r="K217" s="162">
        <v>2.112</v>
      </c>
      <c r="L217" s="160"/>
      <c r="M217" s="160"/>
      <c r="N217" s="160"/>
      <c r="O217" s="160"/>
      <c r="P217" s="160"/>
      <c r="Q217" s="160"/>
      <c r="R217" s="163"/>
      <c r="T217" s="164"/>
      <c r="U217" s="160"/>
      <c r="V217" s="160"/>
      <c r="W217" s="160"/>
      <c r="X217" s="160"/>
      <c r="Y217" s="160"/>
      <c r="Z217" s="160"/>
      <c r="AA217" s="165"/>
      <c r="AT217" s="166" t="s">
        <v>179</v>
      </c>
      <c r="AU217" s="166" t="s">
        <v>135</v>
      </c>
      <c r="AV217" s="11" t="s">
        <v>135</v>
      </c>
      <c r="AW217" s="11" t="s">
        <v>35</v>
      </c>
      <c r="AX217" s="11" t="s">
        <v>78</v>
      </c>
      <c r="AY217" s="166" t="s">
        <v>167</v>
      </c>
    </row>
    <row r="218" spans="2:51" s="11" customFormat="1" ht="22.5" customHeight="1">
      <c r="B218" s="159"/>
      <c r="C218" s="160"/>
      <c r="D218" s="160"/>
      <c r="E218" s="161" t="s">
        <v>5</v>
      </c>
      <c r="F218" s="302" t="s">
        <v>1348</v>
      </c>
      <c r="G218" s="303"/>
      <c r="H218" s="303"/>
      <c r="I218" s="303"/>
      <c r="J218" s="160"/>
      <c r="K218" s="162">
        <v>2.304</v>
      </c>
      <c r="L218" s="160"/>
      <c r="M218" s="160"/>
      <c r="N218" s="160"/>
      <c r="O218" s="160"/>
      <c r="P218" s="160"/>
      <c r="Q218" s="160"/>
      <c r="R218" s="163"/>
      <c r="T218" s="164"/>
      <c r="U218" s="160"/>
      <c r="V218" s="160"/>
      <c r="W218" s="160"/>
      <c r="X218" s="160"/>
      <c r="Y218" s="160"/>
      <c r="Z218" s="160"/>
      <c r="AA218" s="165"/>
      <c r="AT218" s="166" t="s">
        <v>179</v>
      </c>
      <c r="AU218" s="166" t="s">
        <v>135</v>
      </c>
      <c r="AV218" s="11" t="s">
        <v>135</v>
      </c>
      <c r="AW218" s="11" t="s">
        <v>35</v>
      </c>
      <c r="AX218" s="11" t="s">
        <v>78</v>
      </c>
      <c r="AY218" s="166" t="s">
        <v>167</v>
      </c>
    </row>
    <row r="219" spans="2:51" s="13" customFormat="1" ht="22.5" customHeight="1">
      <c r="B219" s="186"/>
      <c r="C219" s="187"/>
      <c r="D219" s="187"/>
      <c r="E219" s="188" t="s">
        <v>5</v>
      </c>
      <c r="F219" s="337" t="s">
        <v>1278</v>
      </c>
      <c r="G219" s="338"/>
      <c r="H219" s="338"/>
      <c r="I219" s="338"/>
      <c r="J219" s="187"/>
      <c r="K219" s="189">
        <v>6.048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179</v>
      </c>
      <c r="AU219" s="193" t="s">
        <v>135</v>
      </c>
      <c r="AV219" s="13" t="s">
        <v>184</v>
      </c>
      <c r="AW219" s="13" t="s">
        <v>35</v>
      </c>
      <c r="AX219" s="13" t="s">
        <v>78</v>
      </c>
      <c r="AY219" s="193" t="s">
        <v>167</v>
      </c>
    </row>
    <row r="220" spans="2:51" s="12" customFormat="1" ht="22.5" customHeight="1">
      <c r="B220" s="167"/>
      <c r="C220" s="168"/>
      <c r="D220" s="168"/>
      <c r="E220" s="169" t="s">
        <v>5</v>
      </c>
      <c r="F220" s="306" t="s">
        <v>183</v>
      </c>
      <c r="G220" s="307"/>
      <c r="H220" s="307"/>
      <c r="I220" s="307"/>
      <c r="J220" s="168"/>
      <c r="K220" s="170">
        <v>83.616</v>
      </c>
      <c r="L220" s="168"/>
      <c r="M220" s="168"/>
      <c r="N220" s="168"/>
      <c r="O220" s="168"/>
      <c r="P220" s="168"/>
      <c r="Q220" s="168"/>
      <c r="R220" s="171"/>
      <c r="T220" s="172"/>
      <c r="U220" s="168"/>
      <c r="V220" s="168"/>
      <c r="W220" s="168"/>
      <c r="X220" s="168"/>
      <c r="Y220" s="168"/>
      <c r="Z220" s="168"/>
      <c r="AA220" s="173"/>
      <c r="AT220" s="174" t="s">
        <v>179</v>
      </c>
      <c r="AU220" s="174" t="s">
        <v>135</v>
      </c>
      <c r="AV220" s="12" t="s">
        <v>172</v>
      </c>
      <c r="AW220" s="12" t="s">
        <v>35</v>
      </c>
      <c r="AX220" s="12" t="s">
        <v>21</v>
      </c>
      <c r="AY220" s="174" t="s">
        <v>167</v>
      </c>
    </row>
    <row r="221" spans="2:65" s="1" customFormat="1" ht="22.5" customHeight="1">
      <c r="B221" s="141"/>
      <c r="C221" s="142" t="s">
        <v>172</v>
      </c>
      <c r="D221" s="142" t="s">
        <v>168</v>
      </c>
      <c r="E221" s="143" t="s">
        <v>1354</v>
      </c>
      <c r="F221" s="293" t="s">
        <v>1355</v>
      </c>
      <c r="G221" s="293"/>
      <c r="H221" s="293"/>
      <c r="I221" s="293"/>
      <c r="J221" s="144" t="s">
        <v>259</v>
      </c>
      <c r="K221" s="145">
        <v>2047.5</v>
      </c>
      <c r="L221" s="294">
        <v>0</v>
      </c>
      <c r="M221" s="294"/>
      <c r="N221" s="294">
        <f>ROUND(L221*K221,2)</f>
        <v>0</v>
      </c>
      <c r="O221" s="294"/>
      <c r="P221" s="294"/>
      <c r="Q221" s="294"/>
      <c r="R221" s="146"/>
      <c r="T221" s="147" t="s">
        <v>5</v>
      </c>
      <c r="U221" s="44" t="s">
        <v>43</v>
      </c>
      <c r="V221" s="148">
        <v>0.44</v>
      </c>
      <c r="W221" s="148">
        <f>V221*K221</f>
        <v>900.9</v>
      </c>
      <c r="X221" s="148">
        <v>0</v>
      </c>
      <c r="Y221" s="148">
        <f>X221*K221</f>
        <v>0</v>
      </c>
      <c r="Z221" s="148">
        <v>0</v>
      </c>
      <c r="AA221" s="149">
        <f>Z221*K221</f>
        <v>0</v>
      </c>
      <c r="AR221" s="21" t="s">
        <v>172</v>
      </c>
      <c r="AT221" s="21" t="s">
        <v>168</v>
      </c>
      <c r="AU221" s="21" t="s">
        <v>135</v>
      </c>
      <c r="AY221" s="21" t="s">
        <v>167</v>
      </c>
      <c r="BE221" s="150">
        <f>IF(U221="základní",N221,0)</f>
        <v>0</v>
      </c>
      <c r="BF221" s="150">
        <f>IF(U221="snížená",N221,0)</f>
        <v>0</v>
      </c>
      <c r="BG221" s="150">
        <f>IF(U221="zákl. přenesená",N221,0)</f>
        <v>0</v>
      </c>
      <c r="BH221" s="150">
        <f>IF(U221="sníž. přenesená",N221,0)</f>
        <v>0</v>
      </c>
      <c r="BI221" s="150">
        <f>IF(U221="nulová",N221,0)</f>
        <v>0</v>
      </c>
      <c r="BJ221" s="21" t="s">
        <v>21</v>
      </c>
      <c r="BK221" s="150">
        <f>ROUND(L221*K221,2)</f>
        <v>0</v>
      </c>
      <c r="BL221" s="21" t="s">
        <v>172</v>
      </c>
      <c r="BM221" s="21" t="s">
        <v>1356</v>
      </c>
    </row>
    <row r="222" spans="2:51" s="10" customFormat="1" ht="22.5" customHeight="1">
      <c r="B222" s="151"/>
      <c r="C222" s="152"/>
      <c r="D222" s="152"/>
      <c r="E222" s="153" t="s">
        <v>5</v>
      </c>
      <c r="F222" s="300" t="s">
        <v>1357</v>
      </c>
      <c r="G222" s="301"/>
      <c r="H222" s="301"/>
      <c r="I222" s="301"/>
      <c r="J222" s="152"/>
      <c r="K222" s="154" t="s">
        <v>5</v>
      </c>
      <c r="L222" s="152"/>
      <c r="M222" s="152"/>
      <c r="N222" s="152"/>
      <c r="O222" s="152"/>
      <c r="P222" s="152"/>
      <c r="Q222" s="152"/>
      <c r="R222" s="155"/>
      <c r="T222" s="156"/>
      <c r="U222" s="152"/>
      <c r="V222" s="152"/>
      <c r="W222" s="152"/>
      <c r="X222" s="152"/>
      <c r="Y222" s="152"/>
      <c r="Z222" s="152"/>
      <c r="AA222" s="157"/>
      <c r="AT222" s="158" t="s">
        <v>179</v>
      </c>
      <c r="AU222" s="158" t="s">
        <v>135</v>
      </c>
      <c r="AV222" s="10" t="s">
        <v>21</v>
      </c>
      <c r="AW222" s="10" t="s">
        <v>35</v>
      </c>
      <c r="AX222" s="10" t="s">
        <v>78</v>
      </c>
      <c r="AY222" s="158" t="s">
        <v>167</v>
      </c>
    </row>
    <row r="223" spans="2:51" s="11" customFormat="1" ht="22.5" customHeight="1">
      <c r="B223" s="159"/>
      <c r="C223" s="160"/>
      <c r="D223" s="160"/>
      <c r="E223" s="161" t="s">
        <v>5</v>
      </c>
      <c r="F223" s="302" t="s">
        <v>1972</v>
      </c>
      <c r="G223" s="303"/>
      <c r="H223" s="303"/>
      <c r="I223" s="303"/>
      <c r="J223" s="160"/>
      <c r="K223" s="162">
        <v>509.5</v>
      </c>
      <c r="L223" s="160"/>
      <c r="M223" s="160"/>
      <c r="N223" s="160"/>
      <c r="O223" s="160"/>
      <c r="P223" s="160"/>
      <c r="Q223" s="160"/>
      <c r="R223" s="163"/>
      <c r="T223" s="164"/>
      <c r="U223" s="160"/>
      <c r="V223" s="160"/>
      <c r="W223" s="160"/>
      <c r="X223" s="160"/>
      <c r="Y223" s="160"/>
      <c r="Z223" s="160"/>
      <c r="AA223" s="165"/>
      <c r="AT223" s="166" t="s">
        <v>179</v>
      </c>
      <c r="AU223" s="166" t="s">
        <v>135</v>
      </c>
      <c r="AV223" s="11" t="s">
        <v>135</v>
      </c>
      <c r="AW223" s="11" t="s">
        <v>35</v>
      </c>
      <c r="AX223" s="11" t="s">
        <v>78</v>
      </c>
      <c r="AY223" s="166" t="s">
        <v>167</v>
      </c>
    </row>
    <row r="224" spans="2:51" s="11" customFormat="1" ht="22.5" customHeight="1">
      <c r="B224" s="159"/>
      <c r="C224" s="160"/>
      <c r="D224" s="160"/>
      <c r="E224" s="161" t="s">
        <v>5</v>
      </c>
      <c r="F224" s="302" t="s">
        <v>1973</v>
      </c>
      <c r="G224" s="303"/>
      <c r="H224" s="303"/>
      <c r="I224" s="303"/>
      <c r="J224" s="160"/>
      <c r="K224" s="162">
        <v>182</v>
      </c>
      <c r="L224" s="160"/>
      <c r="M224" s="160"/>
      <c r="N224" s="160"/>
      <c r="O224" s="160"/>
      <c r="P224" s="160"/>
      <c r="Q224" s="160"/>
      <c r="R224" s="163"/>
      <c r="T224" s="164"/>
      <c r="U224" s="160"/>
      <c r="V224" s="160"/>
      <c r="W224" s="160"/>
      <c r="X224" s="160"/>
      <c r="Y224" s="160"/>
      <c r="Z224" s="160"/>
      <c r="AA224" s="165"/>
      <c r="AT224" s="166" t="s">
        <v>179</v>
      </c>
      <c r="AU224" s="166" t="s">
        <v>135</v>
      </c>
      <c r="AV224" s="11" t="s">
        <v>135</v>
      </c>
      <c r="AW224" s="11" t="s">
        <v>35</v>
      </c>
      <c r="AX224" s="11" t="s">
        <v>78</v>
      </c>
      <c r="AY224" s="166" t="s">
        <v>167</v>
      </c>
    </row>
    <row r="225" spans="2:51" s="11" customFormat="1" ht="22.5" customHeight="1">
      <c r="B225" s="159"/>
      <c r="C225" s="160"/>
      <c r="D225" s="160"/>
      <c r="E225" s="161" t="s">
        <v>5</v>
      </c>
      <c r="F225" s="302" t="s">
        <v>1974</v>
      </c>
      <c r="G225" s="303"/>
      <c r="H225" s="303"/>
      <c r="I225" s="303"/>
      <c r="J225" s="160"/>
      <c r="K225" s="162">
        <v>404</v>
      </c>
      <c r="L225" s="160"/>
      <c r="M225" s="160"/>
      <c r="N225" s="160"/>
      <c r="O225" s="160"/>
      <c r="P225" s="160"/>
      <c r="Q225" s="160"/>
      <c r="R225" s="163"/>
      <c r="T225" s="164"/>
      <c r="U225" s="160"/>
      <c r="V225" s="160"/>
      <c r="W225" s="160"/>
      <c r="X225" s="160"/>
      <c r="Y225" s="160"/>
      <c r="Z225" s="160"/>
      <c r="AA225" s="165"/>
      <c r="AT225" s="166" t="s">
        <v>179</v>
      </c>
      <c r="AU225" s="166" t="s">
        <v>135</v>
      </c>
      <c r="AV225" s="11" t="s">
        <v>135</v>
      </c>
      <c r="AW225" s="11" t="s">
        <v>35</v>
      </c>
      <c r="AX225" s="11" t="s">
        <v>78</v>
      </c>
      <c r="AY225" s="166" t="s">
        <v>167</v>
      </c>
    </row>
    <row r="226" spans="2:51" s="11" customFormat="1" ht="22.5" customHeight="1">
      <c r="B226" s="159"/>
      <c r="C226" s="160"/>
      <c r="D226" s="160"/>
      <c r="E226" s="161" t="s">
        <v>5</v>
      </c>
      <c r="F226" s="302" t="s">
        <v>1926</v>
      </c>
      <c r="G226" s="303"/>
      <c r="H226" s="303"/>
      <c r="I226" s="303"/>
      <c r="J226" s="160"/>
      <c r="K226" s="162">
        <v>63.5</v>
      </c>
      <c r="L226" s="160"/>
      <c r="M226" s="160"/>
      <c r="N226" s="160"/>
      <c r="O226" s="160"/>
      <c r="P226" s="160"/>
      <c r="Q226" s="160"/>
      <c r="R226" s="163"/>
      <c r="T226" s="164"/>
      <c r="U226" s="160"/>
      <c r="V226" s="160"/>
      <c r="W226" s="160"/>
      <c r="X226" s="160"/>
      <c r="Y226" s="160"/>
      <c r="Z226" s="160"/>
      <c r="AA226" s="165"/>
      <c r="AT226" s="166" t="s">
        <v>179</v>
      </c>
      <c r="AU226" s="166" t="s">
        <v>135</v>
      </c>
      <c r="AV226" s="11" t="s">
        <v>135</v>
      </c>
      <c r="AW226" s="11" t="s">
        <v>35</v>
      </c>
      <c r="AX226" s="11" t="s">
        <v>78</v>
      </c>
      <c r="AY226" s="166" t="s">
        <v>167</v>
      </c>
    </row>
    <row r="227" spans="2:51" s="13" customFormat="1" ht="22.5" customHeight="1">
      <c r="B227" s="186"/>
      <c r="C227" s="187"/>
      <c r="D227" s="187"/>
      <c r="E227" s="188" t="s">
        <v>5</v>
      </c>
      <c r="F227" s="337" t="s">
        <v>1278</v>
      </c>
      <c r="G227" s="338"/>
      <c r="H227" s="338"/>
      <c r="I227" s="338"/>
      <c r="J227" s="187"/>
      <c r="K227" s="189">
        <v>1159</v>
      </c>
      <c r="L227" s="187"/>
      <c r="M227" s="187"/>
      <c r="N227" s="187"/>
      <c r="O227" s="187"/>
      <c r="P227" s="187"/>
      <c r="Q227" s="187"/>
      <c r="R227" s="190"/>
      <c r="T227" s="191"/>
      <c r="U227" s="187"/>
      <c r="V227" s="187"/>
      <c r="W227" s="187"/>
      <c r="X227" s="187"/>
      <c r="Y227" s="187"/>
      <c r="Z227" s="187"/>
      <c r="AA227" s="192"/>
      <c r="AT227" s="193" t="s">
        <v>179</v>
      </c>
      <c r="AU227" s="193" t="s">
        <v>135</v>
      </c>
      <c r="AV227" s="13" t="s">
        <v>184</v>
      </c>
      <c r="AW227" s="13" t="s">
        <v>35</v>
      </c>
      <c r="AX227" s="13" t="s">
        <v>78</v>
      </c>
      <c r="AY227" s="193" t="s">
        <v>167</v>
      </c>
    </row>
    <row r="228" spans="2:51" s="10" customFormat="1" ht="22.5" customHeight="1">
      <c r="B228" s="151"/>
      <c r="C228" s="152"/>
      <c r="D228" s="152"/>
      <c r="E228" s="153" t="s">
        <v>5</v>
      </c>
      <c r="F228" s="304" t="s">
        <v>1365</v>
      </c>
      <c r="G228" s="305"/>
      <c r="H228" s="305"/>
      <c r="I228" s="305"/>
      <c r="J228" s="152"/>
      <c r="K228" s="154" t="s">
        <v>5</v>
      </c>
      <c r="L228" s="152"/>
      <c r="M228" s="152"/>
      <c r="N228" s="152"/>
      <c r="O228" s="152"/>
      <c r="P228" s="152"/>
      <c r="Q228" s="152"/>
      <c r="R228" s="155"/>
      <c r="T228" s="156"/>
      <c r="U228" s="152"/>
      <c r="V228" s="152"/>
      <c r="W228" s="152"/>
      <c r="X228" s="152"/>
      <c r="Y228" s="152"/>
      <c r="Z228" s="152"/>
      <c r="AA228" s="157"/>
      <c r="AT228" s="158" t="s">
        <v>179</v>
      </c>
      <c r="AU228" s="158" t="s">
        <v>135</v>
      </c>
      <c r="AV228" s="10" t="s">
        <v>21</v>
      </c>
      <c r="AW228" s="10" t="s">
        <v>35</v>
      </c>
      <c r="AX228" s="10" t="s">
        <v>78</v>
      </c>
      <c r="AY228" s="158" t="s">
        <v>167</v>
      </c>
    </row>
    <row r="229" spans="2:51" s="11" customFormat="1" ht="22.5" customHeight="1">
      <c r="B229" s="159"/>
      <c r="C229" s="160"/>
      <c r="D229" s="160"/>
      <c r="E229" s="161" t="s">
        <v>5</v>
      </c>
      <c r="F229" s="302" t="s">
        <v>1975</v>
      </c>
      <c r="G229" s="303"/>
      <c r="H229" s="303"/>
      <c r="I229" s="303"/>
      <c r="J229" s="160"/>
      <c r="K229" s="162">
        <v>777</v>
      </c>
      <c r="L229" s="160"/>
      <c r="M229" s="160"/>
      <c r="N229" s="160"/>
      <c r="O229" s="160"/>
      <c r="P229" s="160"/>
      <c r="Q229" s="160"/>
      <c r="R229" s="163"/>
      <c r="T229" s="164"/>
      <c r="U229" s="160"/>
      <c r="V229" s="160"/>
      <c r="W229" s="160"/>
      <c r="X229" s="160"/>
      <c r="Y229" s="160"/>
      <c r="Z229" s="160"/>
      <c r="AA229" s="165"/>
      <c r="AT229" s="166" t="s">
        <v>179</v>
      </c>
      <c r="AU229" s="166" t="s">
        <v>135</v>
      </c>
      <c r="AV229" s="11" t="s">
        <v>135</v>
      </c>
      <c r="AW229" s="11" t="s">
        <v>35</v>
      </c>
      <c r="AX229" s="11" t="s">
        <v>78</v>
      </c>
      <c r="AY229" s="166" t="s">
        <v>167</v>
      </c>
    </row>
    <row r="230" spans="2:51" s="13" customFormat="1" ht="22.5" customHeight="1">
      <c r="B230" s="186"/>
      <c r="C230" s="187"/>
      <c r="D230" s="187"/>
      <c r="E230" s="188" t="s">
        <v>5</v>
      </c>
      <c r="F230" s="337" t="s">
        <v>1278</v>
      </c>
      <c r="G230" s="338"/>
      <c r="H230" s="338"/>
      <c r="I230" s="338"/>
      <c r="J230" s="187"/>
      <c r="K230" s="189">
        <v>777</v>
      </c>
      <c r="L230" s="187"/>
      <c r="M230" s="187"/>
      <c r="N230" s="187"/>
      <c r="O230" s="187"/>
      <c r="P230" s="187"/>
      <c r="Q230" s="187"/>
      <c r="R230" s="190"/>
      <c r="T230" s="191"/>
      <c r="U230" s="187"/>
      <c r="V230" s="187"/>
      <c r="W230" s="187"/>
      <c r="X230" s="187"/>
      <c r="Y230" s="187"/>
      <c r="Z230" s="187"/>
      <c r="AA230" s="192"/>
      <c r="AT230" s="193" t="s">
        <v>179</v>
      </c>
      <c r="AU230" s="193" t="s">
        <v>135</v>
      </c>
      <c r="AV230" s="13" t="s">
        <v>184</v>
      </c>
      <c r="AW230" s="13" t="s">
        <v>35</v>
      </c>
      <c r="AX230" s="13" t="s">
        <v>78</v>
      </c>
      <c r="AY230" s="193" t="s">
        <v>167</v>
      </c>
    </row>
    <row r="231" spans="2:51" s="10" customFormat="1" ht="22.5" customHeight="1">
      <c r="B231" s="151"/>
      <c r="C231" s="152"/>
      <c r="D231" s="152"/>
      <c r="E231" s="153" t="s">
        <v>5</v>
      </c>
      <c r="F231" s="304" t="s">
        <v>1976</v>
      </c>
      <c r="G231" s="305"/>
      <c r="H231" s="305"/>
      <c r="I231" s="305"/>
      <c r="J231" s="152"/>
      <c r="K231" s="154" t="s">
        <v>5</v>
      </c>
      <c r="L231" s="152"/>
      <c r="M231" s="152"/>
      <c r="N231" s="152"/>
      <c r="O231" s="152"/>
      <c r="P231" s="152"/>
      <c r="Q231" s="152"/>
      <c r="R231" s="155"/>
      <c r="T231" s="156"/>
      <c r="U231" s="152"/>
      <c r="V231" s="152"/>
      <c r="W231" s="152"/>
      <c r="X231" s="152"/>
      <c r="Y231" s="152"/>
      <c r="Z231" s="152"/>
      <c r="AA231" s="157"/>
      <c r="AT231" s="158" t="s">
        <v>179</v>
      </c>
      <c r="AU231" s="158" t="s">
        <v>135</v>
      </c>
      <c r="AV231" s="10" t="s">
        <v>21</v>
      </c>
      <c r="AW231" s="10" t="s">
        <v>35</v>
      </c>
      <c r="AX231" s="10" t="s">
        <v>78</v>
      </c>
      <c r="AY231" s="158" t="s">
        <v>167</v>
      </c>
    </row>
    <row r="232" spans="2:51" s="11" customFormat="1" ht="22.5" customHeight="1">
      <c r="B232" s="159"/>
      <c r="C232" s="160"/>
      <c r="D232" s="160"/>
      <c r="E232" s="161" t="s">
        <v>5</v>
      </c>
      <c r="F232" s="302" t="s">
        <v>1977</v>
      </c>
      <c r="G232" s="303"/>
      <c r="H232" s="303"/>
      <c r="I232" s="303"/>
      <c r="J232" s="160"/>
      <c r="K232" s="162">
        <v>111.5</v>
      </c>
      <c r="L232" s="160"/>
      <c r="M232" s="160"/>
      <c r="N232" s="160"/>
      <c r="O232" s="160"/>
      <c r="P232" s="160"/>
      <c r="Q232" s="160"/>
      <c r="R232" s="163"/>
      <c r="T232" s="164"/>
      <c r="U232" s="160"/>
      <c r="V232" s="160"/>
      <c r="W232" s="160"/>
      <c r="X232" s="160"/>
      <c r="Y232" s="160"/>
      <c r="Z232" s="160"/>
      <c r="AA232" s="165"/>
      <c r="AT232" s="166" t="s">
        <v>179</v>
      </c>
      <c r="AU232" s="166" t="s">
        <v>135</v>
      </c>
      <c r="AV232" s="11" t="s">
        <v>135</v>
      </c>
      <c r="AW232" s="11" t="s">
        <v>35</v>
      </c>
      <c r="AX232" s="11" t="s">
        <v>78</v>
      </c>
      <c r="AY232" s="166" t="s">
        <v>167</v>
      </c>
    </row>
    <row r="233" spans="2:51" s="13" customFormat="1" ht="22.5" customHeight="1">
      <c r="B233" s="186"/>
      <c r="C233" s="187"/>
      <c r="D233" s="187"/>
      <c r="E233" s="188" t="s">
        <v>5</v>
      </c>
      <c r="F233" s="337" t="s">
        <v>1278</v>
      </c>
      <c r="G233" s="338"/>
      <c r="H233" s="338"/>
      <c r="I233" s="338"/>
      <c r="J233" s="187"/>
      <c r="K233" s="189">
        <v>111.5</v>
      </c>
      <c r="L233" s="187"/>
      <c r="M233" s="187"/>
      <c r="N233" s="187"/>
      <c r="O233" s="187"/>
      <c r="P233" s="187"/>
      <c r="Q233" s="187"/>
      <c r="R233" s="190"/>
      <c r="T233" s="191"/>
      <c r="U233" s="187"/>
      <c r="V233" s="187"/>
      <c r="W233" s="187"/>
      <c r="X233" s="187"/>
      <c r="Y233" s="187"/>
      <c r="Z233" s="187"/>
      <c r="AA233" s="192"/>
      <c r="AT233" s="193" t="s">
        <v>179</v>
      </c>
      <c r="AU233" s="193" t="s">
        <v>135</v>
      </c>
      <c r="AV233" s="13" t="s">
        <v>184</v>
      </c>
      <c r="AW233" s="13" t="s">
        <v>35</v>
      </c>
      <c r="AX233" s="13" t="s">
        <v>78</v>
      </c>
      <c r="AY233" s="193" t="s">
        <v>167</v>
      </c>
    </row>
    <row r="234" spans="2:51" s="12" customFormat="1" ht="22.5" customHeight="1">
      <c r="B234" s="167"/>
      <c r="C234" s="168"/>
      <c r="D234" s="168"/>
      <c r="E234" s="169" t="s">
        <v>5</v>
      </c>
      <c r="F234" s="306" t="s">
        <v>183</v>
      </c>
      <c r="G234" s="307"/>
      <c r="H234" s="307"/>
      <c r="I234" s="307"/>
      <c r="J234" s="168"/>
      <c r="K234" s="170">
        <v>2047.5</v>
      </c>
      <c r="L234" s="168"/>
      <c r="M234" s="168"/>
      <c r="N234" s="168"/>
      <c r="O234" s="168"/>
      <c r="P234" s="168"/>
      <c r="Q234" s="168"/>
      <c r="R234" s="171"/>
      <c r="T234" s="172"/>
      <c r="U234" s="168"/>
      <c r="V234" s="168"/>
      <c r="W234" s="168"/>
      <c r="X234" s="168"/>
      <c r="Y234" s="168"/>
      <c r="Z234" s="168"/>
      <c r="AA234" s="173"/>
      <c r="AT234" s="174" t="s">
        <v>179</v>
      </c>
      <c r="AU234" s="174" t="s">
        <v>135</v>
      </c>
      <c r="AV234" s="12" t="s">
        <v>172</v>
      </c>
      <c r="AW234" s="12" t="s">
        <v>35</v>
      </c>
      <c r="AX234" s="12" t="s">
        <v>21</v>
      </c>
      <c r="AY234" s="174" t="s">
        <v>167</v>
      </c>
    </row>
    <row r="235" spans="2:65" s="1" customFormat="1" ht="22.5" customHeight="1">
      <c r="B235" s="141"/>
      <c r="C235" s="142" t="s">
        <v>196</v>
      </c>
      <c r="D235" s="142" t="s">
        <v>168</v>
      </c>
      <c r="E235" s="143" t="s">
        <v>1367</v>
      </c>
      <c r="F235" s="293" t="s">
        <v>1368</v>
      </c>
      <c r="G235" s="293"/>
      <c r="H235" s="293"/>
      <c r="I235" s="293"/>
      <c r="J235" s="144" t="s">
        <v>595</v>
      </c>
      <c r="K235" s="145">
        <v>38</v>
      </c>
      <c r="L235" s="294">
        <v>0</v>
      </c>
      <c r="M235" s="294"/>
      <c r="N235" s="294">
        <f>ROUND(L235*K235,2)</f>
        <v>0</v>
      </c>
      <c r="O235" s="294"/>
      <c r="P235" s="294"/>
      <c r="Q235" s="294"/>
      <c r="R235" s="146"/>
      <c r="T235" s="147" t="s">
        <v>5</v>
      </c>
      <c r="U235" s="44" t="s">
        <v>43</v>
      </c>
      <c r="V235" s="148">
        <v>0.44</v>
      </c>
      <c r="W235" s="148">
        <f>V235*K235</f>
        <v>16.72</v>
      </c>
      <c r="X235" s="148">
        <v>0</v>
      </c>
      <c r="Y235" s="148">
        <f>X235*K235</f>
        <v>0</v>
      </c>
      <c r="Z235" s="148">
        <v>0</v>
      </c>
      <c r="AA235" s="149">
        <f>Z235*K235</f>
        <v>0</v>
      </c>
      <c r="AR235" s="21" t="s">
        <v>172</v>
      </c>
      <c r="AT235" s="21" t="s">
        <v>168</v>
      </c>
      <c r="AU235" s="21" t="s">
        <v>135</v>
      </c>
      <c r="AY235" s="21" t="s">
        <v>167</v>
      </c>
      <c r="BE235" s="150">
        <f>IF(U235="základní",N235,0)</f>
        <v>0</v>
      </c>
      <c r="BF235" s="150">
        <f>IF(U235="snížená",N235,0)</f>
        <v>0</v>
      </c>
      <c r="BG235" s="150">
        <f>IF(U235="zákl. přenesená",N235,0)</f>
        <v>0</v>
      </c>
      <c r="BH235" s="150">
        <f>IF(U235="sníž. přenesená",N235,0)</f>
        <v>0</v>
      </c>
      <c r="BI235" s="150">
        <f>IF(U235="nulová",N235,0)</f>
        <v>0</v>
      </c>
      <c r="BJ235" s="21" t="s">
        <v>21</v>
      </c>
      <c r="BK235" s="150">
        <f>ROUND(L235*K235,2)</f>
        <v>0</v>
      </c>
      <c r="BL235" s="21" t="s">
        <v>172</v>
      </c>
      <c r="BM235" s="21" t="s">
        <v>1369</v>
      </c>
    </row>
    <row r="236" spans="2:51" s="11" customFormat="1" ht="22.5" customHeight="1">
      <c r="B236" s="159"/>
      <c r="C236" s="160"/>
      <c r="D236" s="160"/>
      <c r="E236" s="161" t="s">
        <v>5</v>
      </c>
      <c r="F236" s="308" t="s">
        <v>1978</v>
      </c>
      <c r="G236" s="309"/>
      <c r="H236" s="309"/>
      <c r="I236" s="309"/>
      <c r="J236" s="160"/>
      <c r="K236" s="162">
        <v>16</v>
      </c>
      <c r="L236" s="160"/>
      <c r="M236" s="160"/>
      <c r="N236" s="160"/>
      <c r="O236" s="160"/>
      <c r="P236" s="160"/>
      <c r="Q236" s="160"/>
      <c r="R236" s="163"/>
      <c r="T236" s="164"/>
      <c r="U236" s="160"/>
      <c r="V236" s="160"/>
      <c r="W236" s="160"/>
      <c r="X236" s="160"/>
      <c r="Y236" s="160"/>
      <c r="Z236" s="160"/>
      <c r="AA236" s="165"/>
      <c r="AT236" s="166" t="s">
        <v>179</v>
      </c>
      <c r="AU236" s="166" t="s">
        <v>135</v>
      </c>
      <c r="AV236" s="11" t="s">
        <v>135</v>
      </c>
      <c r="AW236" s="11" t="s">
        <v>35</v>
      </c>
      <c r="AX236" s="11" t="s">
        <v>78</v>
      </c>
      <c r="AY236" s="166" t="s">
        <v>167</v>
      </c>
    </row>
    <row r="237" spans="2:51" s="11" customFormat="1" ht="22.5" customHeight="1">
      <c r="B237" s="159"/>
      <c r="C237" s="160"/>
      <c r="D237" s="160"/>
      <c r="E237" s="161" t="s">
        <v>5</v>
      </c>
      <c r="F237" s="302" t="s">
        <v>1979</v>
      </c>
      <c r="G237" s="303"/>
      <c r="H237" s="303"/>
      <c r="I237" s="303"/>
      <c r="J237" s="160"/>
      <c r="K237" s="162">
        <v>7</v>
      </c>
      <c r="L237" s="160"/>
      <c r="M237" s="160"/>
      <c r="N237" s="160"/>
      <c r="O237" s="160"/>
      <c r="P237" s="160"/>
      <c r="Q237" s="160"/>
      <c r="R237" s="163"/>
      <c r="T237" s="164"/>
      <c r="U237" s="160"/>
      <c r="V237" s="160"/>
      <c r="W237" s="160"/>
      <c r="X237" s="160"/>
      <c r="Y237" s="160"/>
      <c r="Z237" s="160"/>
      <c r="AA237" s="165"/>
      <c r="AT237" s="166" t="s">
        <v>179</v>
      </c>
      <c r="AU237" s="166" t="s">
        <v>135</v>
      </c>
      <c r="AV237" s="11" t="s">
        <v>135</v>
      </c>
      <c r="AW237" s="11" t="s">
        <v>35</v>
      </c>
      <c r="AX237" s="11" t="s">
        <v>78</v>
      </c>
      <c r="AY237" s="166" t="s">
        <v>167</v>
      </c>
    </row>
    <row r="238" spans="2:51" s="11" customFormat="1" ht="22.5" customHeight="1">
      <c r="B238" s="159"/>
      <c r="C238" s="160"/>
      <c r="D238" s="160"/>
      <c r="E238" s="161" t="s">
        <v>5</v>
      </c>
      <c r="F238" s="302" t="s">
        <v>1980</v>
      </c>
      <c r="G238" s="303"/>
      <c r="H238" s="303"/>
      <c r="I238" s="303"/>
      <c r="J238" s="160"/>
      <c r="K238" s="162">
        <v>10</v>
      </c>
      <c r="L238" s="160"/>
      <c r="M238" s="160"/>
      <c r="N238" s="160"/>
      <c r="O238" s="160"/>
      <c r="P238" s="160"/>
      <c r="Q238" s="160"/>
      <c r="R238" s="163"/>
      <c r="T238" s="164"/>
      <c r="U238" s="160"/>
      <c r="V238" s="160"/>
      <c r="W238" s="160"/>
      <c r="X238" s="160"/>
      <c r="Y238" s="160"/>
      <c r="Z238" s="160"/>
      <c r="AA238" s="165"/>
      <c r="AT238" s="166" t="s">
        <v>179</v>
      </c>
      <c r="AU238" s="166" t="s">
        <v>135</v>
      </c>
      <c r="AV238" s="11" t="s">
        <v>135</v>
      </c>
      <c r="AW238" s="11" t="s">
        <v>35</v>
      </c>
      <c r="AX238" s="11" t="s">
        <v>78</v>
      </c>
      <c r="AY238" s="166" t="s">
        <v>167</v>
      </c>
    </row>
    <row r="239" spans="2:51" s="11" customFormat="1" ht="22.5" customHeight="1">
      <c r="B239" s="159"/>
      <c r="C239" s="160"/>
      <c r="D239" s="160"/>
      <c r="E239" s="161" t="s">
        <v>5</v>
      </c>
      <c r="F239" s="302" t="s">
        <v>1981</v>
      </c>
      <c r="G239" s="303"/>
      <c r="H239" s="303"/>
      <c r="I239" s="303"/>
      <c r="J239" s="160"/>
      <c r="K239" s="162">
        <v>2</v>
      </c>
      <c r="L239" s="160"/>
      <c r="M239" s="160"/>
      <c r="N239" s="160"/>
      <c r="O239" s="160"/>
      <c r="P239" s="160"/>
      <c r="Q239" s="160"/>
      <c r="R239" s="163"/>
      <c r="T239" s="164"/>
      <c r="U239" s="160"/>
      <c r="V239" s="160"/>
      <c r="W239" s="160"/>
      <c r="X239" s="160"/>
      <c r="Y239" s="160"/>
      <c r="Z239" s="160"/>
      <c r="AA239" s="165"/>
      <c r="AT239" s="166" t="s">
        <v>179</v>
      </c>
      <c r="AU239" s="166" t="s">
        <v>135</v>
      </c>
      <c r="AV239" s="11" t="s">
        <v>135</v>
      </c>
      <c r="AW239" s="11" t="s">
        <v>35</v>
      </c>
      <c r="AX239" s="11" t="s">
        <v>78</v>
      </c>
      <c r="AY239" s="166" t="s">
        <v>167</v>
      </c>
    </row>
    <row r="240" spans="2:51" s="11" customFormat="1" ht="22.5" customHeight="1">
      <c r="B240" s="159"/>
      <c r="C240" s="160"/>
      <c r="D240" s="160"/>
      <c r="E240" s="161" t="s">
        <v>5</v>
      </c>
      <c r="F240" s="302" t="s">
        <v>1982</v>
      </c>
      <c r="G240" s="303"/>
      <c r="H240" s="303"/>
      <c r="I240" s="303"/>
      <c r="J240" s="160"/>
      <c r="K240" s="162">
        <v>3</v>
      </c>
      <c r="L240" s="160"/>
      <c r="M240" s="160"/>
      <c r="N240" s="160"/>
      <c r="O240" s="160"/>
      <c r="P240" s="160"/>
      <c r="Q240" s="160"/>
      <c r="R240" s="163"/>
      <c r="T240" s="164"/>
      <c r="U240" s="160"/>
      <c r="V240" s="160"/>
      <c r="W240" s="160"/>
      <c r="X240" s="160"/>
      <c r="Y240" s="160"/>
      <c r="Z240" s="160"/>
      <c r="AA240" s="165"/>
      <c r="AT240" s="166" t="s">
        <v>179</v>
      </c>
      <c r="AU240" s="166" t="s">
        <v>135</v>
      </c>
      <c r="AV240" s="11" t="s">
        <v>135</v>
      </c>
      <c r="AW240" s="11" t="s">
        <v>35</v>
      </c>
      <c r="AX240" s="11" t="s">
        <v>78</v>
      </c>
      <c r="AY240" s="166" t="s">
        <v>167</v>
      </c>
    </row>
    <row r="241" spans="2:51" s="12" customFormat="1" ht="22.5" customHeight="1">
      <c r="B241" s="167"/>
      <c r="C241" s="168"/>
      <c r="D241" s="168"/>
      <c r="E241" s="169" t="s">
        <v>5</v>
      </c>
      <c r="F241" s="306" t="s">
        <v>183</v>
      </c>
      <c r="G241" s="307"/>
      <c r="H241" s="307"/>
      <c r="I241" s="307"/>
      <c r="J241" s="168"/>
      <c r="K241" s="170">
        <v>38</v>
      </c>
      <c r="L241" s="168"/>
      <c r="M241" s="168"/>
      <c r="N241" s="168"/>
      <c r="O241" s="168"/>
      <c r="P241" s="168"/>
      <c r="Q241" s="168"/>
      <c r="R241" s="171"/>
      <c r="T241" s="172"/>
      <c r="U241" s="168"/>
      <c r="V241" s="168"/>
      <c r="W241" s="168"/>
      <c r="X241" s="168"/>
      <c r="Y241" s="168"/>
      <c r="Z241" s="168"/>
      <c r="AA241" s="173"/>
      <c r="AT241" s="174" t="s">
        <v>179</v>
      </c>
      <c r="AU241" s="174" t="s">
        <v>135</v>
      </c>
      <c r="AV241" s="12" t="s">
        <v>172</v>
      </c>
      <c r="AW241" s="12" t="s">
        <v>35</v>
      </c>
      <c r="AX241" s="12" t="s">
        <v>21</v>
      </c>
      <c r="AY241" s="174" t="s">
        <v>167</v>
      </c>
    </row>
    <row r="242" spans="2:63" s="9" customFormat="1" ht="29.85" customHeight="1">
      <c r="B242" s="130"/>
      <c r="C242" s="131"/>
      <c r="D242" s="140" t="s">
        <v>148</v>
      </c>
      <c r="E242" s="140"/>
      <c r="F242" s="140"/>
      <c r="G242" s="140"/>
      <c r="H242" s="140"/>
      <c r="I242" s="140"/>
      <c r="J242" s="140"/>
      <c r="K242" s="140"/>
      <c r="L242" s="140"/>
      <c r="M242" s="140"/>
      <c r="N242" s="298">
        <f>BK242</f>
        <v>0</v>
      </c>
      <c r="O242" s="299"/>
      <c r="P242" s="299"/>
      <c r="Q242" s="299"/>
      <c r="R242" s="133"/>
      <c r="T242" s="134"/>
      <c r="U242" s="131"/>
      <c r="V242" s="131"/>
      <c r="W242" s="135">
        <f>SUM(W243:W383)</f>
        <v>16486.766981000004</v>
      </c>
      <c r="X242" s="131"/>
      <c r="Y242" s="135">
        <f>SUM(Y243:Y383)</f>
        <v>1389.22776009</v>
      </c>
      <c r="Z242" s="131"/>
      <c r="AA242" s="136">
        <f>SUM(AA243:AA383)</f>
        <v>966.7321499999999</v>
      </c>
      <c r="AR242" s="137" t="s">
        <v>21</v>
      </c>
      <c r="AT242" s="138" t="s">
        <v>77</v>
      </c>
      <c r="AU242" s="138" t="s">
        <v>21</v>
      </c>
      <c r="AY242" s="137" t="s">
        <v>167</v>
      </c>
      <c r="BK242" s="139">
        <f>SUM(BK243:BK383)</f>
        <v>0</v>
      </c>
    </row>
    <row r="243" spans="2:65" s="1" customFormat="1" ht="31.5" customHeight="1">
      <c r="B243" s="141"/>
      <c r="C243" s="142" t="s">
        <v>203</v>
      </c>
      <c r="D243" s="142" t="s">
        <v>168</v>
      </c>
      <c r="E243" s="143" t="s">
        <v>1377</v>
      </c>
      <c r="F243" s="293" t="s">
        <v>1378</v>
      </c>
      <c r="G243" s="293"/>
      <c r="H243" s="293"/>
      <c r="I243" s="293"/>
      <c r="J243" s="144" t="s">
        <v>199</v>
      </c>
      <c r="K243" s="145">
        <v>1688.75</v>
      </c>
      <c r="L243" s="294"/>
      <c r="M243" s="294"/>
      <c r="N243" s="294">
        <f>ROUND(L243*K243,2)</f>
        <v>0</v>
      </c>
      <c r="O243" s="294"/>
      <c r="P243" s="294"/>
      <c r="Q243" s="294"/>
      <c r="R243" s="146"/>
      <c r="T243" s="147" t="s">
        <v>5</v>
      </c>
      <c r="U243" s="44" t="s">
        <v>43</v>
      </c>
      <c r="V243" s="148">
        <v>0.007</v>
      </c>
      <c r="W243" s="148">
        <f>V243*K243</f>
        <v>11.821250000000001</v>
      </c>
      <c r="X243" s="148">
        <v>6E-05</v>
      </c>
      <c r="Y243" s="148">
        <f>X243*K243</f>
        <v>0.101325</v>
      </c>
      <c r="Z243" s="148">
        <v>0.103</v>
      </c>
      <c r="AA243" s="149">
        <f>Z243*K243</f>
        <v>173.94125</v>
      </c>
      <c r="AR243" s="21" t="s">
        <v>172</v>
      </c>
      <c r="AT243" s="21" t="s">
        <v>168</v>
      </c>
      <c r="AU243" s="21" t="s">
        <v>135</v>
      </c>
      <c r="AY243" s="21" t="s">
        <v>167</v>
      </c>
      <c r="BE243" s="150">
        <f>IF(U243="základní",N243,0)</f>
        <v>0</v>
      </c>
      <c r="BF243" s="150">
        <f>IF(U243="snížená",N243,0)</f>
        <v>0</v>
      </c>
      <c r="BG243" s="150">
        <f>IF(U243="zákl. přenesená",N243,0)</f>
        <v>0</v>
      </c>
      <c r="BH243" s="150">
        <f>IF(U243="sníž. přenesená",N243,0)</f>
        <v>0</v>
      </c>
      <c r="BI243" s="150">
        <f>IF(U243="nulová",N243,0)</f>
        <v>0</v>
      </c>
      <c r="BJ243" s="21" t="s">
        <v>21</v>
      </c>
      <c r="BK243" s="150">
        <f>ROUND(L243*K243,2)</f>
        <v>0</v>
      </c>
      <c r="BL243" s="21" t="s">
        <v>172</v>
      </c>
      <c r="BM243" s="21" t="s">
        <v>1379</v>
      </c>
    </row>
    <row r="244" spans="2:51" s="11" customFormat="1" ht="22.5" customHeight="1">
      <c r="B244" s="159"/>
      <c r="C244" s="160"/>
      <c r="D244" s="160"/>
      <c r="E244" s="161" t="s">
        <v>5</v>
      </c>
      <c r="F244" s="308" t="s">
        <v>1983</v>
      </c>
      <c r="G244" s="309"/>
      <c r="H244" s="309"/>
      <c r="I244" s="309"/>
      <c r="J244" s="160"/>
      <c r="K244" s="162">
        <v>992.6</v>
      </c>
      <c r="L244" s="160"/>
      <c r="M244" s="160"/>
      <c r="N244" s="160"/>
      <c r="O244" s="160"/>
      <c r="P244" s="160"/>
      <c r="Q244" s="160"/>
      <c r="R244" s="163"/>
      <c r="T244" s="164"/>
      <c r="U244" s="160"/>
      <c r="V244" s="160"/>
      <c r="W244" s="160"/>
      <c r="X244" s="160"/>
      <c r="Y244" s="160"/>
      <c r="Z244" s="160"/>
      <c r="AA244" s="165"/>
      <c r="AT244" s="166" t="s">
        <v>179</v>
      </c>
      <c r="AU244" s="166" t="s">
        <v>135</v>
      </c>
      <c r="AV244" s="11" t="s">
        <v>135</v>
      </c>
      <c r="AW244" s="11" t="s">
        <v>35</v>
      </c>
      <c r="AX244" s="11" t="s">
        <v>78</v>
      </c>
      <c r="AY244" s="166" t="s">
        <v>167</v>
      </c>
    </row>
    <row r="245" spans="2:51" s="11" customFormat="1" ht="22.5" customHeight="1">
      <c r="B245" s="159"/>
      <c r="C245" s="160"/>
      <c r="D245" s="160"/>
      <c r="E245" s="161" t="s">
        <v>5</v>
      </c>
      <c r="F245" s="302" t="s">
        <v>1984</v>
      </c>
      <c r="G245" s="303"/>
      <c r="H245" s="303"/>
      <c r="I245" s="303"/>
      <c r="J245" s="160"/>
      <c r="K245" s="162">
        <v>696.15</v>
      </c>
      <c r="L245" s="160"/>
      <c r="M245" s="160"/>
      <c r="N245" s="160"/>
      <c r="O245" s="160"/>
      <c r="P245" s="160"/>
      <c r="Q245" s="160"/>
      <c r="R245" s="163"/>
      <c r="T245" s="164"/>
      <c r="U245" s="160"/>
      <c r="V245" s="160"/>
      <c r="W245" s="160"/>
      <c r="X245" s="160"/>
      <c r="Y245" s="160"/>
      <c r="Z245" s="160"/>
      <c r="AA245" s="165"/>
      <c r="AT245" s="166" t="s">
        <v>179</v>
      </c>
      <c r="AU245" s="166" t="s">
        <v>135</v>
      </c>
      <c r="AV245" s="11" t="s">
        <v>135</v>
      </c>
      <c r="AW245" s="11" t="s">
        <v>35</v>
      </c>
      <c r="AX245" s="11" t="s">
        <v>78</v>
      </c>
      <c r="AY245" s="166" t="s">
        <v>167</v>
      </c>
    </row>
    <row r="246" spans="2:51" s="12" customFormat="1" ht="22.5" customHeight="1">
      <c r="B246" s="167"/>
      <c r="C246" s="168"/>
      <c r="D246" s="168"/>
      <c r="E246" s="169" t="s">
        <v>5</v>
      </c>
      <c r="F246" s="306" t="s">
        <v>183</v>
      </c>
      <c r="G246" s="307"/>
      <c r="H246" s="307"/>
      <c r="I246" s="307"/>
      <c r="J246" s="168"/>
      <c r="K246" s="170">
        <v>1688.75</v>
      </c>
      <c r="L246" s="168"/>
      <c r="M246" s="168"/>
      <c r="N246" s="168"/>
      <c r="O246" s="168"/>
      <c r="P246" s="168"/>
      <c r="Q246" s="168"/>
      <c r="R246" s="171"/>
      <c r="T246" s="172"/>
      <c r="U246" s="168"/>
      <c r="V246" s="168"/>
      <c r="W246" s="168"/>
      <c r="X246" s="168"/>
      <c r="Y246" s="168"/>
      <c r="Z246" s="168"/>
      <c r="AA246" s="173"/>
      <c r="AT246" s="174" t="s">
        <v>179</v>
      </c>
      <c r="AU246" s="174" t="s">
        <v>135</v>
      </c>
      <c r="AV246" s="12" t="s">
        <v>172</v>
      </c>
      <c r="AW246" s="12" t="s">
        <v>35</v>
      </c>
      <c r="AX246" s="12" t="s">
        <v>21</v>
      </c>
      <c r="AY246" s="174" t="s">
        <v>167</v>
      </c>
    </row>
    <row r="247" spans="2:65" s="1" customFormat="1" ht="31.5" customHeight="1">
      <c r="B247" s="141"/>
      <c r="C247" s="142" t="s">
        <v>207</v>
      </c>
      <c r="D247" s="142" t="s">
        <v>168</v>
      </c>
      <c r="E247" s="143" t="s">
        <v>1380</v>
      </c>
      <c r="F247" s="293" t="s">
        <v>1381</v>
      </c>
      <c r="G247" s="293"/>
      <c r="H247" s="293"/>
      <c r="I247" s="293"/>
      <c r="J247" s="144" t="s">
        <v>199</v>
      </c>
      <c r="K247" s="145">
        <v>364.65</v>
      </c>
      <c r="L247" s="294"/>
      <c r="M247" s="294"/>
      <c r="N247" s="294">
        <f>ROUND(L247*K247,2)</f>
        <v>0</v>
      </c>
      <c r="O247" s="294"/>
      <c r="P247" s="294"/>
      <c r="Q247" s="294"/>
      <c r="R247" s="146"/>
      <c r="T247" s="147" t="s">
        <v>5</v>
      </c>
      <c r="U247" s="44" t="s">
        <v>43</v>
      </c>
      <c r="V247" s="148">
        <v>0.108</v>
      </c>
      <c r="W247" s="148">
        <f>V247*K247</f>
        <v>39.3822</v>
      </c>
      <c r="X247" s="148">
        <v>0</v>
      </c>
      <c r="Y247" s="148">
        <f>X247*K247</f>
        <v>0</v>
      </c>
      <c r="Z247" s="148">
        <v>0.181</v>
      </c>
      <c r="AA247" s="149">
        <f>Z247*K247</f>
        <v>66.00165</v>
      </c>
      <c r="AR247" s="21" t="s">
        <v>172</v>
      </c>
      <c r="AT247" s="21" t="s">
        <v>168</v>
      </c>
      <c r="AU247" s="21" t="s">
        <v>135</v>
      </c>
      <c r="AY247" s="21" t="s">
        <v>167</v>
      </c>
      <c r="BE247" s="150">
        <f>IF(U247="základní",N247,0)</f>
        <v>0</v>
      </c>
      <c r="BF247" s="150">
        <f>IF(U247="snížená",N247,0)</f>
        <v>0</v>
      </c>
      <c r="BG247" s="150">
        <f>IF(U247="zákl. přenesená",N247,0)</f>
        <v>0</v>
      </c>
      <c r="BH247" s="150">
        <f>IF(U247="sníž. přenesená",N247,0)</f>
        <v>0</v>
      </c>
      <c r="BI247" s="150">
        <f>IF(U247="nulová",N247,0)</f>
        <v>0</v>
      </c>
      <c r="BJ247" s="21" t="s">
        <v>21</v>
      </c>
      <c r="BK247" s="150">
        <f>ROUND(L247*K247,2)</f>
        <v>0</v>
      </c>
      <c r="BL247" s="21" t="s">
        <v>172</v>
      </c>
      <c r="BM247" s="21" t="s">
        <v>1382</v>
      </c>
    </row>
    <row r="248" spans="2:51" s="11" customFormat="1" ht="22.5" customHeight="1">
      <c r="B248" s="159"/>
      <c r="C248" s="160"/>
      <c r="D248" s="160"/>
      <c r="E248" s="161" t="s">
        <v>5</v>
      </c>
      <c r="F248" s="308" t="s">
        <v>1985</v>
      </c>
      <c r="G248" s="309"/>
      <c r="H248" s="309"/>
      <c r="I248" s="309"/>
      <c r="J248" s="160"/>
      <c r="K248" s="162">
        <v>364.65</v>
      </c>
      <c r="L248" s="160"/>
      <c r="M248" s="160"/>
      <c r="N248" s="160"/>
      <c r="O248" s="160"/>
      <c r="P248" s="160"/>
      <c r="Q248" s="160"/>
      <c r="R248" s="163"/>
      <c r="T248" s="164"/>
      <c r="U248" s="160"/>
      <c r="V248" s="160"/>
      <c r="W248" s="160"/>
      <c r="X248" s="160"/>
      <c r="Y248" s="160"/>
      <c r="Z248" s="160"/>
      <c r="AA248" s="165"/>
      <c r="AT248" s="166" t="s">
        <v>179</v>
      </c>
      <c r="AU248" s="166" t="s">
        <v>135</v>
      </c>
      <c r="AV248" s="11" t="s">
        <v>135</v>
      </c>
      <c r="AW248" s="11" t="s">
        <v>35</v>
      </c>
      <c r="AX248" s="11" t="s">
        <v>21</v>
      </c>
      <c r="AY248" s="166" t="s">
        <v>167</v>
      </c>
    </row>
    <row r="249" spans="2:65" s="1" customFormat="1" ht="31.5" customHeight="1">
      <c r="B249" s="141"/>
      <c r="C249" s="142" t="s">
        <v>213</v>
      </c>
      <c r="D249" s="142" t="s">
        <v>168</v>
      </c>
      <c r="E249" s="143" t="s">
        <v>1384</v>
      </c>
      <c r="F249" s="293" t="s">
        <v>1385</v>
      </c>
      <c r="G249" s="293"/>
      <c r="H249" s="293"/>
      <c r="I249" s="293"/>
      <c r="J249" s="144" t="s">
        <v>199</v>
      </c>
      <c r="K249" s="145">
        <v>364.65</v>
      </c>
      <c r="L249" s="294"/>
      <c r="M249" s="294"/>
      <c r="N249" s="294">
        <f>ROUND(L249*K249,2)</f>
        <v>0</v>
      </c>
      <c r="O249" s="294"/>
      <c r="P249" s="294"/>
      <c r="Q249" s="294"/>
      <c r="R249" s="146"/>
      <c r="T249" s="147" t="s">
        <v>5</v>
      </c>
      <c r="U249" s="44" t="s">
        <v>43</v>
      </c>
      <c r="V249" s="148">
        <v>0.073</v>
      </c>
      <c r="W249" s="148">
        <f>V249*K249</f>
        <v>26.619449999999997</v>
      </c>
      <c r="X249" s="148">
        <v>0</v>
      </c>
      <c r="Y249" s="148">
        <f>X249*K249</f>
        <v>0</v>
      </c>
      <c r="Z249" s="148">
        <v>0.235</v>
      </c>
      <c r="AA249" s="149">
        <f>Z249*K249</f>
        <v>85.69274999999999</v>
      </c>
      <c r="AR249" s="21" t="s">
        <v>172</v>
      </c>
      <c r="AT249" s="21" t="s">
        <v>168</v>
      </c>
      <c r="AU249" s="21" t="s">
        <v>135</v>
      </c>
      <c r="AY249" s="21" t="s">
        <v>167</v>
      </c>
      <c r="BE249" s="150">
        <f>IF(U249="základní",N249,0)</f>
        <v>0</v>
      </c>
      <c r="BF249" s="150">
        <f>IF(U249="snížená",N249,0)</f>
        <v>0</v>
      </c>
      <c r="BG249" s="150">
        <f>IF(U249="zákl. přenesená",N249,0)</f>
        <v>0</v>
      </c>
      <c r="BH249" s="150">
        <f>IF(U249="sníž. přenesená",N249,0)</f>
        <v>0</v>
      </c>
      <c r="BI249" s="150">
        <f>IF(U249="nulová",N249,0)</f>
        <v>0</v>
      </c>
      <c r="BJ249" s="21" t="s">
        <v>21</v>
      </c>
      <c r="BK249" s="150">
        <f>ROUND(L249*K249,2)</f>
        <v>0</v>
      </c>
      <c r="BL249" s="21" t="s">
        <v>172</v>
      </c>
      <c r="BM249" s="21" t="s">
        <v>1386</v>
      </c>
    </row>
    <row r="250" spans="2:65" s="1" customFormat="1" ht="31.5" customHeight="1">
      <c r="B250" s="141"/>
      <c r="C250" s="142" t="s">
        <v>218</v>
      </c>
      <c r="D250" s="142" t="s">
        <v>168</v>
      </c>
      <c r="E250" s="143" t="s">
        <v>1387</v>
      </c>
      <c r="F250" s="293" t="s">
        <v>1388</v>
      </c>
      <c r="G250" s="293"/>
      <c r="H250" s="293"/>
      <c r="I250" s="293"/>
      <c r="J250" s="144" t="s">
        <v>199</v>
      </c>
      <c r="K250" s="145">
        <v>364.65</v>
      </c>
      <c r="L250" s="294"/>
      <c r="M250" s="294"/>
      <c r="N250" s="294">
        <f>ROUND(L250*K250,2)</f>
        <v>0</v>
      </c>
      <c r="O250" s="294"/>
      <c r="P250" s="294"/>
      <c r="Q250" s="294"/>
      <c r="R250" s="146"/>
      <c r="T250" s="147" t="s">
        <v>5</v>
      </c>
      <c r="U250" s="44" t="s">
        <v>43</v>
      </c>
      <c r="V250" s="148">
        <v>0.119</v>
      </c>
      <c r="W250" s="148">
        <f>V250*K250</f>
        <v>43.39335</v>
      </c>
      <c r="X250" s="148">
        <v>0</v>
      </c>
      <c r="Y250" s="148">
        <f>X250*K250</f>
        <v>0</v>
      </c>
      <c r="Z250" s="148">
        <v>0.4</v>
      </c>
      <c r="AA250" s="149">
        <f>Z250*K250</f>
        <v>145.85999999999999</v>
      </c>
      <c r="AR250" s="21" t="s">
        <v>172</v>
      </c>
      <c r="AT250" s="21" t="s">
        <v>168</v>
      </c>
      <c r="AU250" s="21" t="s">
        <v>135</v>
      </c>
      <c r="AY250" s="21" t="s">
        <v>167</v>
      </c>
      <c r="BE250" s="150">
        <f>IF(U250="základní",N250,0)</f>
        <v>0</v>
      </c>
      <c r="BF250" s="150">
        <f>IF(U250="snížená",N250,0)</f>
        <v>0</v>
      </c>
      <c r="BG250" s="150">
        <f>IF(U250="zákl. přenesená",N250,0)</f>
        <v>0</v>
      </c>
      <c r="BH250" s="150">
        <f>IF(U250="sníž. přenesená",N250,0)</f>
        <v>0</v>
      </c>
      <c r="BI250" s="150">
        <f>IF(U250="nulová",N250,0)</f>
        <v>0</v>
      </c>
      <c r="BJ250" s="21" t="s">
        <v>21</v>
      </c>
      <c r="BK250" s="150">
        <f>ROUND(L250*K250,2)</f>
        <v>0</v>
      </c>
      <c r="BL250" s="21" t="s">
        <v>172</v>
      </c>
      <c r="BM250" s="21" t="s">
        <v>1389</v>
      </c>
    </row>
    <row r="251" spans="2:65" s="1" customFormat="1" ht="31.5" customHeight="1">
      <c r="B251" s="141"/>
      <c r="C251" s="142" t="s">
        <v>25</v>
      </c>
      <c r="D251" s="142" t="s">
        <v>168</v>
      </c>
      <c r="E251" s="143" t="s">
        <v>1986</v>
      </c>
      <c r="F251" s="293" t="s">
        <v>1788</v>
      </c>
      <c r="G251" s="293"/>
      <c r="H251" s="293"/>
      <c r="I251" s="293"/>
      <c r="J251" s="144" t="s">
        <v>199</v>
      </c>
      <c r="K251" s="145">
        <v>779.9</v>
      </c>
      <c r="L251" s="294"/>
      <c r="M251" s="294"/>
      <c r="N251" s="294">
        <f>ROUND(L251*K251,2)</f>
        <v>0</v>
      </c>
      <c r="O251" s="294"/>
      <c r="P251" s="294"/>
      <c r="Q251" s="294"/>
      <c r="R251" s="146"/>
      <c r="T251" s="147" t="s">
        <v>5</v>
      </c>
      <c r="U251" s="44" t="s">
        <v>43</v>
      </c>
      <c r="V251" s="148">
        <v>0.073</v>
      </c>
      <c r="W251" s="148">
        <f>V251*K251</f>
        <v>56.9327</v>
      </c>
      <c r="X251" s="148">
        <v>0</v>
      </c>
      <c r="Y251" s="148">
        <f>X251*K251</f>
        <v>0</v>
      </c>
      <c r="Z251" s="148">
        <v>0.235</v>
      </c>
      <c r="AA251" s="149">
        <f>Z251*K251</f>
        <v>183.27649999999997</v>
      </c>
      <c r="AR251" s="21" t="s">
        <v>172</v>
      </c>
      <c r="AT251" s="21" t="s">
        <v>168</v>
      </c>
      <c r="AU251" s="21" t="s">
        <v>135</v>
      </c>
      <c r="AY251" s="21" t="s">
        <v>167</v>
      </c>
      <c r="BE251" s="150">
        <f>IF(U251="základní",N251,0)</f>
        <v>0</v>
      </c>
      <c r="BF251" s="150">
        <f>IF(U251="snížená",N251,0)</f>
        <v>0</v>
      </c>
      <c r="BG251" s="150">
        <f>IF(U251="zákl. přenesená",N251,0)</f>
        <v>0</v>
      </c>
      <c r="BH251" s="150">
        <f>IF(U251="sníž. přenesená",N251,0)</f>
        <v>0</v>
      </c>
      <c r="BI251" s="150">
        <f>IF(U251="nulová",N251,0)</f>
        <v>0</v>
      </c>
      <c r="BJ251" s="21" t="s">
        <v>21</v>
      </c>
      <c r="BK251" s="150">
        <f>ROUND(L251*K251,2)</f>
        <v>0</v>
      </c>
      <c r="BL251" s="21" t="s">
        <v>172</v>
      </c>
      <c r="BM251" s="21" t="s">
        <v>1987</v>
      </c>
    </row>
    <row r="252" spans="2:51" s="11" customFormat="1" ht="22.5" customHeight="1">
      <c r="B252" s="159"/>
      <c r="C252" s="160"/>
      <c r="D252" s="160"/>
      <c r="E252" s="161" t="s">
        <v>5</v>
      </c>
      <c r="F252" s="308" t="s">
        <v>1988</v>
      </c>
      <c r="G252" s="309"/>
      <c r="H252" s="309"/>
      <c r="I252" s="309"/>
      <c r="J252" s="160"/>
      <c r="K252" s="162">
        <v>779.9</v>
      </c>
      <c r="L252" s="160"/>
      <c r="M252" s="160"/>
      <c r="N252" s="160"/>
      <c r="O252" s="160"/>
      <c r="P252" s="160"/>
      <c r="Q252" s="160"/>
      <c r="R252" s="163"/>
      <c r="T252" s="164"/>
      <c r="U252" s="160"/>
      <c r="V252" s="160"/>
      <c r="W252" s="160"/>
      <c r="X252" s="160"/>
      <c r="Y252" s="160"/>
      <c r="Z252" s="160"/>
      <c r="AA252" s="165"/>
      <c r="AT252" s="166" t="s">
        <v>179</v>
      </c>
      <c r="AU252" s="166" t="s">
        <v>135</v>
      </c>
      <c r="AV252" s="11" t="s">
        <v>135</v>
      </c>
      <c r="AW252" s="11" t="s">
        <v>35</v>
      </c>
      <c r="AX252" s="11" t="s">
        <v>78</v>
      </c>
      <c r="AY252" s="166" t="s">
        <v>167</v>
      </c>
    </row>
    <row r="253" spans="2:51" s="12" customFormat="1" ht="22.5" customHeight="1">
      <c r="B253" s="167"/>
      <c r="C253" s="168"/>
      <c r="D253" s="168"/>
      <c r="E253" s="169" t="s">
        <v>5</v>
      </c>
      <c r="F253" s="306" t="s">
        <v>183</v>
      </c>
      <c r="G253" s="307"/>
      <c r="H253" s="307"/>
      <c r="I253" s="307"/>
      <c r="J253" s="168"/>
      <c r="K253" s="170">
        <v>779.9</v>
      </c>
      <c r="L253" s="168"/>
      <c r="M253" s="168"/>
      <c r="N253" s="168"/>
      <c r="O253" s="168"/>
      <c r="P253" s="168"/>
      <c r="Q253" s="168"/>
      <c r="R253" s="171"/>
      <c r="T253" s="172"/>
      <c r="U253" s="168"/>
      <c r="V253" s="168"/>
      <c r="W253" s="168"/>
      <c r="X253" s="168"/>
      <c r="Y253" s="168"/>
      <c r="Z253" s="168"/>
      <c r="AA253" s="173"/>
      <c r="AT253" s="174" t="s">
        <v>179</v>
      </c>
      <c r="AU253" s="174" t="s">
        <v>135</v>
      </c>
      <c r="AV253" s="12" t="s">
        <v>172</v>
      </c>
      <c r="AW253" s="12" t="s">
        <v>35</v>
      </c>
      <c r="AX253" s="12" t="s">
        <v>21</v>
      </c>
      <c r="AY253" s="174" t="s">
        <v>167</v>
      </c>
    </row>
    <row r="254" spans="2:65" s="1" customFormat="1" ht="31.5" customHeight="1">
      <c r="B254" s="141"/>
      <c r="C254" s="142" t="s">
        <v>270</v>
      </c>
      <c r="D254" s="142" t="s">
        <v>168</v>
      </c>
      <c r="E254" s="143" t="s">
        <v>1989</v>
      </c>
      <c r="F254" s="293" t="s">
        <v>1791</v>
      </c>
      <c r="G254" s="293"/>
      <c r="H254" s="293"/>
      <c r="I254" s="293"/>
      <c r="J254" s="144" t="s">
        <v>199</v>
      </c>
      <c r="K254" s="145">
        <v>779.9</v>
      </c>
      <c r="L254" s="294"/>
      <c r="M254" s="294"/>
      <c r="N254" s="294">
        <f>ROUND(L254*K254,2)</f>
        <v>0</v>
      </c>
      <c r="O254" s="294"/>
      <c r="P254" s="294"/>
      <c r="Q254" s="294"/>
      <c r="R254" s="146"/>
      <c r="T254" s="147" t="s">
        <v>5</v>
      </c>
      <c r="U254" s="44" t="s">
        <v>43</v>
      </c>
      <c r="V254" s="148">
        <v>0.119</v>
      </c>
      <c r="W254" s="148">
        <f>V254*K254</f>
        <v>92.8081</v>
      </c>
      <c r="X254" s="148">
        <v>0</v>
      </c>
      <c r="Y254" s="148">
        <f>X254*K254</f>
        <v>0</v>
      </c>
      <c r="Z254" s="148">
        <v>0.4</v>
      </c>
      <c r="AA254" s="149">
        <f>Z254*K254</f>
        <v>311.96000000000004</v>
      </c>
      <c r="AR254" s="21" t="s">
        <v>172</v>
      </c>
      <c r="AT254" s="21" t="s">
        <v>168</v>
      </c>
      <c r="AU254" s="21" t="s">
        <v>135</v>
      </c>
      <c r="AY254" s="21" t="s">
        <v>167</v>
      </c>
      <c r="BE254" s="150">
        <f>IF(U254="základní",N254,0)</f>
        <v>0</v>
      </c>
      <c r="BF254" s="150">
        <f>IF(U254="snížená",N254,0)</f>
        <v>0</v>
      </c>
      <c r="BG254" s="150">
        <f>IF(U254="zákl. přenesená",N254,0)</f>
        <v>0</v>
      </c>
      <c r="BH254" s="150">
        <f>IF(U254="sníž. přenesená",N254,0)</f>
        <v>0</v>
      </c>
      <c r="BI254" s="150">
        <f>IF(U254="nulová",N254,0)</f>
        <v>0</v>
      </c>
      <c r="BJ254" s="21" t="s">
        <v>21</v>
      </c>
      <c r="BK254" s="150">
        <f>ROUND(L254*K254,2)</f>
        <v>0</v>
      </c>
      <c r="BL254" s="21" t="s">
        <v>172</v>
      </c>
      <c r="BM254" s="21" t="s">
        <v>1990</v>
      </c>
    </row>
    <row r="255" spans="2:65" s="1" customFormat="1" ht="31.5" customHeight="1">
      <c r="B255" s="141"/>
      <c r="C255" s="142" t="s">
        <v>273</v>
      </c>
      <c r="D255" s="142" t="s">
        <v>168</v>
      </c>
      <c r="E255" s="143" t="s">
        <v>1140</v>
      </c>
      <c r="F255" s="293" t="s">
        <v>1141</v>
      </c>
      <c r="G255" s="293"/>
      <c r="H255" s="293"/>
      <c r="I255" s="293"/>
      <c r="J255" s="144" t="s">
        <v>176</v>
      </c>
      <c r="K255" s="145">
        <v>1362.2</v>
      </c>
      <c r="L255" s="294"/>
      <c r="M255" s="294"/>
      <c r="N255" s="294">
        <f>ROUND(L255*K255,2)</f>
        <v>0</v>
      </c>
      <c r="O255" s="294"/>
      <c r="P255" s="294"/>
      <c r="Q255" s="294"/>
      <c r="R255" s="146"/>
      <c r="T255" s="147" t="s">
        <v>5</v>
      </c>
      <c r="U255" s="44" t="s">
        <v>43</v>
      </c>
      <c r="V255" s="148">
        <v>0.013</v>
      </c>
      <c r="W255" s="148">
        <f>V255*K255</f>
        <v>17.7086</v>
      </c>
      <c r="X255" s="148">
        <v>0</v>
      </c>
      <c r="Y255" s="148">
        <f>X255*K255</f>
        <v>0</v>
      </c>
      <c r="Z255" s="148">
        <v>0</v>
      </c>
      <c r="AA255" s="149">
        <f>Z255*K255</f>
        <v>0</v>
      </c>
      <c r="AR255" s="21" t="s">
        <v>172</v>
      </c>
      <c r="AT255" s="21" t="s">
        <v>168</v>
      </c>
      <c r="AU255" s="21" t="s">
        <v>135</v>
      </c>
      <c r="AY255" s="21" t="s">
        <v>167</v>
      </c>
      <c r="BE255" s="150">
        <f>IF(U255="základní",N255,0)</f>
        <v>0</v>
      </c>
      <c r="BF255" s="150">
        <f>IF(U255="snížená",N255,0)</f>
        <v>0</v>
      </c>
      <c r="BG255" s="150">
        <f>IF(U255="zákl. přenesená",N255,0)</f>
        <v>0</v>
      </c>
      <c r="BH255" s="150">
        <f>IF(U255="sníž. přenesená",N255,0)</f>
        <v>0</v>
      </c>
      <c r="BI255" s="150">
        <f>IF(U255="nulová",N255,0)</f>
        <v>0</v>
      </c>
      <c r="BJ255" s="21" t="s">
        <v>21</v>
      </c>
      <c r="BK255" s="150">
        <f>ROUND(L255*K255,2)</f>
        <v>0</v>
      </c>
      <c r="BL255" s="21" t="s">
        <v>172</v>
      </c>
      <c r="BM255" s="21" t="s">
        <v>1390</v>
      </c>
    </row>
    <row r="256" spans="2:51" s="11" customFormat="1" ht="22.5" customHeight="1">
      <c r="B256" s="159"/>
      <c r="C256" s="160"/>
      <c r="D256" s="160"/>
      <c r="E256" s="161" t="s">
        <v>5</v>
      </c>
      <c r="F256" s="308" t="s">
        <v>1991</v>
      </c>
      <c r="G256" s="309"/>
      <c r="H256" s="309"/>
      <c r="I256" s="309"/>
      <c r="J256" s="160"/>
      <c r="K256" s="162">
        <v>1362.2</v>
      </c>
      <c r="L256" s="160"/>
      <c r="M256" s="160"/>
      <c r="N256" s="160"/>
      <c r="O256" s="160"/>
      <c r="P256" s="160"/>
      <c r="Q256" s="160"/>
      <c r="R256" s="163"/>
      <c r="T256" s="164"/>
      <c r="U256" s="160"/>
      <c r="V256" s="160"/>
      <c r="W256" s="160"/>
      <c r="X256" s="160"/>
      <c r="Y256" s="160"/>
      <c r="Z256" s="160"/>
      <c r="AA256" s="165"/>
      <c r="AT256" s="166" t="s">
        <v>179</v>
      </c>
      <c r="AU256" s="166" t="s">
        <v>135</v>
      </c>
      <c r="AV256" s="11" t="s">
        <v>135</v>
      </c>
      <c r="AW256" s="11" t="s">
        <v>35</v>
      </c>
      <c r="AX256" s="11" t="s">
        <v>21</v>
      </c>
      <c r="AY256" s="166" t="s">
        <v>167</v>
      </c>
    </row>
    <row r="257" spans="2:65" s="1" customFormat="1" ht="31.5" customHeight="1">
      <c r="B257" s="141"/>
      <c r="C257" s="142" t="s">
        <v>276</v>
      </c>
      <c r="D257" s="142" t="s">
        <v>168</v>
      </c>
      <c r="E257" s="143" t="s">
        <v>1392</v>
      </c>
      <c r="F257" s="293" t="s">
        <v>1393</v>
      </c>
      <c r="G257" s="293"/>
      <c r="H257" s="293"/>
      <c r="I257" s="293"/>
      <c r="J257" s="144" t="s">
        <v>176</v>
      </c>
      <c r="K257" s="145">
        <v>1213.757</v>
      </c>
      <c r="L257" s="294"/>
      <c r="M257" s="294"/>
      <c r="N257" s="294">
        <f>ROUND(L257*K257,2)</f>
        <v>0</v>
      </c>
      <c r="O257" s="294"/>
      <c r="P257" s="294"/>
      <c r="Q257" s="294"/>
      <c r="R257" s="146"/>
      <c r="T257" s="147" t="s">
        <v>5</v>
      </c>
      <c r="U257" s="44" t="s">
        <v>43</v>
      </c>
      <c r="V257" s="148">
        <v>0.586</v>
      </c>
      <c r="W257" s="148">
        <f>V257*K257</f>
        <v>711.261602</v>
      </c>
      <c r="X257" s="148">
        <v>0</v>
      </c>
      <c r="Y257" s="148">
        <f>X257*K257</f>
        <v>0</v>
      </c>
      <c r="Z257" s="148">
        <v>0</v>
      </c>
      <c r="AA257" s="149">
        <f>Z257*K257</f>
        <v>0</v>
      </c>
      <c r="AR257" s="21" t="s">
        <v>172</v>
      </c>
      <c r="AT257" s="21" t="s">
        <v>168</v>
      </c>
      <c r="AU257" s="21" t="s">
        <v>135</v>
      </c>
      <c r="AY257" s="21" t="s">
        <v>167</v>
      </c>
      <c r="BE257" s="150">
        <f>IF(U257="základní",N257,0)</f>
        <v>0</v>
      </c>
      <c r="BF257" s="150">
        <f>IF(U257="snížená",N257,0)</f>
        <v>0</v>
      </c>
      <c r="BG257" s="150">
        <f>IF(U257="zákl. přenesená",N257,0)</f>
        <v>0</v>
      </c>
      <c r="BH257" s="150">
        <f>IF(U257="sníž. přenesená",N257,0)</f>
        <v>0</v>
      </c>
      <c r="BI257" s="150">
        <f>IF(U257="nulová",N257,0)</f>
        <v>0</v>
      </c>
      <c r="BJ257" s="21" t="s">
        <v>21</v>
      </c>
      <c r="BK257" s="150">
        <f>ROUND(L257*K257,2)</f>
        <v>0</v>
      </c>
      <c r="BL257" s="21" t="s">
        <v>172</v>
      </c>
      <c r="BM257" s="21" t="s">
        <v>1394</v>
      </c>
    </row>
    <row r="258" spans="2:51" s="11" customFormat="1" ht="22.5" customHeight="1">
      <c r="B258" s="159"/>
      <c r="C258" s="160"/>
      <c r="D258" s="160"/>
      <c r="E258" s="161" t="s">
        <v>5</v>
      </c>
      <c r="F258" s="308" t="s">
        <v>1992</v>
      </c>
      <c r="G258" s="309"/>
      <c r="H258" s="309"/>
      <c r="I258" s="309"/>
      <c r="J258" s="160"/>
      <c r="K258" s="162">
        <v>4462.151</v>
      </c>
      <c r="L258" s="160"/>
      <c r="M258" s="160"/>
      <c r="N258" s="160"/>
      <c r="O258" s="160"/>
      <c r="P258" s="160"/>
      <c r="Q258" s="160"/>
      <c r="R258" s="163"/>
      <c r="T258" s="164"/>
      <c r="U258" s="160"/>
      <c r="V258" s="160"/>
      <c r="W258" s="160"/>
      <c r="X258" s="160"/>
      <c r="Y258" s="160"/>
      <c r="Z258" s="160"/>
      <c r="AA258" s="165"/>
      <c r="AT258" s="166" t="s">
        <v>179</v>
      </c>
      <c r="AU258" s="166" t="s">
        <v>135</v>
      </c>
      <c r="AV258" s="11" t="s">
        <v>135</v>
      </c>
      <c r="AW258" s="11" t="s">
        <v>35</v>
      </c>
      <c r="AX258" s="11" t="s">
        <v>78</v>
      </c>
      <c r="AY258" s="166" t="s">
        <v>167</v>
      </c>
    </row>
    <row r="259" spans="2:51" s="11" customFormat="1" ht="31.5" customHeight="1">
      <c r="B259" s="159"/>
      <c r="C259" s="160"/>
      <c r="D259" s="160"/>
      <c r="E259" s="161" t="s">
        <v>5</v>
      </c>
      <c r="F259" s="302" t="s">
        <v>1993</v>
      </c>
      <c r="G259" s="303"/>
      <c r="H259" s="303"/>
      <c r="I259" s="303"/>
      <c r="J259" s="160"/>
      <c r="K259" s="162">
        <v>-233.97</v>
      </c>
      <c r="L259" s="160"/>
      <c r="M259" s="160"/>
      <c r="N259" s="160"/>
      <c r="O259" s="160"/>
      <c r="P259" s="160"/>
      <c r="Q259" s="160"/>
      <c r="R259" s="163"/>
      <c r="T259" s="164"/>
      <c r="U259" s="160"/>
      <c r="V259" s="160"/>
      <c r="W259" s="160"/>
      <c r="X259" s="160"/>
      <c r="Y259" s="160"/>
      <c r="Z259" s="160"/>
      <c r="AA259" s="165"/>
      <c r="AT259" s="166" t="s">
        <v>179</v>
      </c>
      <c r="AU259" s="166" t="s">
        <v>135</v>
      </c>
      <c r="AV259" s="11" t="s">
        <v>135</v>
      </c>
      <c r="AW259" s="11" t="s">
        <v>35</v>
      </c>
      <c r="AX259" s="11" t="s">
        <v>78</v>
      </c>
      <c r="AY259" s="166" t="s">
        <v>167</v>
      </c>
    </row>
    <row r="260" spans="2:51" s="11" customFormat="1" ht="31.5" customHeight="1">
      <c r="B260" s="159"/>
      <c r="C260" s="160"/>
      <c r="D260" s="160"/>
      <c r="E260" s="161" t="s">
        <v>5</v>
      </c>
      <c r="F260" s="302" t="s">
        <v>1994</v>
      </c>
      <c r="G260" s="303"/>
      <c r="H260" s="303"/>
      <c r="I260" s="303"/>
      <c r="J260" s="160"/>
      <c r="K260" s="162">
        <v>-182.325</v>
      </c>
      <c r="L260" s="160"/>
      <c r="M260" s="160"/>
      <c r="N260" s="160"/>
      <c r="O260" s="160"/>
      <c r="P260" s="160"/>
      <c r="Q260" s="160"/>
      <c r="R260" s="163"/>
      <c r="T260" s="164"/>
      <c r="U260" s="160"/>
      <c r="V260" s="160"/>
      <c r="W260" s="160"/>
      <c r="X260" s="160"/>
      <c r="Y260" s="160"/>
      <c r="Z260" s="160"/>
      <c r="AA260" s="165"/>
      <c r="AT260" s="166" t="s">
        <v>179</v>
      </c>
      <c r="AU260" s="166" t="s">
        <v>135</v>
      </c>
      <c r="AV260" s="11" t="s">
        <v>135</v>
      </c>
      <c r="AW260" s="11" t="s">
        <v>35</v>
      </c>
      <c r="AX260" s="11" t="s">
        <v>78</v>
      </c>
      <c r="AY260" s="166" t="s">
        <v>167</v>
      </c>
    </row>
    <row r="261" spans="2:51" s="12" customFormat="1" ht="22.5" customHeight="1">
      <c r="B261" s="167"/>
      <c r="C261" s="168"/>
      <c r="D261" s="168"/>
      <c r="E261" s="169" t="s">
        <v>5</v>
      </c>
      <c r="F261" s="306" t="s">
        <v>183</v>
      </c>
      <c r="G261" s="307"/>
      <c r="H261" s="307"/>
      <c r="I261" s="307"/>
      <c r="J261" s="168"/>
      <c r="K261" s="170">
        <v>4045.856</v>
      </c>
      <c r="L261" s="168"/>
      <c r="M261" s="168"/>
      <c r="N261" s="168"/>
      <c r="O261" s="168"/>
      <c r="P261" s="168"/>
      <c r="Q261" s="168"/>
      <c r="R261" s="171"/>
      <c r="T261" s="172"/>
      <c r="U261" s="168"/>
      <c r="V261" s="168"/>
      <c r="W261" s="168"/>
      <c r="X261" s="168"/>
      <c r="Y261" s="168"/>
      <c r="Z261" s="168"/>
      <c r="AA261" s="173"/>
      <c r="AT261" s="174" t="s">
        <v>179</v>
      </c>
      <c r="AU261" s="174" t="s">
        <v>135</v>
      </c>
      <c r="AV261" s="12" t="s">
        <v>172</v>
      </c>
      <c r="AW261" s="12" t="s">
        <v>35</v>
      </c>
      <c r="AX261" s="12" t="s">
        <v>78</v>
      </c>
      <c r="AY261" s="174" t="s">
        <v>167</v>
      </c>
    </row>
    <row r="262" spans="2:51" s="10" customFormat="1" ht="22.5" customHeight="1">
      <c r="B262" s="151"/>
      <c r="C262" s="152"/>
      <c r="D262" s="152"/>
      <c r="E262" s="153" t="s">
        <v>5</v>
      </c>
      <c r="F262" s="304" t="s">
        <v>1398</v>
      </c>
      <c r="G262" s="305"/>
      <c r="H262" s="305"/>
      <c r="I262" s="305"/>
      <c r="J262" s="152"/>
      <c r="K262" s="154" t="s">
        <v>5</v>
      </c>
      <c r="L262" s="152"/>
      <c r="M262" s="152"/>
      <c r="N262" s="152"/>
      <c r="O262" s="152"/>
      <c r="P262" s="152"/>
      <c r="Q262" s="152"/>
      <c r="R262" s="155"/>
      <c r="T262" s="156"/>
      <c r="U262" s="152"/>
      <c r="V262" s="152"/>
      <c r="W262" s="152"/>
      <c r="X262" s="152"/>
      <c r="Y262" s="152"/>
      <c r="Z262" s="152"/>
      <c r="AA262" s="157"/>
      <c r="AT262" s="158" t="s">
        <v>179</v>
      </c>
      <c r="AU262" s="158" t="s">
        <v>135</v>
      </c>
      <c r="AV262" s="10" t="s">
        <v>21</v>
      </c>
      <c r="AW262" s="10" t="s">
        <v>35</v>
      </c>
      <c r="AX262" s="10" t="s">
        <v>78</v>
      </c>
      <c r="AY262" s="158" t="s">
        <v>167</v>
      </c>
    </row>
    <row r="263" spans="2:51" s="11" customFormat="1" ht="22.5" customHeight="1">
      <c r="B263" s="159"/>
      <c r="C263" s="160"/>
      <c r="D263" s="160"/>
      <c r="E263" s="161" t="s">
        <v>5</v>
      </c>
      <c r="F263" s="302" t="s">
        <v>1995</v>
      </c>
      <c r="G263" s="303"/>
      <c r="H263" s="303"/>
      <c r="I263" s="303"/>
      <c r="J263" s="160"/>
      <c r="K263" s="162">
        <v>1213.757</v>
      </c>
      <c r="L263" s="160"/>
      <c r="M263" s="160"/>
      <c r="N263" s="160"/>
      <c r="O263" s="160"/>
      <c r="P263" s="160"/>
      <c r="Q263" s="160"/>
      <c r="R263" s="163"/>
      <c r="T263" s="164"/>
      <c r="U263" s="160"/>
      <c r="V263" s="160"/>
      <c r="W263" s="160"/>
      <c r="X263" s="160"/>
      <c r="Y263" s="160"/>
      <c r="Z263" s="160"/>
      <c r="AA263" s="165"/>
      <c r="AT263" s="166" t="s">
        <v>179</v>
      </c>
      <c r="AU263" s="166" t="s">
        <v>135</v>
      </c>
      <c r="AV263" s="11" t="s">
        <v>135</v>
      </c>
      <c r="AW263" s="11" t="s">
        <v>35</v>
      </c>
      <c r="AX263" s="11" t="s">
        <v>78</v>
      </c>
      <c r="AY263" s="166" t="s">
        <v>167</v>
      </c>
    </row>
    <row r="264" spans="2:51" s="12" customFormat="1" ht="22.5" customHeight="1">
      <c r="B264" s="167"/>
      <c r="C264" s="168"/>
      <c r="D264" s="168"/>
      <c r="E264" s="169" t="s">
        <v>5</v>
      </c>
      <c r="F264" s="306" t="s">
        <v>183</v>
      </c>
      <c r="G264" s="307"/>
      <c r="H264" s="307"/>
      <c r="I264" s="307"/>
      <c r="J264" s="168"/>
      <c r="K264" s="170">
        <v>1213.757</v>
      </c>
      <c r="L264" s="168"/>
      <c r="M264" s="168"/>
      <c r="N264" s="168"/>
      <c r="O264" s="168"/>
      <c r="P264" s="168"/>
      <c r="Q264" s="168"/>
      <c r="R264" s="171"/>
      <c r="T264" s="172"/>
      <c r="U264" s="168"/>
      <c r="V264" s="168"/>
      <c r="W264" s="168"/>
      <c r="X264" s="168"/>
      <c r="Y264" s="168"/>
      <c r="Z264" s="168"/>
      <c r="AA264" s="173"/>
      <c r="AT264" s="174" t="s">
        <v>179</v>
      </c>
      <c r="AU264" s="174" t="s">
        <v>135</v>
      </c>
      <c r="AV264" s="12" t="s">
        <v>172</v>
      </c>
      <c r="AW264" s="12" t="s">
        <v>35</v>
      </c>
      <c r="AX264" s="12" t="s">
        <v>21</v>
      </c>
      <c r="AY264" s="174" t="s">
        <v>167</v>
      </c>
    </row>
    <row r="265" spans="2:65" s="1" customFormat="1" ht="31.5" customHeight="1">
      <c r="B265" s="141"/>
      <c r="C265" s="142" t="s">
        <v>278</v>
      </c>
      <c r="D265" s="142" t="s">
        <v>168</v>
      </c>
      <c r="E265" s="143" t="s">
        <v>505</v>
      </c>
      <c r="F265" s="293" t="s">
        <v>506</v>
      </c>
      <c r="G265" s="293"/>
      <c r="H265" s="293"/>
      <c r="I265" s="293"/>
      <c r="J265" s="144" t="s">
        <v>176</v>
      </c>
      <c r="K265" s="145">
        <v>1213.757</v>
      </c>
      <c r="L265" s="294"/>
      <c r="M265" s="294"/>
      <c r="N265" s="294">
        <f>ROUND(L265*K265,2)</f>
        <v>0</v>
      </c>
      <c r="O265" s="294"/>
      <c r="P265" s="294"/>
      <c r="Q265" s="294"/>
      <c r="R265" s="146"/>
      <c r="T265" s="147" t="s">
        <v>5</v>
      </c>
      <c r="U265" s="44" t="s">
        <v>43</v>
      </c>
      <c r="V265" s="148">
        <v>0.085</v>
      </c>
      <c r="W265" s="148">
        <f>V265*K265</f>
        <v>103.169345</v>
      </c>
      <c r="X265" s="148">
        <v>0</v>
      </c>
      <c r="Y265" s="148">
        <f>X265*K265</f>
        <v>0</v>
      </c>
      <c r="Z265" s="148">
        <v>0</v>
      </c>
      <c r="AA265" s="149">
        <f>Z265*K265</f>
        <v>0</v>
      </c>
      <c r="AR265" s="21" t="s">
        <v>172</v>
      </c>
      <c r="AT265" s="21" t="s">
        <v>168</v>
      </c>
      <c r="AU265" s="21" t="s">
        <v>135</v>
      </c>
      <c r="AY265" s="21" t="s">
        <v>167</v>
      </c>
      <c r="BE265" s="150">
        <f>IF(U265="základní",N265,0)</f>
        <v>0</v>
      </c>
      <c r="BF265" s="150">
        <f>IF(U265="snížená",N265,0)</f>
        <v>0</v>
      </c>
      <c r="BG265" s="150">
        <f>IF(U265="zákl. přenesená",N265,0)</f>
        <v>0</v>
      </c>
      <c r="BH265" s="150">
        <f>IF(U265="sníž. přenesená",N265,0)</f>
        <v>0</v>
      </c>
      <c r="BI265" s="150">
        <f>IF(U265="nulová",N265,0)</f>
        <v>0</v>
      </c>
      <c r="BJ265" s="21" t="s">
        <v>21</v>
      </c>
      <c r="BK265" s="150">
        <f>ROUND(L265*K265,2)</f>
        <v>0</v>
      </c>
      <c r="BL265" s="21" t="s">
        <v>172</v>
      </c>
      <c r="BM265" s="21" t="s">
        <v>1191</v>
      </c>
    </row>
    <row r="266" spans="2:65" s="1" customFormat="1" ht="31.5" customHeight="1">
      <c r="B266" s="141"/>
      <c r="C266" s="142" t="s">
        <v>11</v>
      </c>
      <c r="D266" s="142" t="s">
        <v>168</v>
      </c>
      <c r="E266" s="143" t="s">
        <v>1399</v>
      </c>
      <c r="F266" s="293" t="s">
        <v>1400</v>
      </c>
      <c r="G266" s="293"/>
      <c r="H266" s="293"/>
      <c r="I266" s="293"/>
      <c r="J266" s="144" t="s">
        <v>176</v>
      </c>
      <c r="K266" s="145">
        <v>1618.342</v>
      </c>
      <c r="L266" s="294"/>
      <c r="M266" s="294"/>
      <c r="N266" s="294">
        <f>ROUND(L266*K266,2)</f>
        <v>0</v>
      </c>
      <c r="O266" s="294"/>
      <c r="P266" s="294"/>
      <c r="Q266" s="294"/>
      <c r="R266" s="146"/>
      <c r="T266" s="147" t="s">
        <v>5</v>
      </c>
      <c r="U266" s="44" t="s">
        <v>43</v>
      </c>
      <c r="V266" s="148">
        <v>0.75</v>
      </c>
      <c r="W266" s="148">
        <f>V266*K266</f>
        <v>1213.7565</v>
      </c>
      <c r="X266" s="148">
        <v>0</v>
      </c>
      <c r="Y266" s="148">
        <f>X266*K266</f>
        <v>0</v>
      </c>
      <c r="Z266" s="148">
        <v>0</v>
      </c>
      <c r="AA266" s="149">
        <f>Z266*K266</f>
        <v>0</v>
      </c>
      <c r="AR266" s="21" t="s">
        <v>172</v>
      </c>
      <c r="AT266" s="21" t="s">
        <v>168</v>
      </c>
      <c r="AU266" s="21" t="s">
        <v>135</v>
      </c>
      <c r="AY266" s="21" t="s">
        <v>167</v>
      </c>
      <c r="BE266" s="150">
        <f>IF(U266="základní",N266,0)</f>
        <v>0</v>
      </c>
      <c r="BF266" s="150">
        <f>IF(U266="snížená",N266,0)</f>
        <v>0</v>
      </c>
      <c r="BG266" s="150">
        <f>IF(U266="zákl. přenesená",N266,0)</f>
        <v>0</v>
      </c>
      <c r="BH266" s="150">
        <f>IF(U266="sníž. přenesená",N266,0)</f>
        <v>0</v>
      </c>
      <c r="BI266" s="150">
        <f>IF(U266="nulová",N266,0)</f>
        <v>0</v>
      </c>
      <c r="BJ266" s="21" t="s">
        <v>21</v>
      </c>
      <c r="BK266" s="150">
        <f>ROUND(L266*K266,2)</f>
        <v>0</v>
      </c>
      <c r="BL266" s="21" t="s">
        <v>172</v>
      </c>
      <c r="BM266" s="21" t="s">
        <v>1401</v>
      </c>
    </row>
    <row r="267" spans="2:51" s="11" customFormat="1" ht="22.5" customHeight="1">
      <c r="B267" s="159"/>
      <c r="C267" s="160"/>
      <c r="D267" s="160"/>
      <c r="E267" s="161" t="s">
        <v>5</v>
      </c>
      <c r="F267" s="308" t="s">
        <v>1992</v>
      </c>
      <c r="G267" s="309"/>
      <c r="H267" s="309"/>
      <c r="I267" s="309"/>
      <c r="J267" s="160"/>
      <c r="K267" s="162">
        <v>4462.151</v>
      </c>
      <c r="L267" s="160"/>
      <c r="M267" s="160"/>
      <c r="N267" s="160"/>
      <c r="O267" s="160"/>
      <c r="P267" s="160"/>
      <c r="Q267" s="160"/>
      <c r="R267" s="163"/>
      <c r="T267" s="164"/>
      <c r="U267" s="160"/>
      <c r="V267" s="160"/>
      <c r="W267" s="160"/>
      <c r="X267" s="160"/>
      <c r="Y267" s="160"/>
      <c r="Z267" s="160"/>
      <c r="AA267" s="165"/>
      <c r="AT267" s="166" t="s">
        <v>179</v>
      </c>
      <c r="AU267" s="166" t="s">
        <v>135</v>
      </c>
      <c r="AV267" s="11" t="s">
        <v>135</v>
      </c>
      <c r="AW267" s="11" t="s">
        <v>35</v>
      </c>
      <c r="AX267" s="11" t="s">
        <v>78</v>
      </c>
      <c r="AY267" s="166" t="s">
        <v>167</v>
      </c>
    </row>
    <row r="268" spans="2:51" s="11" customFormat="1" ht="31.5" customHeight="1">
      <c r="B268" s="159"/>
      <c r="C268" s="160"/>
      <c r="D268" s="160"/>
      <c r="E268" s="161" t="s">
        <v>5</v>
      </c>
      <c r="F268" s="302" t="s">
        <v>1993</v>
      </c>
      <c r="G268" s="303"/>
      <c r="H268" s="303"/>
      <c r="I268" s="303"/>
      <c r="J268" s="160"/>
      <c r="K268" s="162">
        <v>-233.97</v>
      </c>
      <c r="L268" s="160"/>
      <c r="M268" s="160"/>
      <c r="N268" s="160"/>
      <c r="O268" s="160"/>
      <c r="P268" s="160"/>
      <c r="Q268" s="160"/>
      <c r="R268" s="163"/>
      <c r="T268" s="164"/>
      <c r="U268" s="160"/>
      <c r="V268" s="160"/>
      <c r="W268" s="160"/>
      <c r="X268" s="160"/>
      <c r="Y268" s="160"/>
      <c r="Z268" s="160"/>
      <c r="AA268" s="165"/>
      <c r="AT268" s="166" t="s">
        <v>179</v>
      </c>
      <c r="AU268" s="166" t="s">
        <v>135</v>
      </c>
      <c r="AV268" s="11" t="s">
        <v>135</v>
      </c>
      <c r="AW268" s="11" t="s">
        <v>35</v>
      </c>
      <c r="AX268" s="11" t="s">
        <v>78</v>
      </c>
      <c r="AY268" s="166" t="s">
        <v>167</v>
      </c>
    </row>
    <row r="269" spans="2:51" s="11" customFormat="1" ht="31.5" customHeight="1">
      <c r="B269" s="159"/>
      <c r="C269" s="160"/>
      <c r="D269" s="160"/>
      <c r="E269" s="161" t="s">
        <v>5</v>
      </c>
      <c r="F269" s="302" t="s">
        <v>1994</v>
      </c>
      <c r="G269" s="303"/>
      <c r="H269" s="303"/>
      <c r="I269" s="303"/>
      <c r="J269" s="160"/>
      <c r="K269" s="162">
        <v>-182.325</v>
      </c>
      <c r="L269" s="160"/>
      <c r="M269" s="160"/>
      <c r="N269" s="160"/>
      <c r="O269" s="160"/>
      <c r="P269" s="160"/>
      <c r="Q269" s="160"/>
      <c r="R269" s="163"/>
      <c r="T269" s="164"/>
      <c r="U269" s="160"/>
      <c r="V269" s="160"/>
      <c r="W269" s="160"/>
      <c r="X269" s="160"/>
      <c r="Y269" s="160"/>
      <c r="Z269" s="160"/>
      <c r="AA269" s="165"/>
      <c r="AT269" s="166" t="s">
        <v>179</v>
      </c>
      <c r="AU269" s="166" t="s">
        <v>135</v>
      </c>
      <c r="AV269" s="11" t="s">
        <v>135</v>
      </c>
      <c r="AW269" s="11" t="s">
        <v>35</v>
      </c>
      <c r="AX269" s="11" t="s">
        <v>78</v>
      </c>
      <c r="AY269" s="166" t="s">
        <v>167</v>
      </c>
    </row>
    <row r="270" spans="2:51" s="12" customFormat="1" ht="22.5" customHeight="1">
      <c r="B270" s="167"/>
      <c r="C270" s="168"/>
      <c r="D270" s="168"/>
      <c r="E270" s="169" t="s">
        <v>5</v>
      </c>
      <c r="F270" s="306" t="s">
        <v>183</v>
      </c>
      <c r="G270" s="307"/>
      <c r="H270" s="307"/>
      <c r="I270" s="307"/>
      <c r="J270" s="168"/>
      <c r="K270" s="170">
        <v>4045.856</v>
      </c>
      <c r="L270" s="168"/>
      <c r="M270" s="168"/>
      <c r="N270" s="168"/>
      <c r="O270" s="168"/>
      <c r="P270" s="168"/>
      <c r="Q270" s="168"/>
      <c r="R270" s="171"/>
      <c r="T270" s="172"/>
      <c r="U270" s="168"/>
      <c r="V270" s="168"/>
      <c r="W270" s="168"/>
      <c r="X270" s="168"/>
      <c r="Y270" s="168"/>
      <c r="Z270" s="168"/>
      <c r="AA270" s="173"/>
      <c r="AT270" s="174" t="s">
        <v>179</v>
      </c>
      <c r="AU270" s="174" t="s">
        <v>135</v>
      </c>
      <c r="AV270" s="12" t="s">
        <v>172</v>
      </c>
      <c r="AW270" s="12" t="s">
        <v>35</v>
      </c>
      <c r="AX270" s="12" t="s">
        <v>78</v>
      </c>
      <c r="AY270" s="174" t="s">
        <v>167</v>
      </c>
    </row>
    <row r="271" spans="2:51" s="10" customFormat="1" ht="22.5" customHeight="1">
      <c r="B271" s="151"/>
      <c r="C271" s="152"/>
      <c r="D271" s="152"/>
      <c r="E271" s="153" t="s">
        <v>5</v>
      </c>
      <c r="F271" s="304" t="s">
        <v>1402</v>
      </c>
      <c r="G271" s="305"/>
      <c r="H271" s="305"/>
      <c r="I271" s="305"/>
      <c r="J271" s="152"/>
      <c r="K271" s="154" t="s">
        <v>5</v>
      </c>
      <c r="L271" s="152"/>
      <c r="M271" s="152"/>
      <c r="N271" s="152"/>
      <c r="O271" s="152"/>
      <c r="P271" s="152"/>
      <c r="Q271" s="152"/>
      <c r="R271" s="155"/>
      <c r="T271" s="156"/>
      <c r="U271" s="152"/>
      <c r="V271" s="152"/>
      <c r="W271" s="152"/>
      <c r="X271" s="152"/>
      <c r="Y271" s="152"/>
      <c r="Z271" s="152"/>
      <c r="AA271" s="157"/>
      <c r="AT271" s="158" t="s">
        <v>179</v>
      </c>
      <c r="AU271" s="158" t="s">
        <v>135</v>
      </c>
      <c r="AV271" s="10" t="s">
        <v>21</v>
      </c>
      <c r="AW271" s="10" t="s">
        <v>35</v>
      </c>
      <c r="AX271" s="10" t="s">
        <v>78</v>
      </c>
      <c r="AY271" s="158" t="s">
        <v>167</v>
      </c>
    </row>
    <row r="272" spans="2:51" s="11" customFormat="1" ht="22.5" customHeight="1">
      <c r="B272" s="159"/>
      <c r="C272" s="160"/>
      <c r="D272" s="160"/>
      <c r="E272" s="161" t="s">
        <v>5</v>
      </c>
      <c r="F272" s="302" t="s">
        <v>1996</v>
      </c>
      <c r="G272" s="303"/>
      <c r="H272" s="303"/>
      <c r="I272" s="303"/>
      <c r="J272" s="160"/>
      <c r="K272" s="162">
        <v>1618.342</v>
      </c>
      <c r="L272" s="160"/>
      <c r="M272" s="160"/>
      <c r="N272" s="160"/>
      <c r="O272" s="160"/>
      <c r="P272" s="160"/>
      <c r="Q272" s="160"/>
      <c r="R272" s="163"/>
      <c r="T272" s="164"/>
      <c r="U272" s="160"/>
      <c r="V272" s="160"/>
      <c r="W272" s="160"/>
      <c r="X272" s="160"/>
      <c r="Y272" s="160"/>
      <c r="Z272" s="160"/>
      <c r="AA272" s="165"/>
      <c r="AT272" s="166" t="s">
        <v>179</v>
      </c>
      <c r="AU272" s="166" t="s">
        <v>135</v>
      </c>
      <c r="AV272" s="11" t="s">
        <v>135</v>
      </c>
      <c r="AW272" s="11" t="s">
        <v>35</v>
      </c>
      <c r="AX272" s="11" t="s">
        <v>78</v>
      </c>
      <c r="AY272" s="166" t="s">
        <v>167</v>
      </c>
    </row>
    <row r="273" spans="2:51" s="12" customFormat="1" ht="22.5" customHeight="1">
      <c r="B273" s="167"/>
      <c r="C273" s="168"/>
      <c r="D273" s="168"/>
      <c r="E273" s="169" t="s">
        <v>5</v>
      </c>
      <c r="F273" s="306" t="s">
        <v>183</v>
      </c>
      <c r="G273" s="307"/>
      <c r="H273" s="307"/>
      <c r="I273" s="307"/>
      <c r="J273" s="168"/>
      <c r="K273" s="170">
        <v>1618.342</v>
      </c>
      <c r="L273" s="168"/>
      <c r="M273" s="168"/>
      <c r="N273" s="168"/>
      <c r="O273" s="168"/>
      <c r="P273" s="168"/>
      <c r="Q273" s="168"/>
      <c r="R273" s="171"/>
      <c r="T273" s="172"/>
      <c r="U273" s="168"/>
      <c r="V273" s="168"/>
      <c r="W273" s="168"/>
      <c r="X273" s="168"/>
      <c r="Y273" s="168"/>
      <c r="Z273" s="168"/>
      <c r="AA273" s="173"/>
      <c r="AT273" s="174" t="s">
        <v>179</v>
      </c>
      <c r="AU273" s="174" t="s">
        <v>135</v>
      </c>
      <c r="AV273" s="12" t="s">
        <v>172</v>
      </c>
      <c r="AW273" s="12" t="s">
        <v>35</v>
      </c>
      <c r="AX273" s="12" t="s">
        <v>21</v>
      </c>
      <c r="AY273" s="174" t="s">
        <v>167</v>
      </c>
    </row>
    <row r="274" spans="2:65" s="1" customFormat="1" ht="31.5" customHeight="1">
      <c r="B274" s="141"/>
      <c r="C274" s="142" t="s">
        <v>281</v>
      </c>
      <c r="D274" s="142" t="s">
        <v>168</v>
      </c>
      <c r="E274" s="143" t="s">
        <v>1403</v>
      </c>
      <c r="F274" s="293" t="s">
        <v>1404</v>
      </c>
      <c r="G274" s="293"/>
      <c r="H274" s="293"/>
      <c r="I274" s="293"/>
      <c r="J274" s="144" t="s">
        <v>176</v>
      </c>
      <c r="K274" s="145">
        <v>1618.342</v>
      </c>
      <c r="L274" s="294"/>
      <c r="M274" s="294"/>
      <c r="N274" s="294">
        <f>ROUND(L274*K274,2)</f>
        <v>0</v>
      </c>
      <c r="O274" s="294"/>
      <c r="P274" s="294"/>
      <c r="Q274" s="294"/>
      <c r="R274" s="146"/>
      <c r="T274" s="147" t="s">
        <v>5</v>
      </c>
      <c r="U274" s="44" t="s">
        <v>43</v>
      </c>
      <c r="V274" s="148">
        <v>0.198</v>
      </c>
      <c r="W274" s="148">
        <f>V274*K274</f>
        <v>320.43171600000005</v>
      </c>
      <c r="X274" s="148">
        <v>0</v>
      </c>
      <c r="Y274" s="148">
        <f>X274*K274</f>
        <v>0</v>
      </c>
      <c r="Z274" s="148">
        <v>0</v>
      </c>
      <c r="AA274" s="149">
        <f>Z274*K274</f>
        <v>0</v>
      </c>
      <c r="AR274" s="21" t="s">
        <v>172</v>
      </c>
      <c r="AT274" s="21" t="s">
        <v>168</v>
      </c>
      <c r="AU274" s="21" t="s">
        <v>135</v>
      </c>
      <c r="AY274" s="21" t="s">
        <v>167</v>
      </c>
      <c r="BE274" s="150">
        <f>IF(U274="základní",N274,0)</f>
        <v>0</v>
      </c>
      <c r="BF274" s="150">
        <f>IF(U274="snížená",N274,0)</f>
        <v>0</v>
      </c>
      <c r="BG274" s="150">
        <f>IF(U274="zákl. přenesená",N274,0)</f>
        <v>0</v>
      </c>
      <c r="BH274" s="150">
        <f>IF(U274="sníž. přenesená",N274,0)</f>
        <v>0</v>
      </c>
      <c r="BI274" s="150">
        <f>IF(U274="nulová",N274,0)</f>
        <v>0</v>
      </c>
      <c r="BJ274" s="21" t="s">
        <v>21</v>
      </c>
      <c r="BK274" s="150">
        <f>ROUND(L274*K274,2)</f>
        <v>0</v>
      </c>
      <c r="BL274" s="21" t="s">
        <v>172</v>
      </c>
      <c r="BM274" s="21" t="s">
        <v>1405</v>
      </c>
    </row>
    <row r="275" spans="2:65" s="1" customFormat="1" ht="22.5" customHeight="1">
      <c r="B275" s="141"/>
      <c r="C275" s="142" t="s">
        <v>288</v>
      </c>
      <c r="D275" s="142" t="s">
        <v>168</v>
      </c>
      <c r="E275" s="143" t="s">
        <v>1406</v>
      </c>
      <c r="F275" s="293" t="s">
        <v>1407</v>
      </c>
      <c r="G275" s="293"/>
      <c r="H275" s="293"/>
      <c r="I275" s="293"/>
      <c r="J275" s="144" t="s">
        <v>176</v>
      </c>
      <c r="K275" s="145">
        <v>1213.757</v>
      </c>
      <c r="L275" s="294"/>
      <c r="M275" s="294"/>
      <c r="N275" s="294">
        <f>ROUND(L275*K275,2)</f>
        <v>0</v>
      </c>
      <c r="O275" s="294"/>
      <c r="P275" s="294"/>
      <c r="Q275" s="294"/>
      <c r="R275" s="146"/>
      <c r="T275" s="147" t="s">
        <v>5</v>
      </c>
      <c r="U275" s="44" t="s">
        <v>43</v>
      </c>
      <c r="V275" s="148">
        <v>2.379</v>
      </c>
      <c r="W275" s="148">
        <f>V275*K275</f>
        <v>2887.527903</v>
      </c>
      <c r="X275" s="148">
        <v>0.01046</v>
      </c>
      <c r="Y275" s="148">
        <f>X275*K275</f>
        <v>12.695898220000002</v>
      </c>
      <c r="Z275" s="148">
        <v>0</v>
      </c>
      <c r="AA275" s="149">
        <f>Z275*K275</f>
        <v>0</v>
      </c>
      <c r="AR275" s="21" t="s">
        <v>172</v>
      </c>
      <c r="AT275" s="21" t="s">
        <v>168</v>
      </c>
      <c r="AU275" s="21" t="s">
        <v>135</v>
      </c>
      <c r="AY275" s="21" t="s">
        <v>167</v>
      </c>
      <c r="BE275" s="150">
        <f>IF(U275="základní",N275,0)</f>
        <v>0</v>
      </c>
      <c r="BF275" s="150">
        <f>IF(U275="snížená",N275,0)</f>
        <v>0</v>
      </c>
      <c r="BG275" s="150">
        <f>IF(U275="zákl. přenesená",N275,0)</f>
        <v>0</v>
      </c>
      <c r="BH275" s="150">
        <f>IF(U275="sníž. přenesená",N275,0)</f>
        <v>0</v>
      </c>
      <c r="BI275" s="150">
        <f>IF(U275="nulová",N275,0)</f>
        <v>0</v>
      </c>
      <c r="BJ275" s="21" t="s">
        <v>21</v>
      </c>
      <c r="BK275" s="150">
        <f>ROUND(L275*K275,2)</f>
        <v>0</v>
      </c>
      <c r="BL275" s="21" t="s">
        <v>172</v>
      </c>
      <c r="BM275" s="21" t="s">
        <v>1408</v>
      </c>
    </row>
    <row r="276" spans="2:51" s="11" customFormat="1" ht="22.5" customHeight="1">
      <c r="B276" s="159"/>
      <c r="C276" s="160"/>
      <c r="D276" s="160"/>
      <c r="E276" s="161" t="s">
        <v>5</v>
      </c>
      <c r="F276" s="308" t="s">
        <v>1992</v>
      </c>
      <c r="G276" s="309"/>
      <c r="H276" s="309"/>
      <c r="I276" s="309"/>
      <c r="J276" s="160"/>
      <c r="K276" s="162">
        <v>4462.151</v>
      </c>
      <c r="L276" s="160"/>
      <c r="M276" s="160"/>
      <c r="N276" s="160"/>
      <c r="O276" s="160"/>
      <c r="P276" s="160"/>
      <c r="Q276" s="160"/>
      <c r="R276" s="163"/>
      <c r="T276" s="164"/>
      <c r="U276" s="160"/>
      <c r="V276" s="160"/>
      <c r="W276" s="160"/>
      <c r="X276" s="160"/>
      <c r="Y276" s="160"/>
      <c r="Z276" s="160"/>
      <c r="AA276" s="165"/>
      <c r="AT276" s="166" t="s">
        <v>179</v>
      </c>
      <c r="AU276" s="166" t="s">
        <v>135</v>
      </c>
      <c r="AV276" s="11" t="s">
        <v>135</v>
      </c>
      <c r="AW276" s="11" t="s">
        <v>35</v>
      </c>
      <c r="AX276" s="11" t="s">
        <v>78</v>
      </c>
      <c r="AY276" s="166" t="s">
        <v>167</v>
      </c>
    </row>
    <row r="277" spans="2:51" s="11" customFormat="1" ht="31.5" customHeight="1">
      <c r="B277" s="159"/>
      <c r="C277" s="160"/>
      <c r="D277" s="160"/>
      <c r="E277" s="161" t="s">
        <v>5</v>
      </c>
      <c r="F277" s="302" t="s">
        <v>1993</v>
      </c>
      <c r="G277" s="303"/>
      <c r="H277" s="303"/>
      <c r="I277" s="303"/>
      <c r="J277" s="160"/>
      <c r="K277" s="162">
        <v>-233.97</v>
      </c>
      <c r="L277" s="160"/>
      <c r="M277" s="160"/>
      <c r="N277" s="160"/>
      <c r="O277" s="160"/>
      <c r="P277" s="160"/>
      <c r="Q277" s="160"/>
      <c r="R277" s="163"/>
      <c r="T277" s="164"/>
      <c r="U277" s="160"/>
      <c r="V277" s="160"/>
      <c r="W277" s="160"/>
      <c r="X277" s="160"/>
      <c r="Y277" s="160"/>
      <c r="Z277" s="160"/>
      <c r="AA277" s="165"/>
      <c r="AT277" s="166" t="s">
        <v>179</v>
      </c>
      <c r="AU277" s="166" t="s">
        <v>135</v>
      </c>
      <c r="AV277" s="11" t="s">
        <v>135</v>
      </c>
      <c r="AW277" s="11" t="s">
        <v>35</v>
      </c>
      <c r="AX277" s="11" t="s">
        <v>78</v>
      </c>
      <c r="AY277" s="166" t="s">
        <v>167</v>
      </c>
    </row>
    <row r="278" spans="2:51" s="11" customFormat="1" ht="31.5" customHeight="1">
      <c r="B278" s="159"/>
      <c r="C278" s="160"/>
      <c r="D278" s="160"/>
      <c r="E278" s="161" t="s">
        <v>5</v>
      </c>
      <c r="F278" s="302" t="s">
        <v>1994</v>
      </c>
      <c r="G278" s="303"/>
      <c r="H278" s="303"/>
      <c r="I278" s="303"/>
      <c r="J278" s="160"/>
      <c r="K278" s="162">
        <v>-182.325</v>
      </c>
      <c r="L278" s="160"/>
      <c r="M278" s="160"/>
      <c r="N278" s="160"/>
      <c r="O278" s="160"/>
      <c r="P278" s="160"/>
      <c r="Q278" s="160"/>
      <c r="R278" s="163"/>
      <c r="T278" s="164"/>
      <c r="U278" s="160"/>
      <c r="V278" s="160"/>
      <c r="W278" s="160"/>
      <c r="X278" s="160"/>
      <c r="Y278" s="160"/>
      <c r="Z278" s="160"/>
      <c r="AA278" s="165"/>
      <c r="AT278" s="166" t="s">
        <v>179</v>
      </c>
      <c r="AU278" s="166" t="s">
        <v>135</v>
      </c>
      <c r="AV278" s="11" t="s">
        <v>135</v>
      </c>
      <c r="AW278" s="11" t="s">
        <v>35</v>
      </c>
      <c r="AX278" s="11" t="s">
        <v>78</v>
      </c>
      <c r="AY278" s="166" t="s">
        <v>167</v>
      </c>
    </row>
    <row r="279" spans="2:51" s="12" customFormat="1" ht="22.5" customHeight="1">
      <c r="B279" s="167"/>
      <c r="C279" s="168"/>
      <c r="D279" s="168"/>
      <c r="E279" s="169" t="s">
        <v>5</v>
      </c>
      <c r="F279" s="306" t="s">
        <v>183</v>
      </c>
      <c r="G279" s="307"/>
      <c r="H279" s="307"/>
      <c r="I279" s="307"/>
      <c r="J279" s="168"/>
      <c r="K279" s="170">
        <v>4045.856</v>
      </c>
      <c r="L279" s="168"/>
      <c r="M279" s="168"/>
      <c r="N279" s="168"/>
      <c r="O279" s="168"/>
      <c r="P279" s="168"/>
      <c r="Q279" s="168"/>
      <c r="R279" s="171"/>
      <c r="T279" s="172"/>
      <c r="U279" s="168"/>
      <c r="V279" s="168"/>
      <c r="W279" s="168"/>
      <c r="X279" s="168"/>
      <c r="Y279" s="168"/>
      <c r="Z279" s="168"/>
      <c r="AA279" s="173"/>
      <c r="AT279" s="174" t="s">
        <v>179</v>
      </c>
      <c r="AU279" s="174" t="s">
        <v>135</v>
      </c>
      <c r="AV279" s="12" t="s">
        <v>172</v>
      </c>
      <c r="AW279" s="12" t="s">
        <v>35</v>
      </c>
      <c r="AX279" s="12" t="s">
        <v>78</v>
      </c>
      <c r="AY279" s="174" t="s">
        <v>167</v>
      </c>
    </row>
    <row r="280" spans="2:51" s="10" customFormat="1" ht="22.5" customHeight="1">
      <c r="B280" s="151"/>
      <c r="C280" s="152"/>
      <c r="D280" s="152"/>
      <c r="E280" s="153" t="s">
        <v>5</v>
      </c>
      <c r="F280" s="304" t="s">
        <v>1409</v>
      </c>
      <c r="G280" s="305"/>
      <c r="H280" s="305"/>
      <c r="I280" s="305"/>
      <c r="J280" s="152"/>
      <c r="K280" s="154" t="s">
        <v>5</v>
      </c>
      <c r="L280" s="152"/>
      <c r="M280" s="152"/>
      <c r="N280" s="152"/>
      <c r="O280" s="152"/>
      <c r="P280" s="152"/>
      <c r="Q280" s="152"/>
      <c r="R280" s="155"/>
      <c r="T280" s="156"/>
      <c r="U280" s="152"/>
      <c r="V280" s="152"/>
      <c r="W280" s="152"/>
      <c r="X280" s="152"/>
      <c r="Y280" s="152"/>
      <c r="Z280" s="152"/>
      <c r="AA280" s="157"/>
      <c r="AT280" s="158" t="s">
        <v>179</v>
      </c>
      <c r="AU280" s="158" t="s">
        <v>135</v>
      </c>
      <c r="AV280" s="10" t="s">
        <v>21</v>
      </c>
      <c r="AW280" s="10" t="s">
        <v>35</v>
      </c>
      <c r="AX280" s="10" t="s">
        <v>78</v>
      </c>
      <c r="AY280" s="158" t="s">
        <v>167</v>
      </c>
    </row>
    <row r="281" spans="2:51" s="11" customFormat="1" ht="22.5" customHeight="1">
      <c r="B281" s="159"/>
      <c r="C281" s="160"/>
      <c r="D281" s="160"/>
      <c r="E281" s="161" t="s">
        <v>5</v>
      </c>
      <c r="F281" s="302" t="s">
        <v>1995</v>
      </c>
      <c r="G281" s="303"/>
      <c r="H281" s="303"/>
      <c r="I281" s="303"/>
      <c r="J281" s="160"/>
      <c r="K281" s="162">
        <v>1213.757</v>
      </c>
      <c r="L281" s="160"/>
      <c r="M281" s="160"/>
      <c r="N281" s="160"/>
      <c r="O281" s="160"/>
      <c r="P281" s="160"/>
      <c r="Q281" s="160"/>
      <c r="R281" s="163"/>
      <c r="T281" s="164"/>
      <c r="U281" s="160"/>
      <c r="V281" s="160"/>
      <c r="W281" s="160"/>
      <c r="X281" s="160"/>
      <c r="Y281" s="160"/>
      <c r="Z281" s="160"/>
      <c r="AA281" s="165"/>
      <c r="AT281" s="166" t="s">
        <v>179</v>
      </c>
      <c r="AU281" s="166" t="s">
        <v>135</v>
      </c>
      <c r="AV281" s="11" t="s">
        <v>135</v>
      </c>
      <c r="AW281" s="11" t="s">
        <v>35</v>
      </c>
      <c r="AX281" s="11" t="s">
        <v>78</v>
      </c>
      <c r="AY281" s="166" t="s">
        <v>167</v>
      </c>
    </row>
    <row r="282" spans="2:51" s="12" customFormat="1" ht="22.5" customHeight="1">
      <c r="B282" s="167"/>
      <c r="C282" s="168"/>
      <c r="D282" s="168"/>
      <c r="E282" s="169" t="s">
        <v>5</v>
      </c>
      <c r="F282" s="306" t="s">
        <v>183</v>
      </c>
      <c r="G282" s="307"/>
      <c r="H282" s="307"/>
      <c r="I282" s="307"/>
      <c r="J282" s="168"/>
      <c r="K282" s="170">
        <v>1213.757</v>
      </c>
      <c r="L282" s="168"/>
      <c r="M282" s="168"/>
      <c r="N282" s="168"/>
      <c r="O282" s="168"/>
      <c r="P282" s="168"/>
      <c r="Q282" s="168"/>
      <c r="R282" s="171"/>
      <c r="T282" s="172"/>
      <c r="U282" s="168"/>
      <c r="V282" s="168"/>
      <c r="W282" s="168"/>
      <c r="X282" s="168"/>
      <c r="Y282" s="168"/>
      <c r="Z282" s="168"/>
      <c r="AA282" s="173"/>
      <c r="AT282" s="174" t="s">
        <v>179</v>
      </c>
      <c r="AU282" s="174" t="s">
        <v>135</v>
      </c>
      <c r="AV282" s="12" t="s">
        <v>172</v>
      </c>
      <c r="AW282" s="12" t="s">
        <v>35</v>
      </c>
      <c r="AX282" s="12" t="s">
        <v>21</v>
      </c>
      <c r="AY282" s="174" t="s">
        <v>167</v>
      </c>
    </row>
    <row r="283" spans="2:65" s="1" customFormat="1" ht="31.5" customHeight="1">
      <c r="B283" s="141"/>
      <c r="C283" s="142" t="s">
        <v>295</v>
      </c>
      <c r="D283" s="142" t="s">
        <v>168</v>
      </c>
      <c r="E283" s="143" t="s">
        <v>508</v>
      </c>
      <c r="F283" s="293" t="s">
        <v>509</v>
      </c>
      <c r="G283" s="293"/>
      <c r="H283" s="293"/>
      <c r="I283" s="293"/>
      <c r="J283" s="144" t="s">
        <v>176</v>
      </c>
      <c r="K283" s="145">
        <v>25.085</v>
      </c>
      <c r="L283" s="294"/>
      <c r="M283" s="294"/>
      <c r="N283" s="294">
        <f>ROUND(L283*K283,2)</f>
        <v>0</v>
      </c>
      <c r="O283" s="294"/>
      <c r="P283" s="294"/>
      <c r="Q283" s="294"/>
      <c r="R283" s="146"/>
      <c r="T283" s="147" t="s">
        <v>5</v>
      </c>
      <c r="U283" s="44" t="s">
        <v>43</v>
      </c>
      <c r="V283" s="148">
        <v>3.14</v>
      </c>
      <c r="W283" s="148">
        <f>V283*K283</f>
        <v>78.7669</v>
      </c>
      <c r="X283" s="148">
        <v>0</v>
      </c>
      <c r="Y283" s="148">
        <f>X283*K283</f>
        <v>0</v>
      </c>
      <c r="Z283" s="148">
        <v>0</v>
      </c>
      <c r="AA283" s="149">
        <f>Z283*K283</f>
        <v>0</v>
      </c>
      <c r="AR283" s="21" t="s">
        <v>172</v>
      </c>
      <c r="AT283" s="21" t="s">
        <v>168</v>
      </c>
      <c r="AU283" s="21" t="s">
        <v>135</v>
      </c>
      <c r="AY283" s="21" t="s">
        <v>167</v>
      </c>
      <c r="BE283" s="150">
        <f>IF(U283="základní",N283,0)</f>
        <v>0</v>
      </c>
      <c r="BF283" s="150">
        <f>IF(U283="snížená",N283,0)</f>
        <v>0</v>
      </c>
      <c r="BG283" s="150">
        <f>IF(U283="zákl. přenesená",N283,0)</f>
        <v>0</v>
      </c>
      <c r="BH283" s="150">
        <f>IF(U283="sníž. přenesená",N283,0)</f>
        <v>0</v>
      </c>
      <c r="BI283" s="150">
        <f>IF(U283="nulová",N283,0)</f>
        <v>0</v>
      </c>
      <c r="BJ283" s="21" t="s">
        <v>21</v>
      </c>
      <c r="BK283" s="150">
        <f>ROUND(L283*K283,2)</f>
        <v>0</v>
      </c>
      <c r="BL283" s="21" t="s">
        <v>172</v>
      </c>
      <c r="BM283" s="21" t="s">
        <v>1410</v>
      </c>
    </row>
    <row r="284" spans="2:51" s="10" customFormat="1" ht="22.5" customHeight="1">
      <c r="B284" s="151"/>
      <c r="C284" s="152"/>
      <c r="D284" s="152"/>
      <c r="E284" s="153" t="s">
        <v>5</v>
      </c>
      <c r="F284" s="300" t="s">
        <v>1411</v>
      </c>
      <c r="G284" s="301"/>
      <c r="H284" s="301"/>
      <c r="I284" s="301"/>
      <c r="J284" s="152"/>
      <c r="K284" s="154" t="s">
        <v>5</v>
      </c>
      <c r="L284" s="152"/>
      <c r="M284" s="152"/>
      <c r="N284" s="152"/>
      <c r="O284" s="152"/>
      <c r="P284" s="152"/>
      <c r="Q284" s="152"/>
      <c r="R284" s="155"/>
      <c r="T284" s="156"/>
      <c r="U284" s="152"/>
      <c r="V284" s="152"/>
      <c r="W284" s="152"/>
      <c r="X284" s="152"/>
      <c r="Y284" s="152"/>
      <c r="Z284" s="152"/>
      <c r="AA284" s="157"/>
      <c r="AT284" s="158" t="s">
        <v>179</v>
      </c>
      <c r="AU284" s="158" t="s">
        <v>135</v>
      </c>
      <c r="AV284" s="10" t="s">
        <v>21</v>
      </c>
      <c r="AW284" s="10" t="s">
        <v>35</v>
      </c>
      <c r="AX284" s="10" t="s">
        <v>78</v>
      </c>
      <c r="AY284" s="158" t="s">
        <v>167</v>
      </c>
    </row>
    <row r="285" spans="2:51" s="11" customFormat="1" ht="22.5" customHeight="1">
      <c r="B285" s="159"/>
      <c r="C285" s="160"/>
      <c r="D285" s="160"/>
      <c r="E285" s="161" t="s">
        <v>5</v>
      </c>
      <c r="F285" s="302" t="s">
        <v>1997</v>
      </c>
      <c r="G285" s="303"/>
      <c r="H285" s="303"/>
      <c r="I285" s="303"/>
      <c r="J285" s="160"/>
      <c r="K285" s="162">
        <v>25.085</v>
      </c>
      <c r="L285" s="160"/>
      <c r="M285" s="160"/>
      <c r="N285" s="160"/>
      <c r="O285" s="160"/>
      <c r="P285" s="160"/>
      <c r="Q285" s="160"/>
      <c r="R285" s="163"/>
      <c r="T285" s="164"/>
      <c r="U285" s="160"/>
      <c r="V285" s="160"/>
      <c r="W285" s="160"/>
      <c r="X285" s="160"/>
      <c r="Y285" s="160"/>
      <c r="Z285" s="160"/>
      <c r="AA285" s="165"/>
      <c r="AT285" s="166" t="s">
        <v>179</v>
      </c>
      <c r="AU285" s="166" t="s">
        <v>135</v>
      </c>
      <c r="AV285" s="11" t="s">
        <v>135</v>
      </c>
      <c r="AW285" s="11" t="s">
        <v>35</v>
      </c>
      <c r="AX285" s="11" t="s">
        <v>21</v>
      </c>
      <c r="AY285" s="166" t="s">
        <v>167</v>
      </c>
    </row>
    <row r="286" spans="2:65" s="1" customFormat="1" ht="31.5" customHeight="1">
      <c r="B286" s="141"/>
      <c r="C286" s="142" t="s">
        <v>301</v>
      </c>
      <c r="D286" s="142" t="s">
        <v>168</v>
      </c>
      <c r="E286" s="143" t="s">
        <v>512</v>
      </c>
      <c r="F286" s="293" t="s">
        <v>513</v>
      </c>
      <c r="G286" s="293"/>
      <c r="H286" s="293"/>
      <c r="I286" s="293"/>
      <c r="J286" s="144" t="s">
        <v>176</v>
      </c>
      <c r="K286" s="145">
        <v>25.085</v>
      </c>
      <c r="L286" s="294"/>
      <c r="M286" s="294"/>
      <c r="N286" s="294">
        <f>ROUND(L286*K286,2)</f>
        <v>0</v>
      </c>
      <c r="O286" s="294"/>
      <c r="P286" s="294"/>
      <c r="Q286" s="294"/>
      <c r="R286" s="146"/>
      <c r="T286" s="147" t="s">
        <v>5</v>
      </c>
      <c r="U286" s="44" t="s">
        <v>43</v>
      </c>
      <c r="V286" s="148">
        <v>0.474</v>
      </c>
      <c r="W286" s="148">
        <f>V286*K286</f>
        <v>11.89029</v>
      </c>
      <c r="X286" s="148">
        <v>0</v>
      </c>
      <c r="Y286" s="148">
        <f>X286*K286</f>
        <v>0</v>
      </c>
      <c r="Z286" s="148">
        <v>0</v>
      </c>
      <c r="AA286" s="149">
        <f>Z286*K286</f>
        <v>0</v>
      </c>
      <c r="AR286" s="21" t="s">
        <v>172</v>
      </c>
      <c r="AT286" s="21" t="s">
        <v>168</v>
      </c>
      <c r="AU286" s="21" t="s">
        <v>135</v>
      </c>
      <c r="AY286" s="21" t="s">
        <v>167</v>
      </c>
      <c r="BE286" s="150">
        <f>IF(U286="základní",N286,0)</f>
        <v>0</v>
      </c>
      <c r="BF286" s="150">
        <f>IF(U286="snížená",N286,0)</f>
        <v>0</v>
      </c>
      <c r="BG286" s="150">
        <f>IF(U286="zákl. přenesená",N286,0)</f>
        <v>0</v>
      </c>
      <c r="BH286" s="150">
        <f>IF(U286="sníž. přenesená",N286,0)</f>
        <v>0</v>
      </c>
      <c r="BI286" s="150">
        <f>IF(U286="nulová",N286,0)</f>
        <v>0</v>
      </c>
      <c r="BJ286" s="21" t="s">
        <v>21</v>
      </c>
      <c r="BK286" s="150">
        <f>ROUND(L286*K286,2)</f>
        <v>0</v>
      </c>
      <c r="BL286" s="21" t="s">
        <v>172</v>
      </c>
      <c r="BM286" s="21" t="s">
        <v>1412</v>
      </c>
    </row>
    <row r="287" spans="2:65" s="1" customFormat="1" ht="31.5" customHeight="1">
      <c r="B287" s="141"/>
      <c r="C287" s="142" t="s">
        <v>305</v>
      </c>
      <c r="D287" s="142" t="s">
        <v>168</v>
      </c>
      <c r="E287" s="143" t="s">
        <v>1413</v>
      </c>
      <c r="F287" s="293" t="s">
        <v>1414</v>
      </c>
      <c r="G287" s="293"/>
      <c r="H287" s="293"/>
      <c r="I287" s="293"/>
      <c r="J287" s="144" t="s">
        <v>176</v>
      </c>
      <c r="K287" s="145">
        <v>33.446</v>
      </c>
      <c r="L287" s="294"/>
      <c r="M287" s="294"/>
      <c r="N287" s="294">
        <f>ROUND(L287*K287,2)</f>
        <v>0</v>
      </c>
      <c r="O287" s="294"/>
      <c r="P287" s="294"/>
      <c r="Q287" s="294"/>
      <c r="R287" s="146"/>
      <c r="T287" s="147" t="s">
        <v>5</v>
      </c>
      <c r="U287" s="44" t="s">
        <v>43</v>
      </c>
      <c r="V287" s="148">
        <v>4.627</v>
      </c>
      <c r="W287" s="148">
        <f>V287*K287</f>
        <v>154.754642</v>
      </c>
      <c r="X287" s="148">
        <v>0</v>
      </c>
      <c r="Y287" s="148">
        <f>X287*K287</f>
        <v>0</v>
      </c>
      <c r="Z287" s="148">
        <v>0</v>
      </c>
      <c r="AA287" s="149">
        <f>Z287*K287</f>
        <v>0</v>
      </c>
      <c r="AR287" s="21" t="s">
        <v>172</v>
      </c>
      <c r="AT287" s="21" t="s">
        <v>168</v>
      </c>
      <c r="AU287" s="21" t="s">
        <v>135</v>
      </c>
      <c r="AY287" s="21" t="s">
        <v>167</v>
      </c>
      <c r="BE287" s="150">
        <f>IF(U287="základní",N287,0)</f>
        <v>0</v>
      </c>
      <c r="BF287" s="150">
        <f>IF(U287="snížená",N287,0)</f>
        <v>0</v>
      </c>
      <c r="BG287" s="150">
        <f>IF(U287="zákl. přenesená",N287,0)</f>
        <v>0</v>
      </c>
      <c r="BH287" s="150">
        <f>IF(U287="sníž. přenesená",N287,0)</f>
        <v>0</v>
      </c>
      <c r="BI287" s="150">
        <f>IF(U287="nulová",N287,0)</f>
        <v>0</v>
      </c>
      <c r="BJ287" s="21" t="s">
        <v>21</v>
      </c>
      <c r="BK287" s="150">
        <f>ROUND(L287*K287,2)</f>
        <v>0</v>
      </c>
      <c r="BL287" s="21" t="s">
        <v>172</v>
      </c>
      <c r="BM287" s="21" t="s">
        <v>1415</v>
      </c>
    </row>
    <row r="288" spans="2:51" s="10" customFormat="1" ht="22.5" customHeight="1">
      <c r="B288" s="151"/>
      <c r="C288" s="152"/>
      <c r="D288" s="152"/>
      <c r="E288" s="153" t="s">
        <v>5</v>
      </c>
      <c r="F288" s="300" t="s">
        <v>1416</v>
      </c>
      <c r="G288" s="301"/>
      <c r="H288" s="301"/>
      <c r="I288" s="301"/>
      <c r="J288" s="152"/>
      <c r="K288" s="154" t="s">
        <v>5</v>
      </c>
      <c r="L288" s="152"/>
      <c r="M288" s="152"/>
      <c r="N288" s="152"/>
      <c r="O288" s="152"/>
      <c r="P288" s="152"/>
      <c r="Q288" s="152"/>
      <c r="R288" s="155"/>
      <c r="T288" s="156"/>
      <c r="U288" s="152"/>
      <c r="V288" s="152"/>
      <c r="W288" s="152"/>
      <c r="X288" s="152"/>
      <c r="Y288" s="152"/>
      <c r="Z288" s="152"/>
      <c r="AA288" s="157"/>
      <c r="AT288" s="158" t="s">
        <v>179</v>
      </c>
      <c r="AU288" s="158" t="s">
        <v>135</v>
      </c>
      <c r="AV288" s="10" t="s">
        <v>21</v>
      </c>
      <c r="AW288" s="10" t="s">
        <v>35</v>
      </c>
      <c r="AX288" s="10" t="s">
        <v>78</v>
      </c>
      <c r="AY288" s="158" t="s">
        <v>167</v>
      </c>
    </row>
    <row r="289" spans="2:51" s="11" customFormat="1" ht="22.5" customHeight="1">
      <c r="B289" s="159"/>
      <c r="C289" s="160"/>
      <c r="D289" s="160"/>
      <c r="E289" s="161" t="s">
        <v>5</v>
      </c>
      <c r="F289" s="302" t="s">
        <v>1998</v>
      </c>
      <c r="G289" s="303"/>
      <c r="H289" s="303"/>
      <c r="I289" s="303"/>
      <c r="J289" s="160"/>
      <c r="K289" s="162">
        <v>33.446</v>
      </c>
      <c r="L289" s="160"/>
      <c r="M289" s="160"/>
      <c r="N289" s="160"/>
      <c r="O289" s="160"/>
      <c r="P289" s="160"/>
      <c r="Q289" s="160"/>
      <c r="R289" s="163"/>
      <c r="T289" s="164"/>
      <c r="U289" s="160"/>
      <c r="V289" s="160"/>
      <c r="W289" s="160"/>
      <c r="X289" s="160"/>
      <c r="Y289" s="160"/>
      <c r="Z289" s="160"/>
      <c r="AA289" s="165"/>
      <c r="AT289" s="166" t="s">
        <v>179</v>
      </c>
      <c r="AU289" s="166" t="s">
        <v>135</v>
      </c>
      <c r="AV289" s="11" t="s">
        <v>135</v>
      </c>
      <c r="AW289" s="11" t="s">
        <v>35</v>
      </c>
      <c r="AX289" s="11" t="s">
        <v>21</v>
      </c>
      <c r="AY289" s="166" t="s">
        <v>167</v>
      </c>
    </row>
    <row r="290" spans="2:65" s="1" customFormat="1" ht="31.5" customHeight="1">
      <c r="B290" s="141"/>
      <c r="C290" s="142" t="s">
        <v>10</v>
      </c>
      <c r="D290" s="142" t="s">
        <v>168</v>
      </c>
      <c r="E290" s="143" t="s">
        <v>1417</v>
      </c>
      <c r="F290" s="293" t="s">
        <v>1418</v>
      </c>
      <c r="G290" s="293"/>
      <c r="H290" s="293"/>
      <c r="I290" s="293"/>
      <c r="J290" s="144" t="s">
        <v>176</v>
      </c>
      <c r="K290" s="145">
        <v>34.446</v>
      </c>
      <c r="L290" s="294"/>
      <c r="M290" s="294"/>
      <c r="N290" s="294">
        <f>ROUND(L290*K290,2)</f>
        <v>0</v>
      </c>
      <c r="O290" s="294"/>
      <c r="P290" s="294"/>
      <c r="Q290" s="294"/>
      <c r="R290" s="146"/>
      <c r="T290" s="147" t="s">
        <v>5</v>
      </c>
      <c r="U290" s="44" t="s">
        <v>43</v>
      </c>
      <c r="V290" s="148">
        <v>0.747</v>
      </c>
      <c r="W290" s="148">
        <f>V290*K290</f>
        <v>25.731161999999998</v>
      </c>
      <c r="X290" s="148">
        <v>0</v>
      </c>
      <c r="Y290" s="148">
        <f>X290*K290</f>
        <v>0</v>
      </c>
      <c r="Z290" s="148">
        <v>0</v>
      </c>
      <c r="AA290" s="149">
        <f>Z290*K290</f>
        <v>0</v>
      </c>
      <c r="AR290" s="21" t="s">
        <v>172</v>
      </c>
      <c r="AT290" s="21" t="s">
        <v>168</v>
      </c>
      <c r="AU290" s="21" t="s">
        <v>135</v>
      </c>
      <c r="AY290" s="21" t="s">
        <v>167</v>
      </c>
      <c r="BE290" s="150">
        <f>IF(U290="základní",N290,0)</f>
        <v>0</v>
      </c>
      <c r="BF290" s="150">
        <f>IF(U290="snížená",N290,0)</f>
        <v>0</v>
      </c>
      <c r="BG290" s="150">
        <f>IF(U290="zákl. přenesená",N290,0)</f>
        <v>0</v>
      </c>
      <c r="BH290" s="150">
        <f>IF(U290="sníž. přenesená",N290,0)</f>
        <v>0</v>
      </c>
      <c r="BI290" s="150">
        <f>IF(U290="nulová",N290,0)</f>
        <v>0</v>
      </c>
      <c r="BJ290" s="21" t="s">
        <v>21</v>
      </c>
      <c r="BK290" s="150">
        <f>ROUND(L290*K290,2)</f>
        <v>0</v>
      </c>
      <c r="BL290" s="21" t="s">
        <v>172</v>
      </c>
      <c r="BM290" s="21" t="s">
        <v>1999</v>
      </c>
    </row>
    <row r="291" spans="2:65" s="1" customFormat="1" ht="22.5" customHeight="1">
      <c r="B291" s="141"/>
      <c r="C291" s="142" t="s">
        <v>316</v>
      </c>
      <c r="D291" s="142" t="s">
        <v>168</v>
      </c>
      <c r="E291" s="143" t="s">
        <v>1420</v>
      </c>
      <c r="F291" s="293" t="s">
        <v>1421</v>
      </c>
      <c r="G291" s="293"/>
      <c r="H291" s="293"/>
      <c r="I291" s="293"/>
      <c r="J291" s="144" t="s">
        <v>176</v>
      </c>
      <c r="K291" s="145">
        <v>25.085</v>
      </c>
      <c r="L291" s="294"/>
      <c r="M291" s="294"/>
      <c r="N291" s="294">
        <f>ROUND(L291*K291,2)</f>
        <v>0</v>
      </c>
      <c r="O291" s="294"/>
      <c r="P291" s="294"/>
      <c r="Q291" s="294"/>
      <c r="R291" s="146"/>
      <c r="T291" s="147" t="s">
        <v>5</v>
      </c>
      <c r="U291" s="44" t="s">
        <v>43</v>
      </c>
      <c r="V291" s="148">
        <v>3.856</v>
      </c>
      <c r="W291" s="148">
        <f>V291*K291</f>
        <v>96.72776</v>
      </c>
      <c r="X291" s="148">
        <v>0.00355</v>
      </c>
      <c r="Y291" s="148">
        <f>X291*K291</f>
        <v>0.08905175000000001</v>
      </c>
      <c r="Z291" s="148">
        <v>0</v>
      </c>
      <c r="AA291" s="149">
        <f>Z291*K291</f>
        <v>0</v>
      </c>
      <c r="AR291" s="21" t="s">
        <v>172</v>
      </c>
      <c r="AT291" s="21" t="s">
        <v>168</v>
      </c>
      <c r="AU291" s="21" t="s">
        <v>135</v>
      </c>
      <c r="AY291" s="21" t="s">
        <v>167</v>
      </c>
      <c r="BE291" s="150">
        <f>IF(U291="základní",N291,0)</f>
        <v>0</v>
      </c>
      <c r="BF291" s="150">
        <f>IF(U291="snížená",N291,0)</f>
        <v>0</v>
      </c>
      <c r="BG291" s="150">
        <f>IF(U291="zákl. přenesená",N291,0)</f>
        <v>0</v>
      </c>
      <c r="BH291" s="150">
        <f>IF(U291="sníž. přenesená",N291,0)</f>
        <v>0</v>
      </c>
      <c r="BI291" s="150">
        <f>IF(U291="nulová",N291,0)</f>
        <v>0</v>
      </c>
      <c r="BJ291" s="21" t="s">
        <v>21</v>
      </c>
      <c r="BK291" s="150">
        <f>ROUND(L291*K291,2)</f>
        <v>0</v>
      </c>
      <c r="BL291" s="21" t="s">
        <v>172</v>
      </c>
      <c r="BM291" s="21" t="s">
        <v>1422</v>
      </c>
    </row>
    <row r="292" spans="2:51" s="10" customFormat="1" ht="22.5" customHeight="1">
      <c r="B292" s="151"/>
      <c r="C292" s="152"/>
      <c r="D292" s="152"/>
      <c r="E292" s="153" t="s">
        <v>5</v>
      </c>
      <c r="F292" s="300" t="s">
        <v>1423</v>
      </c>
      <c r="G292" s="301"/>
      <c r="H292" s="301"/>
      <c r="I292" s="301"/>
      <c r="J292" s="152"/>
      <c r="K292" s="154" t="s">
        <v>5</v>
      </c>
      <c r="L292" s="152"/>
      <c r="M292" s="152"/>
      <c r="N292" s="152"/>
      <c r="O292" s="152"/>
      <c r="P292" s="152"/>
      <c r="Q292" s="152"/>
      <c r="R292" s="155"/>
      <c r="T292" s="156"/>
      <c r="U292" s="152"/>
      <c r="V292" s="152"/>
      <c r="W292" s="152"/>
      <c r="X292" s="152"/>
      <c r="Y292" s="152"/>
      <c r="Z292" s="152"/>
      <c r="AA292" s="157"/>
      <c r="AT292" s="158" t="s">
        <v>179</v>
      </c>
      <c r="AU292" s="158" t="s">
        <v>135</v>
      </c>
      <c r="AV292" s="10" t="s">
        <v>21</v>
      </c>
      <c r="AW292" s="10" t="s">
        <v>35</v>
      </c>
      <c r="AX292" s="10" t="s">
        <v>78</v>
      </c>
      <c r="AY292" s="158" t="s">
        <v>167</v>
      </c>
    </row>
    <row r="293" spans="2:51" s="11" customFormat="1" ht="22.5" customHeight="1">
      <c r="B293" s="159"/>
      <c r="C293" s="160"/>
      <c r="D293" s="160"/>
      <c r="E293" s="161" t="s">
        <v>5</v>
      </c>
      <c r="F293" s="302" t="s">
        <v>1997</v>
      </c>
      <c r="G293" s="303"/>
      <c r="H293" s="303"/>
      <c r="I293" s="303"/>
      <c r="J293" s="160"/>
      <c r="K293" s="162">
        <v>25.085</v>
      </c>
      <c r="L293" s="160"/>
      <c r="M293" s="160"/>
      <c r="N293" s="160"/>
      <c r="O293" s="160"/>
      <c r="P293" s="160"/>
      <c r="Q293" s="160"/>
      <c r="R293" s="163"/>
      <c r="T293" s="164"/>
      <c r="U293" s="160"/>
      <c r="V293" s="160"/>
      <c r="W293" s="160"/>
      <c r="X293" s="160"/>
      <c r="Y293" s="160"/>
      <c r="Z293" s="160"/>
      <c r="AA293" s="165"/>
      <c r="AT293" s="166" t="s">
        <v>179</v>
      </c>
      <c r="AU293" s="166" t="s">
        <v>135</v>
      </c>
      <c r="AV293" s="11" t="s">
        <v>135</v>
      </c>
      <c r="AW293" s="11" t="s">
        <v>35</v>
      </c>
      <c r="AX293" s="11" t="s">
        <v>21</v>
      </c>
      <c r="AY293" s="166" t="s">
        <v>167</v>
      </c>
    </row>
    <row r="294" spans="2:65" s="1" customFormat="1" ht="31.5" customHeight="1">
      <c r="B294" s="141"/>
      <c r="C294" s="142" t="s">
        <v>321</v>
      </c>
      <c r="D294" s="142" t="s">
        <v>168</v>
      </c>
      <c r="E294" s="143" t="s">
        <v>1424</v>
      </c>
      <c r="F294" s="293" t="s">
        <v>1425</v>
      </c>
      <c r="G294" s="293"/>
      <c r="H294" s="293"/>
      <c r="I294" s="293"/>
      <c r="J294" s="144" t="s">
        <v>176</v>
      </c>
      <c r="K294" s="145">
        <v>121.495</v>
      </c>
      <c r="L294" s="294"/>
      <c r="M294" s="294"/>
      <c r="N294" s="294">
        <f>ROUND(L294*K294,2)</f>
        <v>0</v>
      </c>
      <c r="O294" s="294"/>
      <c r="P294" s="294"/>
      <c r="Q294" s="294"/>
      <c r="R294" s="146"/>
      <c r="T294" s="147" t="s">
        <v>5</v>
      </c>
      <c r="U294" s="44" t="s">
        <v>43</v>
      </c>
      <c r="V294" s="148">
        <v>4.967</v>
      </c>
      <c r="W294" s="148">
        <f>V294*K294</f>
        <v>603.465665</v>
      </c>
      <c r="X294" s="148">
        <v>0</v>
      </c>
      <c r="Y294" s="148">
        <f>X294*K294</f>
        <v>0</v>
      </c>
      <c r="Z294" s="148">
        <v>0</v>
      </c>
      <c r="AA294" s="149">
        <f>Z294*K294</f>
        <v>0</v>
      </c>
      <c r="AR294" s="21" t="s">
        <v>172</v>
      </c>
      <c r="AT294" s="21" t="s">
        <v>168</v>
      </c>
      <c r="AU294" s="21" t="s">
        <v>135</v>
      </c>
      <c r="AY294" s="21" t="s">
        <v>167</v>
      </c>
      <c r="BE294" s="150">
        <f>IF(U294="základní",N294,0)</f>
        <v>0</v>
      </c>
      <c r="BF294" s="150">
        <f>IF(U294="snížená",N294,0)</f>
        <v>0</v>
      </c>
      <c r="BG294" s="150">
        <f>IF(U294="zákl. přenesená",N294,0)</f>
        <v>0</v>
      </c>
      <c r="BH294" s="150">
        <f>IF(U294="sníž. přenesená",N294,0)</f>
        <v>0</v>
      </c>
      <c r="BI294" s="150">
        <f>IF(U294="nulová",N294,0)</f>
        <v>0</v>
      </c>
      <c r="BJ294" s="21" t="s">
        <v>21</v>
      </c>
      <c r="BK294" s="150">
        <f>ROUND(L294*K294,2)</f>
        <v>0</v>
      </c>
      <c r="BL294" s="21" t="s">
        <v>172</v>
      </c>
      <c r="BM294" s="21" t="s">
        <v>1426</v>
      </c>
    </row>
    <row r="295" spans="2:51" s="11" customFormat="1" ht="22.5" customHeight="1">
      <c r="B295" s="159"/>
      <c r="C295" s="160"/>
      <c r="D295" s="160"/>
      <c r="E295" s="161" t="s">
        <v>5</v>
      </c>
      <c r="F295" s="308" t="s">
        <v>2000</v>
      </c>
      <c r="G295" s="309"/>
      <c r="H295" s="309"/>
      <c r="I295" s="309"/>
      <c r="J295" s="160"/>
      <c r="K295" s="162">
        <v>121.495</v>
      </c>
      <c r="L295" s="160"/>
      <c r="M295" s="160"/>
      <c r="N295" s="160"/>
      <c r="O295" s="160"/>
      <c r="P295" s="160"/>
      <c r="Q295" s="160"/>
      <c r="R295" s="163"/>
      <c r="T295" s="164"/>
      <c r="U295" s="160"/>
      <c r="V295" s="160"/>
      <c r="W295" s="160"/>
      <c r="X295" s="160"/>
      <c r="Y295" s="160"/>
      <c r="Z295" s="160"/>
      <c r="AA295" s="165"/>
      <c r="AT295" s="166" t="s">
        <v>179</v>
      </c>
      <c r="AU295" s="166" t="s">
        <v>135</v>
      </c>
      <c r="AV295" s="11" t="s">
        <v>135</v>
      </c>
      <c r="AW295" s="11" t="s">
        <v>35</v>
      </c>
      <c r="AX295" s="11" t="s">
        <v>21</v>
      </c>
      <c r="AY295" s="166" t="s">
        <v>167</v>
      </c>
    </row>
    <row r="296" spans="2:65" s="1" customFormat="1" ht="31.5" customHeight="1">
      <c r="B296" s="141"/>
      <c r="C296" s="142" t="s">
        <v>326</v>
      </c>
      <c r="D296" s="142" t="s">
        <v>168</v>
      </c>
      <c r="E296" s="143" t="s">
        <v>248</v>
      </c>
      <c r="F296" s="293" t="s">
        <v>249</v>
      </c>
      <c r="G296" s="293"/>
      <c r="H296" s="293"/>
      <c r="I296" s="293"/>
      <c r="J296" s="144" t="s">
        <v>176</v>
      </c>
      <c r="K296" s="145">
        <v>1031.628</v>
      </c>
      <c r="L296" s="294"/>
      <c r="M296" s="294"/>
      <c r="N296" s="294">
        <f>ROUND(L296*K296,2)</f>
        <v>0</v>
      </c>
      <c r="O296" s="294"/>
      <c r="P296" s="294"/>
      <c r="Q296" s="294"/>
      <c r="R296" s="146"/>
      <c r="T296" s="147" t="s">
        <v>5</v>
      </c>
      <c r="U296" s="44" t="s">
        <v>43</v>
      </c>
      <c r="V296" s="148">
        <v>0.097</v>
      </c>
      <c r="W296" s="148">
        <f>V296*K296</f>
        <v>100.067916</v>
      </c>
      <c r="X296" s="148">
        <v>0</v>
      </c>
      <c r="Y296" s="148">
        <f>X296*K296</f>
        <v>0</v>
      </c>
      <c r="Z296" s="148">
        <v>0</v>
      </c>
      <c r="AA296" s="149">
        <f>Z296*K296</f>
        <v>0</v>
      </c>
      <c r="AR296" s="21" t="s">
        <v>172</v>
      </c>
      <c r="AT296" s="21" t="s">
        <v>168</v>
      </c>
      <c r="AU296" s="21" t="s">
        <v>135</v>
      </c>
      <c r="AY296" s="21" t="s">
        <v>167</v>
      </c>
      <c r="BE296" s="150">
        <f>IF(U296="základní",N296,0)</f>
        <v>0</v>
      </c>
      <c r="BF296" s="150">
        <f>IF(U296="snížená",N296,0)</f>
        <v>0</v>
      </c>
      <c r="BG296" s="150">
        <f>IF(U296="zákl. přenesená",N296,0)</f>
        <v>0</v>
      </c>
      <c r="BH296" s="150">
        <f>IF(U296="sníž. přenesená",N296,0)</f>
        <v>0</v>
      </c>
      <c r="BI296" s="150">
        <f>IF(U296="nulová",N296,0)</f>
        <v>0</v>
      </c>
      <c r="BJ296" s="21" t="s">
        <v>21</v>
      </c>
      <c r="BK296" s="150">
        <f>ROUND(L296*K296,2)</f>
        <v>0</v>
      </c>
      <c r="BL296" s="21" t="s">
        <v>172</v>
      </c>
      <c r="BM296" s="21" t="s">
        <v>1428</v>
      </c>
    </row>
    <row r="297" spans="2:51" s="11" customFormat="1" ht="22.5" customHeight="1">
      <c r="B297" s="159"/>
      <c r="C297" s="160"/>
      <c r="D297" s="160"/>
      <c r="E297" s="161" t="s">
        <v>5</v>
      </c>
      <c r="F297" s="308" t="s">
        <v>2001</v>
      </c>
      <c r="G297" s="309"/>
      <c r="H297" s="309"/>
      <c r="I297" s="309"/>
      <c r="J297" s="160"/>
      <c r="K297" s="162">
        <v>4462.151</v>
      </c>
      <c r="L297" s="160"/>
      <c r="M297" s="160"/>
      <c r="N297" s="160"/>
      <c r="O297" s="160"/>
      <c r="P297" s="160"/>
      <c r="Q297" s="160"/>
      <c r="R297" s="163"/>
      <c r="T297" s="164"/>
      <c r="U297" s="160"/>
      <c r="V297" s="160"/>
      <c r="W297" s="160"/>
      <c r="X297" s="160"/>
      <c r="Y297" s="160"/>
      <c r="Z297" s="160"/>
      <c r="AA297" s="165"/>
      <c r="AT297" s="166" t="s">
        <v>179</v>
      </c>
      <c r="AU297" s="166" t="s">
        <v>135</v>
      </c>
      <c r="AV297" s="11" t="s">
        <v>135</v>
      </c>
      <c r="AW297" s="11" t="s">
        <v>35</v>
      </c>
      <c r="AX297" s="11" t="s">
        <v>78</v>
      </c>
      <c r="AY297" s="166" t="s">
        <v>167</v>
      </c>
    </row>
    <row r="298" spans="2:51" s="11" customFormat="1" ht="31.5" customHeight="1">
      <c r="B298" s="159"/>
      <c r="C298" s="160"/>
      <c r="D298" s="160"/>
      <c r="E298" s="161" t="s">
        <v>5</v>
      </c>
      <c r="F298" s="302" t="s">
        <v>1993</v>
      </c>
      <c r="G298" s="303"/>
      <c r="H298" s="303"/>
      <c r="I298" s="303"/>
      <c r="J298" s="160"/>
      <c r="K298" s="162">
        <v>-233.97</v>
      </c>
      <c r="L298" s="160"/>
      <c r="M298" s="160"/>
      <c r="N298" s="160"/>
      <c r="O298" s="160"/>
      <c r="P298" s="160"/>
      <c r="Q298" s="160"/>
      <c r="R298" s="163"/>
      <c r="T298" s="164"/>
      <c r="U298" s="160"/>
      <c r="V298" s="160"/>
      <c r="W298" s="160"/>
      <c r="X298" s="160"/>
      <c r="Y298" s="160"/>
      <c r="Z298" s="160"/>
      <c r="AA298" s="165"/>
      <c r="AT298" s="166" t="s">
        <v>179</v>
      </c>
      <c r="AU298" s="166" t="s">
        <v>135</v>
      </c>
      <c r="AV298" s="11" t="s">
        <v>135</v>
      </c>
      <c r="AW298" s="11" t="s">
        <v>35</v>
      </c>
      <c r="AX298" s="11" t="s">
        <v>78</v>
      </c>
      <c r="AY298" s="166" t="s">
        <v>167</v>
      </c>
    </row>
    <row r="299" spans="2:51" s="11" customFormat="1" ht="31.5" customHeight="1">
      <c r="B299" s="159"/>
      <c r="C299" s="160"/>
      <c r="D299" s="160"/>
      <c r="E299" s="161" t="s">
        <v>5</v>
      </c>
      <c r="F299" s="302" t="s">
        <v>1994</v>
      </c>
      <c r="G299" s="303"/>
      <c r="H299" s="303"/>
      <c r="I299" s="303"/>
      <c r="J299" s="160"/>
      <c r="K299" s="162">
        <v>-182.325</v>
      </c>
      <c r="L299" s="160"/>
      <c r="M299" s="160"/>
      <c r="N299" s="160"/>
      <c r="O299" s="160"/>
      <c r="P299" s="160"/>
      <c r="Q299" s="160"/>
      <c r="R299" s="163"/>
      <c r="T299" s="164"/>
      <c r="U299" s="160"/>
      <c r="V299" s="160"/>
      <c r="W299" s="160"/>
      <c r="X299" s="160"/>
      <c r="Y299" s="160"/>
      <c r="Z299" s="160"/>
      <c r="AA299" s="165"/>
      <c r="AT299" s="166" t="s">
        <v>179</v>
      </c>
      <c r="AU299" s="166" t="s">
        <v>135</v>
      </c>
      <c r="AV299" s="11" t="s">
        <v>135</v>
      </c>
      <c r="AW299" s="11" t="s">
        <v>35</v>
      </c>
      <c r="AX299" s="11" t="s">
        <v>78</v>
      </c>
      <c r="AY299" s="166" t="s">
        <v>167</v>
      </c>
    </row>
    <row r="300" spans="2:51" s="13" customFormat="1" ht="22.5" customHeight="1">
      <c r="B300" s="186"/>
      <c r="C300" s="187"/>
      <c r="D300" s="187"/>
      <c r="E300" s="188" t="s">
        <v>5</v>
      </c>
      <c r="F300" s="337" t="s">
        <v>1278</v>
      </c>
      <c r="G300" s="338"/>
      <c r="H300" s="338"/>
      <c r="I300" s="338"/>
      <c r="J300" s="187"/>
      <c r="K300" s="189">
        <v>4045.856</v>
      </c>
      <c r="L300" s="187"/>
      <c r="M300" s="187"/>
      <c r="N300" s="187"/>
      <c r="O300" s="187"/>
      <c r="P300" s="187"/>
      <c r="Q300" s="187"/>
      <c r="R300" s="190"/>
      <c r="T300" s="191"/>
      <c r="U300" s="187"/>
      <c r="V300" s="187"/>
      <c r="W300" s="187"/>
      <c r="X300" s="187"/>
      <c r="Y300" s="187"/>
      <c r="Z300" s="187"/>
      <c r="AA300" s="192"/>
      <c r="AT300" s="193" t="s">
        <v>179</v>
      </c>
      <c r="AU300" s="193" t="s">
        <v>135</v>
      </c>
      <c r="AV300" s="13" t="s">
        <v>184</v>
      </c>
      <c r="AW300" s="13" t="s">
        <v>35</v>
      </c>
      <c r="AX300" s="13" t="s">
        <v>78</v>
      </c>
      <c r="AY300" s="193" t="s">
        <v>167</v>
      </c>
    </row>
    <row r="301" spans="2:51" s="11" customFormat="1" ht="22.5" customHeight="1">
      <c r="B301" s="159"/>
      <c r="C301" s="160"/>
      <c r="D301" s="160"/>
      <c r="E301" s="161" t="s">
        <v>5</v>
      </c>
      <c r="F301" s="302" t="s">
        <v>2002</v>
      </c>
      <c r="G301" s="303"/>
      <c r="H301" s="303"/>
      <c r="I301" s="303"/>
      <c r="J301" s="160"/>
      <c r="K301" s="162">
        <v>-2919.731</v>
      </c>
      <c r="L301" s="160"/>
      <c r="M301" s="160"/>
      <c r="N301" s="160"/>
      <c r="O301" s="160"/>
      <c r="P301" s="160"/>
      <c r="Q301" s="160"/>
      <c r="R301" s="163"/>
      <c r="T301" s="164"/>
      <c r="U301" s="160"/>
      <c r="V301" s="160"/>
      <c r="W301" s="160"/>
      <c r="X301" s="160"/>
      <c r="Y301" s="160"/>
      <c r="Z301" s="160"/>
      <c r="AA301" s="165"/>
      <c r="AT301" s="166" t="s">
        <v>179</v>
      </c>
      <c r="AU301" s="166" t="s">
        <v>135</v>
      </c>
      <c r="AV301" s="11" t="s">
        <v>135</v>
      </c>
      <c r="AW301" s="11" t="s">
        <v>35</v>
      </c>
      <c r="AX301" s="11" t="s">
        <v>78</v>
      </c>
      <c r="AY301" s="166" t="s">
        <v>167</v>
      </c>
    </row>
    <row r="302" spans="2:51" s="11" customFormat="1" ht="22.5" customHeight="1">
      <c r="B302" s="159"/>
      <c r="C302" s="160"/>
      <c r="D302" s="160"/>
      <c r="E302" s="161" t="s">
        <v>5</v>
      </c>
      <c r="F302" s="302" t="s">
        <v>2003</v>
      </c>
      <c r="G302" s="303"/>
      <c r="H302" s="303"/>
      <c r="I302" s="303"/>
      <c r="J302" s="160"/>
      <c r="K302" s="162">
        <v>-94.497</v>
      </c>
      <c r="L302" s="160"/>
      <c r="M302" s="160"/>
      <c r="N302" s="160"/>
      <c r="O302" s="160"/>
      <c r="P302" s="160"/>
      <c r="Q302" s="160"/>
      <c r="R302" s="163"/>
      <c r="T302" s="164"/>
      <c r="U302" s="160"/>
      <c r="V302" s="160"/>
      <c r="W302" s="160"/>
      <c r="X302" s="160"/>
      <c r="Y302" s="160"/>
      <c r="Z302" s="160"/>
      <c r="AA302" s="165"/>
      <c r="AT302" s="166" t="s">
        <v>179</v>
      </c>
      <c r="AU302" s="166" t="s">
        <v>135</v>
      </c>
      <c r="AV302" s="11" t="s">
        <v>135</v>
      </c>
      <c r="AW302" s="11" t="s">
        <v>35</v>
      </c>
      <c r="AX302" s="11" t="s">
        <v>78</v>
      </c>
      <c r="AY302" s="166" t="s">
        <v>167</v>
      </c>
    </row>
    <row r="303" spans="2:51" s="13" customFormat="1" ht="22.5" customHeight="1">
      <c r="B303" s="186"/>
      <c r="C303" s="187"/>
      <c r="D303" s="187"/>
      <c r="E303" s="188" t="s">
        <v>5</v>
      </c>
      <c r="F303" s="337" t="s">
        <v>1278</v>
      </c>
      <c r="G303" s="338"/>
      <c r="H303" s="338"/>
      <c r="I303" s="338"/>
      <c r="J303" s="187"/>
      <c r="K303" s="189">
        <v>-3014.228</v>
      </c>
      <c r="L303" s="187"/>
      <c r="M303" s="187"/>
      <c r="N303" s="187"/>
      <c r="O303" s="187"/>
      <c r="P303" s="187"/>
      <c r="Q303" s="187"/>
      <c r="R303" s="190"/>
      <c r="T303" s="191"/>
      <c r="U303" s="187"/>
      <c r="V303" s="187"/>
      <c r="W303" s="187"/>
      <c r="X303" s="187"/>
      <c r="Y303" s="187"/>
      <c r="Z303" s="187"/>
      <c r="AA303" s="192"/>
      <c r="AT303" s="193" t="s">
        <v>179</v>
      </c>
      <c r="AU303" s="193" t="s">
        <v>135</v>
      </c>
      <c r="AV303" s="13" t="s">
        <v>184</v>
      </c>
      <c r="AW303" s="13" t="s">
        <v>35</v>
      </c>
      <c r="AX303" s="13" t="s">
        <v>78</v>
      </c>
      <c r="AY303" s="193" t="s">
        <v>167</v>
      </c>
    </row>
    <row r="304" spans="2:51" s="12" customFormat="1" ht="22.5" customHeight="1">
      <c r="B304" s="167"/>
      <c r="C304" s="168"/>
      <c r="D304" s="168"/>
      <c r="E304" s="169" t="s">
        <v>5</v>
      </c>
      <c r="F304" s="306" t="s">
        <v>183</v>
      </c>
      <c r="G304" s="307"/>
      <c r="H304" s="307"/>
      <c r="I304" s="307"/>
      <c r="J304" s="168"/>
      <c r="K304" s="170">
        <v>1031.628</v>
      </c>
      <c r="L304" s="168"/>
      <c r="M304" s="168"/>
      <c r="N304" s="168"/>
      <c r="O304" s="168"/>
      <c r="P304" s="168"/>
      <c r="Q304" s="168"/>
      <c r="R304" s="171"/>
      <c r="T304" s="172"/>
      <c r="U304" s="168"/>
      <c r="V304" s="168"/>
      <c r="W304" s="168"/>
      <c r="X304" s="168"/>
      <c r="Y304" s="168"/>
      <c r="Z304" s="168"/>
      <c r="AA304" s="173"/>
      <c r="AT304" s="174" t="s">
        <v>179</v>
      </c>
      <c r="AU304" s="174" t="s">
        <v>135</v>
      </c>
      <c r="AV304" s="12" t="s">
        <v>172</v>
      </c>
      <c r="AW304" s="12" t="s">
        <v>35</v>
      </c>
      <c r="AX304" s="12" t="s">
        <v>21</v>
      </c>
      <c r="AY304" s="174" t="s">
        <v>167</v>
      </c>
    </row>
    <row r="305" spans="2:65" s="1" customFormat="1" ht="31.5" customHeight="1">
      <c r="B305" s="141"/>
      <c r="C305" s="142" t="s">
        <v>331</v>
      </c>
      <c r="D305" s="142" t="s">
        <v>168</v>
      </c>
      <c r="E305" s="143" t="s">
        <v>1432</v>
      </c>
      <c r="F305" s="293" t="s">
        <v>1433</v>
      </c>
      <c r="G305" s="293"/>
      <c r="H305" s="293"/>
      <c r="I305" s="293"/>
      <c r="J305" s="144" t="s">
        <v>176</v>
      </c>
      <c r="K305" s="145">
        <v>1031.628</v>
      </c>
      <c r="L305" s="294"/>
      <c r="M305" s="294"/>
      <c r="N305" s="294">
        <f>ROUND(L305*K305,2)</f>
        <v>0</v>
      </c>
      <c r="O305" s="294"/>
      <c r="P305" s="294"/>
      <c r="Q305" s="294"/>
      <c r="R305" s="146"/>
      <c r="T305" s="147" t="s">
        <v>5</v>
      </c>
      <c r="U305" s="44" t="s">
        <v>43</v>
      </c>
      <c r="V305" s="148">
        <v>0.011</v>
      </c>
      <c r="W305" s="148">
        <f>V305*K305</f>
        <v>11.347907999999999</v>
      </c>
      <c r="X305" s="148">
        <v>0</v>
      </c>
      <c r="Y305" s="148">
        <f>X305*K305</f>
        <v>0</v>
      </c>
      <c r="Z305" s="148">
        <v>0</v>
      </c>
      <c r="AA305" s="149">
        <f>Z305*K305</f>
        <v>0</v>
      </c>
      <c r="AR305" s="21" t="s">
        <v>172</v>
      </c>
      <c r="AT305" s="21" t="s">
        <v>168</v>
      </c>
      <c r="AU305" s="21" t="s">
        <v>135</v>
      </c>
      <c r="AY305" s="21" t="s">
        <v>167</v>
      </c>
      <c r="BE305" s="150">
        <f>IF(U305="základní",N305,0)</f>
        <v>0</v>
      </c>
      <c r="BF305" s="150">
        <f>IF(U305="snížená",N305,0)</f>
        <v>0</v>
      </c>
      <c r="BG305" s="150">
        <f>IF(U305="zákl. přenesená",N305,0)</f>
        <v>0</v>
      </c>
      <c r="BH305" s="150">
        <f>IF(U305="sníž. přenesená",N305,0)</f>
        <v>0</v>
      </c>
      <c r="BI305" s="150">
        <f>IF(U305="nulová",N305,0)</f>
        <v>0</v>
      </c>
      <c r="BJ305" s="21" t="s">
        <v>21</v>
      </c>
      <c r="BK305" s="150">
        <f>ROUND(L305*K305,2)</f>
        <v>0</v>
      </c>
      <c r="BL305" s="21" t="s">
        <v>172</v>
      </c>
      <c r="BM305" s="21" t="s">
        <v>1434</v>
      </c>
    </row>
    <row r="306" spans="2:65" s="1" customFormat="1" ht="22.5" customHeight="1">
      <c r="B306" s="141"/>
      <c r="C306" s="142" t="s">
        <v>335</v>
      </c>
      <c r="D306" s="142" t="s">
        <v>168</v>
      </c>
      <c r="E306" s="143" t="s">
        <v>1435</v>
      </c>
      <c r="F306" s="293" t="s">
        <v>1436</v>
      </c>
      <c r="G306" s="293"/>
      <c r="H306" s="293"/>
      <c r="I306" s="293"/>
      <c r="J306" s="144" t="s">
        <v>176</v>
      </c>
      <c r="K306" s="145">
        <v>1031.628</v>
      </c>
      <c r="L306" s="294"/>
      <c r="M306" s="294"/>
      <c r="N306" s="294">
        <f>ROUND(L306*K306,2)</f>
        <v>0</v>
      </c>
      <c r="O306" s="294"/>
      <c r="P306" s="294"/>
      <c r="Q306" s="294"/>
      <c r="R306" s="146"/>
      <c r="T306" s="147" t="s">
        <v>5</v>
      </c>
      <c r="U306" s="44" t="s">
        <v>43</v>
      </c>
      <c r="V306" s="148">
        <v>0.097</v>
      </c>
      <c r="W306" s="148">
        <f>V306*K306</f>
        <v>100.067916</v>
      </c>
      <c r="X306" s="148">
        <v>0</v>
      </c>
      <c r="Y306" s="148">
        <f>X306*K306</f>
        <v>0</v>
      </c>
      <c r="Z306" s="148">
        <v>0</v>
      </c>
      <c r="AA306" s="149">
        <f>Z306*K306</f>
        <v>0</v>
      </c>
      <c r="AR306" s="21" t="s">
        <v>172</v>
      </c>
      <c r="AT306" s="21" t="s">
        <v>168</v>
      </c>
      <c r="AU306" s="21" t="s">
        <v>135</v>
      </c>
      <c r="AY306" s="21" t="s">
        <v>167</v>
      </c>
      <c r="BE306" s="150">
        <f>IF(U306="základní",N306,0)</f>
        <v>0</v>
      </c>
      <c r="BF306" s="150">
        <f>IF(U306="snížená",N306,0)</f>
        <v>0</v>
      </c>
      <c r="BG306" s="150">
        <f>IF(U306="zákl. přenesená",N306,0)</f>
        <v>0</v>
      </c>
      <c r="BH306" s="150">
        <f>IF(U306="sníž. přenesená",N306,0)</f>
        <v>0</v>
      </c>
      <c r="BI306" s="150">
        <f>IF(U306="nulová",N306,0)</f>
        <v>0</v>
      </c>
      <c r="BJ306" s="21" t="s">
        <v>21</v>
      </c>
      <c r="BK306" s="150">
        <f>ROUND(L306*K306,2)</f>
        <v>0</v>
      </c>
      <c r="BL306" s="21" t="s">
        <v>172</v>
      </c>
      <c r="BM306" s="21" t="s">
        <v>1437</v>
      </c>
    </row>
    <row r="307" spans="2:65" s="1" customFormat="1" ht="31.5" customHeight="1">
      <c r="B307" s="141"/>
      <c r="C307" s="142" t="s">
        <v>340</v>
      </c>
      <c r="D307" s="142" t="s">
        <v>168</v>
      </c>
      <c r="E307" s="143" t="s">
        <v>1438</v>
      </c>
      <c r="F307" s="293" t="s">
        <v>1439</v>
      </c>
      <c r="G307" s="293"/>
      <c r="H307" s="293"/>
      <c r="I307" s="293"/>
      <c r="J307" s="144" t="s">
        <v>199</v>
      </c>
      <c r="K307" s="145">
        <v>8301.768</v>
      </c>
      <c r="L307" s="294"/>
      <c r="M307" s="294"/>
      <c r="N307" s="294">
        <f>ROUND(L307*K307,2)</f>
        <v>0</v>
      </c>
      <c r="O307" s="294"/>
      <c r="P307" s="294"/>
      <c r="Q307" s="294"/>
      <c r="R307" s="146"/>
      <c r="T307" s="147" t="s">
        <v>5</v>
      </c>
      <c r="U307" s="44" t="s">
        <v>43</v>
      </c>
      <c r="V307" s="148">
        <v>0.236</v>
      </c>
      <c r="W307" s="148">
        <f>V307*K307</f>
        <v>1959.217248</v>
      </c>
      <c r="X307" s="148">
        <v>0.00084</v>
      </c>
      <c r="Y307" s="148">
        <f>X307*K307</f>
        <v>6.97348512</v>
      </c>
      <c r="Z307" s="148">
        <v>0</v>
      </c>
      <c r="AA307" s="149">
        <f>Z307*K307</f>
        <v>0</v>
      </c>
      <c r="AR307" s="21" t="s">
        <v>172</v>
      </c>
      <c r="AT307" s="21" t="s">
        <v>168</v>
      </c>
      <c r="AU307" s="21" t="s">
        <v>135</v>
      </c>
      <c r="AY307" s="21" t="s">
        <v>167</v>
      </c>
      <c r="BE307" s="150">
        <f>IF(U307="základní",N307,0)</f>
        <v>0</v>
      </c>
      <c r="BF307" s="150">
        <f>IF(U307="snížená",N307,0)</f>
        <v>0</v>
      </c>
      <c r="BG307" s="150">
        <f>IF(U307="zákl. přenesená",N307,0)</f>
        <v>0</v>
      </c>
      <c r="BH307" s="150">
        <f>IF(U307="sníž. přenesená",N307,0)</f>
        <v>0</v>
      </c>
      <c r="BI307" s="150">
        <f>IF(U307="nulová",N307,0)</f>
        <v>0</v>
      </c>
      <c r="BJ307" s="21" t="s">
        <v>21</v>
      </c>
      <c r="BK307" s="150">
        <f>ROUND(L307*K307,2)</f>
        <v>0</v>
      </c>
      <c r="BL307" s="21" t="s">
        <v>172</v>
      </c>
      <c r="BM307" s="21" t="s">
        <v>1440</v>
      </c>
    </row>
    <row r="308" spans="2:51" s="10" customFormat="1" ht="22.5" customHeight="1">
      <c r="B308" s="151"/>
      <c r="C308" s="152"/>
      <c r="D308" s="152"/>
      <c r="E308" s="153" t="s">
        <v>5</v>
      </c>
      <c r="F308" s="300" t="s">
        <v>1927</v>
      </c>
      <c r="G308" s="301"/>
      <c r="H308" s="301"/>
      <c r="I308" s="301"/>
      <c r="J308" s="152"/>
      <c r="K308" s="154" t="s">
        <v>5</v>
      </c>
      <c r="L308" s="152"/>
      <c r="M308" s="152"/>
      <c r="N308" s="152"/>
      <c r="O308" s="152"/>
      <c r="P308" s="152"/>
      <c r="Q308" s="152"/>
      <c r="R308" s="155"/>
      <c r="T308" s="156"/>
      <c r="U308" s="152"/>
      <c r="V308" s="152"/>
      <c r="W308" s="152"/>
      <c r="X308" s="152"/>
      <c r="Y308" s="152"/>
      <c r="Z308" s="152"/>
      <c r="AA308" s="157"/>
      <c r="AT308" s="158" t="s">
        <v>179</v>
      </c>
      <c r="AU308" s="158" t="s">
        <v>135</v>
      </c>
      <c r="AV308" s="10" t="s">
        <v>21</v>
      </c>
      <c r="AW308" s="10" t="s">
        <v>35</v>
      </c>
      <c r="AX308" s="10" t="s">
        <v>78</v>
      </c>
      <c r="AY308" s="158" t="s">
        <v>167</v>
      </c>
    </row>
    <row r="309" spans="2:51" s="11" customFormat="1" ht="22.5" customHeight="1">
      <c r="B309" s="159"/>
      <c r="C309" s="160"/>
      <c r="D309" s="160"/>
      <c r="E309" s="161" t="s">
        <v>5</v>
      </c>
      <c r="F309" s="302" t="s">
        <v>2004</v>
      </c>
      <c r="G309" s="303"/>
      <c r="H309" s="303"/>
      <c r="I309" s="303"/>
      <c r="J309" s="160"/>
      <c r="K309" s="162">
        <v>2486.4</v>
      </c>
      <c r="L309" s="160"/>
      <c r="M309" s="160"/>
      <c r="N309" s="160"/>
      <c r="O309" s="160"/>
      <c r="P309" s="160"/>
      <c r="Q309" s="160"/>
      <c r="R309" s="163"/>
      <c r="T309" s="164"/>
      <c r="U309" s="160"/>
      <c r="V309" s="160"/>
      <c r="W309" s="160"/>
      <c r="X309" s="160"/>
      <c r="Y309" s="160"/>
      <c r="Z309" s="160"/>
      <c r="AA309" s="165"/>
      <c r="AT309" s="166" t="s">
        <v>179</v>
      </c>
      <c r="AU309" s="166" t="s">
        <v>135</v>
      </c>
      <c r="AV309" s="11" t="s">
        <v>135</v>
      </c>
      <c r="AW309" s="11" t="s">
        <v>35</v>
      </c>
      <c r="AX309" s="11" t="s">
        <v>78</v>
      </c>
      <c r="AY309" s="166" t="s">
        <v>167</v>
      </c>
    </row>
    <row r="310" spans="2:51" s="13" customFormat="1" ht="22.5" customHeight="1">
      <c r="B310" s="186"/>
      <c r="C310" s="187"/>
      <c r="D310" s="187"/>
      <c r="E310" s="188" t="s">
        <v>5</v>
      </c>
      <c r="F310" s="337" t="s">
        <v>1278</v>
      </c>
      <c r="G310" s="338"/>
      <c r="H310" s="338"/>
      <c r="I310" s="338"/>
      <c r="J310" s="187"/>
      <c r="K310" s="189">
        <v>2486.4</v>
      </c>
      <c r="L310" s="187"/>
      <c r="M310" s="187"/>
      <c r="N310" s="187"/>
      <c r="O310" s="187"/>
      <c r="P310" s="187"/>
      <c r="Q310" s="187"/>
      <c r="R310" s="190"/>
      <c r="T310" s="191"/>
      <c r="U310" s="187"/>
      <c r="V310" s="187"/>
      <c r="W310" s="187"/>
      <c r="X310" s="187"/>
      <c r="Y310" s="187"/>
      <c r="Z310" s="187"/>
      <c r="AA310" s="192"/>
      <c r="AT310" s="193" t="s">
        <v>179</v>
      </c>
      <c r="AU310" s="193" t="s">
        <v>135</v>
      </c>
      <c r="AV310" s="13" t="s">
        <v>184</v>
      </c>
      <c r="AW310" s="13" t="s">
        <v>35</v>
      </c>
      <c r="AX310" s="13" t="s">
        <v>78</v>
      </c>
      <c r="AY310" s="193" t="s">
        <v>167</v>
      </c>
    </row>
    <row r="311" spans="2:51" s="10" customFormat="1" ht="22.5" customHeight="1">
      <c r="B311" s="151"/>
      <c r="C311" s="152"/>
      <c r="D311" s="152"/>
      <c r="E311" s="153" t="s">
        <v>5</v>
      </c>
      <c r="F311" s="304" t="s">
        <v>1929</v>
      </c>
      <c r="G311" s="305"/>
      <c r="H311" s="305"/>
      <c r="I311" s="305"/>
      <c r="J311" s="152"/>
      <c r="K311" s="154" t="s">
        <v>5</v>
      </c>
      <c r="L311" s="152"/>
      <c r="M311" s="152"/>
      <c r="N311" s="152"/>
      <c r="O311" s="152"/>
      <c r="P311" s="152"/>
      <c r="Q311" s="152"/>
      <c r="R311" s="155"/>
      <c r="T311" s="156"/>
      <c r="U311" s="152"/>
      <c r="V311" s="152"/>
      <c r="W311" s="152"/>
      <c r="X311" s="152"/>
      <c r="Y311" s="152"/>
      <c r="Z311" s="152"/>
      <c r="AA311" s="157"/>
      <c r="AT311" s="158" t="s">
        <v>179</v>
      </c>
      <c r="AU311" s="158" t="s">
        <v>135</v>
      </c>
      <c r="AV311" s="10" t="s">
        <v>21</v>
      </c>
      <c r="AW311" s="10" t="s">
        <v>35</v>
      </c>
      <c r="AX311" s="10" t="s">
        <v>78</v>
      </c>
      <c r="AY311" s="158" t="s">
        <v>167</v>
      </c>
    </row>
    <row r="312" spans="2:51" s="11" customFormat="1" ht="22.5" customHeight="1">
      <c r="B312" s="159"/>
      <c r="C312" s="160"/>
      <c r="D312" s="160"/>
      <c r="E312" s="161" t="s">
        <v>5</v>
      </c>
      <c r="F312" s="302" t="s">
        <v>2005</v>
      </c>
      <c r="G312" s="303"/>
      <c r="H312" s="303"/>
      <c r="I312" s="303"/>
      <c r="J312" s="160"/>
      <c r="K312" s="162">
        <v>221.544</v>
      </c>
      <c r="L312" s="160"/>
      <c r="M312" s="160"/>
      <c r="N312" s="160"/>
      <c r="O312" s="160"/>
      <c r="P312" s="160"/>
      <c r="Q312" s="160"/>
      <c r="R312" s="163"/>
      <c r="T312" s="164"/>
      <c r="U312" s="160"/>
      <c r="V312" s="160"/>
      <c r="W312" s="160"/>
      <c r="X312" s="160"/>
      <c r="Y312" s="160"/>
      <c r="Z312" s="160"/>
      <c r="AA312" s="165"/>
      <c r="AT312" s="166" t="s">
        <v>179</v>
      </c>
      <c r="AU312" s="166" t="s">
        <v>135</v>
      </c>
      <c r="AV312" s="11" t="s">
        <v>135</v>
      </c>
      <c r="AW312" s="11" t="s">
        <v>35</v>
      </c>
      <c r="AX312" s="11" t="s">
        <v>78</v>
      </c>
      <c r="AY312" s="166" t="s">
        <v>167</v>
      </c>
    </row>
    <row r="313" spans="2:51" s="11" customFormat="1" ht="22.5" customHeight="1">
      <c r="B313" s="159"/>
      <c r="C313" s="160"/>
      <c r="D313" s="160"/>
      <c r="E313" s="161" t="s">
        <v>5</v>
      </c>
      <c r="F313" s="302" t="s">
        <v>2006</v>
      </c>
      <c r="G313" s="303"/>
      <c r="H313" s="303"/>
      <c r="I313" s="303"/>
      <c r="J313" s="160"/>
      <c r="K313" s="162">
        <v>295.26</v>
      </c>
      <c r="L313" s="160"/>
      <c r="M313" s="160"/>
      <c r="N313" s="160"/>
      <c r="O313" s="160"/>
      <c r="P313" s="160"/>
      <c r="Q313" s="160"/>
      <c r="R313" s="163"/>
      <c r="T313" s="164"/>
      <c r="U313" s="160"/>
      <c r="V313" s="160"/>
      <c r="W313" s="160"/>
      <c r="X313" s="160"/>
      <c r="Y313" s="160"/>
      <c r="Z313" s="160"/>
      <c r="AA313" s="165"/>
      <c r="AT313" s="166" t="s">
        <v>179</v>
      </c>
      <c r="AU313" s="166" t="s">
        <v>135</v>
      </c>
      <c r="AV313" s="11" t="s">
        <v>135</v>
      </c>
      <c r="AW313" s="11" t="s">
        <v>35</v>
      </c>
      <c r="AX313" s="11" t="s">
        <v>78</v>
      </c>
      <c r="AY313" s="166" t="s">
        <v>167</v>
      </c>
    </row>
    <row r="314" spans="2:51" s="11" customFormat="1" ht="22.5" customHeight="1">
      <c r="B314" s="159"/>
      <c r="C314" s="160"/>
      <c r="D314" s="160"/>
      <c r="E314" s="161" t="s">
        <v>5</v>
      </c>
      <c r="F314" s="302" t="s">
        <v>2007</v>
      </c>
      <c r="G314" s="303"/>
      <c r="H314" s="303"/>
      <c r="I314" s="303"/>
      <c r="J314" s="160"/>
      <c r="K314" s="162">
        <v>225</v>
      </c>
      <c r="L314" s="160"/>
      <c r="M314" s="160"/>
      <c r="N314" s="160"/>
      <c r="O314" s="160"/>
      <c r="P314" s="160"/>
      <c r="Q314" s="160"/>
      <c r="R314" s="163"/>
      <c r="T314" s="164"/>
      <c r="U314" s="160"/>
      <c r="V314" s="160"/>
      <c r="W314" s="160"/>
      <c r="X314" s="160"/>
      <c r="Y314" s="160"/>
      <c r="Z314" s="160"/>
      <c r="AA314" s="165"/>
      <c r="AT314" s="166" t="s">
        <v>179</v>
      </c>
      <c r="AU314" s="166" t="s">
        <v>135</v>
      </c>
      <c r="AV314" s="11" t="s">
        <v>135</v>
      </c>
      <c r="AW314" s="11" t="s">
        <v>35</v>
      </c>
      <c r="AX314" s="11" t="s">
        <v>78</v>
      </c>
      <c r="AY314" s="166" t="s">
        <v>167</v>
      </c>
    </row>
    <row r="315" spans="2:51" s="11" customFormat="1" ht="22.5" customHeight="1">
      <c r="B315" s="159"/>
      <c r="C315" s="160"/>
      <c r="D315" s="160"/>
      <c r="E315" s="161" t="s">
        <v>5</v>
      </c>
      <c r="F315" s="302" t="s">
        <v>2008</v>
      </c>
      <c r="G315" s="303"/>
      <c r="H315" s="303"/>
      <c r="I315" s="303"/>
      <c r="J315" s="160"/>
      <c r="K315" s="162">
        <v>204</v>
      </c>
      <c r="L315" s="160"/>
      <c r="M315" s="160"/>
      <c r="N315" s="160"/>
      <c r="O315" s="160"/>
      <c r="P315" s="160"/>
      <c r="Q315" s="160"/>
      <c r="R315" s="163"/>
      <c r="T315" s="164"/>
      <c r="U315" s="160"/>
      <c r="V315" s="160"/>
      <c r="W315" s="160"/>
      <c r="X315" s="160"/>
      <c r="Y315" s="160"/>
      <c r="Z315" s="160"/>
      <c r="AA315" s="165"/>
      <c r="AT315" s="166" t="s">
        <v>179</v>
      </c>
      <c r="AU315" s="166" t="s">
        <v>135</v>
      </c>
      <c r="AV315" s="11" t="s">
        <v>135</v>
      </c>
      <c r="AW315" s="11" t="s">
        <v>35</v>
      </c>
      <c r="AX315" s="11" t="s">
        <v>78</v>
      </c>
      <c r="AY315" s="166" t="s">
        <v>167</v>
      </c>
    </row>
    <row r="316" spans="2:51" s="11" customFormat="1" ht="22.5" customHeight="1">
      <c r="B316" s="159"/>
      <c r="C316" s="160"/>
      <c r="D316" s="160"/>
      <c r="E316" s="161" t="s">
        <v>5</v>
      </c>
      <c r="F316" s="302" t="s">
        <v>2009</v>
      </c>
      <c r="G316" s="303"/>
      <c r="H316" s="303"/>
      <c r="I316" s="303"/>
      <c r="J316" s="160"/>
      <c r="K316" s="162">
        <v>180</v>
      </c>
      <c r="L316" s="160"/>
      <c r="M316" s="160"/>
      <c r="N316" s="160"/>
      <c r="O316" s="160"/>
      <c r="P316" s="160"/>
      <c r="Q316" s="160"/>
      <c r="R316" s="163"/>
      <c r="T316" s="164"/>
      <c r="U316" s="160"/>
      <c r="V316" s="160"/>
      <c r="W316" s="160"/>
      <c r="X316" s="160"/>
      <c r="Y316" s="160"/>
      <c r="Z316" s="160"/>
      <c r="AA316" s="165"/>
      <c r="AT316" s="166" t="s">
        <v>179</v>
      </c>
      <c r="AU316" s="166" t="s">
        <v>135</v>
      </c>
      <c r="AV316" s="11" t="s">
        <v>135</v>
      </c>
      <c r="AW316" s="11" t="s">
        <v>35</v>
      </c>
      <c r="AX316" s="11" t="s">
        <v>78</v>
      </c>
      <c r="AY316" s="166" t="s">
        <v>167</v>
      </c>
    </row>
    <row r="317" spans="2:51" s="11" customFormat="1" ht="22.5" customHeight="1">
      <c r="B317" s="159"/>
      <c r="C317" s="160"/>
      <c r="D317" s="160"/>
      <c r="E317" s="161" t="s">
        <v>5</v>
      </c>
      <c r="F317" s="302" t="s">
        <v>1867</v>
      </c>
      <c r="G317" s="303"/>
      <c r="H317" s="303"/>
      <c r="I317" s="303"/>
      <c r="J317" s="160"/>
      <c r="K317" s="162">
        <v>225</v>
      </c>
      <c r="L317" s="160"/>
      <c r="M317" s="160"/>
      <c r="N317" s="160"/>
      <c r="O317" s="160"/>
      <c r="P317" s="160"/>
      <c r="Q317" s="160"/>
      <c r="R317" s="163"/>
      <c r="T317" s="164"/>
      <c r="U317" s="160"/>
      <c r="V317" s="160"/>
      <c r="W317" s="160"/>
      <c r="X317" s="160"/>
      <c r="Y317" s="160"/>
      <c r="Z317" s="160"/>
      <c r="AA317" s="165"/>
      <c r="AT317" s="166" t="s">
        <v>179</v>
      </c>
      <c r="AU317" s="166" t="s">
        <v>135</v>
      </c>
      <c r="AV317" s="11" t="s">
        <v>135</v>
      </c>
      <c r="AW317" s="11" t="s">
        <v>35</v>
      </c>
      <c r="AX317" s="11" t="s">
        <v>78</v>
      </c>
      <c r="AY317" s="166" t="s">
        <v>167</v>
      </c>
    </row>
    <row r="318" spans="2:51" s="11" customFormat="1" ht="22.5" customHeight="1">
      <c r="B318" s="159"/>
      <c r="C318" s="160"/>
      <c r="D318" s="160"/>
      <c r="E318" s="161" t="s">
        <v>5</v>
      </c>
      <c r="F318" s="302" t="s">
        <v>2010</v>
      </c>
      <c r="G318" s="303"/>
      <c r="H318" s="303"/>
      <c r="I318" s="303"/>
      <c r="J318" s="160"/>
      <c r="K318" s="162">
        <v>126</v>
      </c>
      <c r="L318" s="160"/>
      <c r="M318" s="160"/>
      <c r="N318" s="160"/>
      <c r="O318" s="160"/>
      <c r="P318" s="160"/>
      <c r="Q318" s="160"/>
      <c r="R318" s="163"/>
      <c r="T318" s="164"/>
      <c r="U318" s="160"/>
      <c r="V318" s="160"/>
      <c r="W318" s="160"/>
      <c r="X318" s="160"/>
      <c r="Y318" s="160"/>
      <c r="Z318" s="160"/>
      <c r="AA318" s="165"/>
      <c r="AT318" s="166" t="s">
        <v>179</v>
      </c>
      <c r="AU318" s="166" t="s">
        <v>135</v>
      </c>
      <c r="AV318" s="11" t="s">
        <v>135</v>
      </c>
      <c r="AW318" s="11" t="s">
        <v>35</v>
      </c>
      <c r="AX318" s="11" t="s">
        <v>78</v>
      </c>
      <c r="AY318" s="166" t="s">
        <v>167</v>
      </c>
    </row>
    <row r="319" spans="2:51" s="11" customFormat="1" ht="22.5" customHeight="1">
      <c r="B319" s="159"/>
      <c r="C319" s="160"/>
      <c r="D319" s="160"/>
      <c r="E319" s="161" t="s">
        <v>5</v>
      </c>
      <c r="F319" s="302" t="s">
        <v>2011</v>
      </c>
      <c r="G319" s="303"/>
      <c r="H319" s="303"/>
      <c r="I319" s="303"/>
      <c r="J319" s="160"/>
      <c r="K319" s="162">
        <v>106.04</v>
      </c>
      <c r="L319" s="160"/>
      <c r="M319" s="160"/>
      <c r="N319" s="160"/>
      <c r="O319" s="160"/>
      <c r="P319" s="160"/>
      <c r="Q319" s="160"/>
      <c r="R319" s="163"/>
      <c r="T319" s="164"/>
      <c r="U319" s="160"/>
      <c r="V319" s="160"/>
      <c r="W319" s="160"/>
      <c r="X319" s="160"/>
      <c r="Y319" s="160"/>
      <c r="Z319" s="160"/>
      <c r="AA319" s="165"/>
      <c r="AT319" s="166" t="s">
        <v>179</v>
      </c>
      <c r="AU319" s="166" t="s">
        <v>135</v>
      </c>
      <c r="AV319" s="11" t="s">
        <v>135</v>
      </c>
      <c r="AW319" s="11" t="s">
        <v>35</v>
      </c>
      <c r="AX319" s="11" t="s">
        <v>78</v>
      </c>
      <c r="AY319" s="166" t="s">
        <v>167</v>
      </c>
    </row>
    <row r="320" spans="2:51" s="11" customFormat="1" ht="22.5" customHeight="1">
      <c r="B320" s="159"/>
      <c r="C320" s="160"/>
      <c r="D320" s="160"/>
      <c r="E320" s="161" t="s">
        <v>5</v>
      </c>
      <c r="F320" s="302" t="s">
        <v>2012</v>
      </c>
      <c r="G320" s="303"/>
      <c r="H320" s="303"/>
      <c r="I320" s="303"/>
      <c r="J320" s="160"/>
      <c r="K320" s="162">
        <v>188.35</v>
      </c>
      <c r="L320" s="160"/>
      <c r="M320" s="160"/>
      <c r="N320" s="160"/>
      <c r="O320" s="160"/>
      <c r="P320" s="160"/>
      <c r="Q320" s="160"/>
      <c r="R320" s="163"/>
      <c r="T320" s="164"/>
      <c r="U320" s="160"/>
      <c r="V320" s="160"/>
      <c r="W320" s="160"/>
      <c r="X320" s="160"/>
      <c r="Y320" s="160"/>
      <c r="Z320" s="160"/>
      <c r="AA320" s="165"/>
      <c r="AT320" s="166" t="s">
        <v>179</v>
      </c>
      <c r="AU320" s="166" t="s">
        <v>135</v>
      </c>
      <c r="AV320" s="11" t="s">
        <v>135</v>
      </c>
      <c r="AW320" s="11" t="s">
        <v>35</v>
      </c>
      <c r="AX320" s="11" t="s">
        <v>78</v>
      </c>
      <c r="AY320" s="166" t="s">
        <v>167</v>
      </c>
    </row>
    <row r="321" spans="2:51" s="11" customFormat="1" ht="22.5" customHeight="1">
      <c r="B321" s="159"/>
      <c r="C321" s="160"/>
      <c r="D321" s="160"/>
      <c r="E321" s="161" t="s">
        <v>5</v>
      </c>
      <c r="F321" s="302" t="s">
        <v>2013</v>
      </c>
      <c r="G321" s="303"/>
      <c r="H321" s="303"/>
      <c r="I321" s="303"/>
      <c r="J321" s="160"/>
      <c r="K321" s="162">
        <v>133.998</v>
      </c>
      <c r="L321" s="160"/>
      <c r="M321" s="160"/>
      <c r="N321" s="160"/>
      <c r="O321" s="160"/>
      <c r="P321" s="160"/>
      <c r="Q321" s="160"/>
      <c r="R321" s="163"/>
      <c r="T321" s="164"/>
      <c r="U321" s="160"/>
      <c r="V321" s="160"/>
      <c r="W321" s="160"/>
      <c r="X321" s="160"/>
      <c r="Y321" s="160"/>
      <c r="Z321" s="160"/>
      <c r="AA321" s="165"/>
      <c r="AT321" s="166" t="s">
        <v>179</v>
      </c>
      <c r="AU321" s="166" t="s">
        <v>135</v>
      </c>
      <c r="AV321" s="11" t="s">
        <v>135</v>
      </c>
      <c r="AW321" s="11" t="s">
        <v>35</v>
      </c>
      <c r="AX321" s="11" t="s">
        <v>78</v>
      </c>
      <c r="AY321" s="166" t="s">
        <v>167</v>
      </c>
    </row>
    <row r="322" spans="2:51" s="11" customFormat="1" ht="22.5" customHeight="1">
      <c r="B322" s="159"/>
      <c r="C322" s="160"/>
      <c r="D322" s="160"/>
      <c r="E322" s="161" t="s">
        <v>5</v>
      </c>
      <c r="F322" s="302" t="s">
        <v>2014</v>
      </c>
      <c r="G322" s="303"/>
      <c r="H322" s="303"/>
      <c r="I322" s="303"/>
      <c r="J322" s="160"/>
      <c r="K322" s="162">
        <v>51.3</v>
      </c>
      <c r="L322" s="160"/>
      <c r="M322" s="160"/>
      <c r="N322" s="160"/>
      <c r="O322" s="160"/>
      <c r="P322" s="160"/>
      <c r="Q322" s="160"/>
      <c r="R322" s="163"/>
      <c r="T322" s="164"/>
      <c r="U322" s="160"/>
      <c r="V322" s="160"/>
      <c r="W322" s="160"/>
      <c r="X322" s="160"/>
      <c r="Y322" s="160"/>
      <c r="Z322" s="160"/>
      <c r="AA322" s="165"/>
      <c r="AT322" s="166" t="s">
        <v>179</v>
      </c>
      <c r="AU322" s="166" t="s">
        <v>135</v>
      </c>
      <c r="AV322" s="11" t="s">
        <v>135</v>
      </c>
      <c r="AW322" s="11" t="s">
        <v>35</v>
      </c>
      <c r="AX322" s="11" t="s">
        <v>78</v>
      </c>
      <c r="AY322" s="166" t="s">
        <v>167</v>
      </c>
    </row>
    <row r="323" spans="2:51" s="11" customFormat="1" ht="22.5" customHeight="1">
      <c r="B323" s="159"/>
      <c r="C323" s="160"/>
      <c r="D323" s="160"/>
      <c r="E323" s="161" t="s">
        <v>5</v>
      </c>
      <c r="F323" s="302" t="s">
        <v>2015</v>
      </c>
      <c r="G323" s="303"/>
      <c r="H323" s="303"/>
      <c r="I323" s="303"/>
      <c r="J323" s="160"/>
      <c r="K323" s="162">
        <v>112.516</v>
      </c>
      <c r="L323" s="160"/>
      <c r="M323" s="160"/>
      <c r="N323" s="160"/>
      <c r="O323" s="160"/>
      <c r="P323" s="160"/>
      <c r="Q323" s="160"/>
      <c r="R323" s="163"/>
      <c r="T323" s="164"/>
      <c r="U323" s="160"/>
      <c r="V323" s="160"/>
      <c r="W323" s="160"/>
      <c r="X323" s="160"/>
      <c r="Y323" s="160"/>
      <c r="Z323" s="160"/>
      <c r="AA323" s="165"/>
      <c r="AT323" s="166" t="s">
        <v>179</v>
      </c>
      <c r="AU323" s="166" t="s">
        <v>135</v>
      </c>
      <c r="AV323" s="11" t="s">
        <v>135</v>
      </c>
      <c r="AW323" s="11" t="s">
        <v>35</v>
      </c>
      <c r="AX323" s="11" t="s">
        <v>78</v>
      </c>
      <c r="AY323" s="166" t="s">
        <v>167</v>
      </c>
    </row>
    <row r="324" spans="2:51" s="11" customFormat="1" ht="22.5" customHeight="1">
      <c r="B324" s="159"/>
      <c r="C324" s="160"/>
      <c r="D324" s="160"/>
      <c r="E324" s="161" t="s">
        <v>5</v>
      </c>
      <c r="F324" s="302" t="s">
        <v>2016</v>
      </c>
      <c r="G324" s="303"/>
      <c r="H324" s="303"/>
      <c r="I324" s="303"/>
      <c r="J324" s="160"/>
      <c r="K324" s="162">
        <v>71.136</v>
      </c>
      <c r="L324" s="160"/>
      <c r="M324" s="160"/>
      <c r="N324" s="160"/>
      <c r="O324" s="160"/>
      <c r="P324" s="160"/>
      <c r="Q324" s="160"/>
      <c r="R324" s="163"/>
      <c r="T324" s="164"/>
      <c r="U324" s="160"/>
      <c r="V324" s="160"/>
      <c r="W324" s="160"/>
      <c r="X324" s="160"/>
      <c r="Y324" s="160"/>
      <c r="Z324" s="160"/>
      <c r="AA324" s="165"/>
      <c r="AT324" s="166" t="s">
        <v>179</v>
      </c>
      <c r="AU324" s="166" t="s">
        <v>135</v>
      </c>
      <c r="AV324" s="11" t="s">
        <v>135</v>
      </c>
      <c r="AW324" s="11" t="s">
        <v>35</v>
      </c>
      <c r="AX324" s="11" t="s">
        <v>78</v>
      </c>
      <c r="AY324" s="166" t="s">
        <v>167</v>
      </c>
    </row>
    <row r="325" spans="2:51" s="11" customFormat="1" ht="22.5" customHeight="1">
      <c r="B325" s="159"/>
      <c r="C325" s="160"/>
      <c r="D325" s="160"/>
      <c r="E325" s="161" t="s">
        <v>5</v>
      </c>
      <c r="F325" s="302" t="s">
        <v>2017</v>
      </c>
      <c r="G325" s="303"/>
      <c r="H325" s="303"/>
      <c r="I325" s="303"/>
      <c r="J325" s="160"/>
      <c r="K325" s="162">
        <v>180.4</v>
      </c>
      <c r="L325" s="160"/>
      <c r="M325" s="160"/>
      <c r="N325" s="160"/>
      <c r="O325" s="160"/>
      <c r="P325" s="160"/>
      <c r="Q325" s="160"/>
      <c r="R325" s="163"/>
      <c r="T325" s="164"/>
      <c r="U325" s="160"/>
      <c r="V325" s="160"/>
      <c r="W325" s="160"/>
      <c r="X325" s="160"/>
      <c r="Y325" s="160"/>
      <c r="Z325" s="160"/>
      <c r="AA325" s="165"/>
      <c r="AT325" s="166" t="s">
        <v>179</v>
      </c>
      <c r="AU325" s="166" t="s">
        <v>135</v>
      </c>
      <c r="AV325" s="11" t="s">
        <v>135</v>
      </c>
      <c r="AW325" s="11" t="s">
        <v>35</v>
      </c>
      <c r="AX325" s="11" t="s">
        <v>78</v>
      </c>
      <c r="AY325" s="166" t="s">
        <v>167</v>
      </c>
    </row>
    <row r="326" spans="2:51" s="11" customFormat="1" ht="22.5" customHeight="1">
      <c r="B326" s="159"/>
      <c r="C326" s="160"/>
      <c r="D326" s="160"/>
      <c r="E326" s="161" t="s">
        <v>5</v>
      </c>
      <c r="F326" s="302" t="s">
        <v>2018</v>
      </c>
      <c r="G326" s="303"/>
      <c r="H326" s="303"/>
      <c r="I326" s="303"/>
      <c r="J326" s="160"/>
      <c r="K326" s="162">
        <v>189</v>
      </c>
      <c r="L326" s="160"/>
      <c r="M326" s="160"/>
      <c r="N326" s="160"/>
      <c r="O326" s="160"/>
      <c r="P326" s="160"/>
      <c r="Q326" s="160"/>
      <c r="R326" s="163"/>
      <c r="T326" s="164"/>
      <c r="U326" s="160"/>
      <c r="V326" s="160"/>
      <c r="W326" s="160"/>
      <c r="X326" s="160"/>
      <c r="Y326" s="160"/>
      <c r="Z326" s="160"/>
      <c r="AA326" s="165"/>
      <c r="AT326" s="166" t="s">
        <v>179</v>
      </c>
      <c r="AU326" s="166" t="s">
        <v>135</v>
      </c>
      <c r="AV326" s="11" t="s">
        <v>135</v>
      </c>
      <c r="AW326" s="11" t="s">
        <v>35</v>
      </c>
      <c r="AX326" s="11" t="s">
        <v>78</v>
      </c>
      <c r="AY326" s="166" t="s">
        <v>167</v>
      </c>
    </row>
    <row r="327" spans="2:51" s="11" customFormat="1" ht="22.5" customHeight="1">
      <c r="B327" s="159"/>
      <c r="C327" s="160"/>
      <c r="D327" s="160"/>
      <c r="E327" s="161" t="s">
        <v>5</v>
      </c>
      <c r="F327" s="302" t="s">
        <v>2019</v>
      </c>
      <c r="G327" s="303"/>
      <c r="H327" s="303"/>
      <c r="I327" s="303"/>
      <c r="J327" s="160"/>
      <c r="K327" s="162">
        <v>202.776</v>
      </c>
      <c r="L327" s="160"/>
      <c r="M327" s="160"/>
      <c r="N327" s="160"/>
      <c r="O327" s="160"/>
      <c r="P327" s="160"/>
      <c r="Q327" s="160"/>
      <c r="R327" s="163"/>
      <c r="T327" s="164"/>
      <c r="U327" s="160"/>
      <c r="V327" s="160"/>
      <c r="W327" s="160"/>
      <c r="X327" s="160"/>
      <c r="Y327" s="160"/>
      <c r="Z327" s="160"/>
      <c r="AA327" s="165"/>
      <c r="AT327" s="166" t="s">
        <v>179</v>
      </c>
      <c r="AU327" s="166" t="s">
        <v>135</v>
      </c>
      <c r="AV327" s="11" t="s">
        <v>135</v>
      </c>
      <c r="AW327" s="11" t="s">
        <v>35</v>
      </c>
      <c r="AX327" s="11" t="s">
        <v>78</v>
      </c>
      <c r="AY327" s="166" t="s">
        <v>167</v>
      </c>
    </row>
    <row r="328" spans="2:51" s="13" customFormat="1" ht="22.5" customHeight="1">
      <c r="B328" s="186"/>
      <c r="C328" s="187"/>
      <c r="D328" s="187"/>
      <c r="E328" s="188" t="s">
        <v>5</v>
      </c>
      <c r="F328" s="337" t="s">
        <v>1278</v>
      </c>
      <c r="G328" s="338"/>
      <c r="H328" s="338"/>
      <c r="I328" s="338"/>
      <c r="J328" s="187"/>
      <c r="K328" s="189">
        <v>2712.32</v>
      </c>
      <c r="L328" s="187"/>
      <c r="M328" s="187"/>
      <c r="N328" s="187"/>
      <c r="O328" s="187"/>
      <c r="P328" s="187"/>
      <c r="Q328" s="187"/>
      <c r="R328" s="190"/>
      <c r="T328" s="191"/>
      <c r="U328" s="187"/>
      <c r="V328" s="187"/>
      <c r="W328" s="187"/>
      <c r="X328" s="187"/>
      <c r="Y328" s="187"/>
      <c r="Z328" s="187"/>
      <c r="AA328" s="192"/>
      <c r="AT328" s="193" t="s">
        <v>179</v>
      </c>
      <c r="AU328" s="193" t="s">
        <v>135</v>
      </c>
      <c r="AV328" s="13" t="s">
        <v>184</v>
      </c>
      <c r="AW328" s="13" t="s">
        <v>35</v>
      </c>
      <c r="AX328" s="13" t="s">
        <v>78</v>
      </c>
      <c r="AY328" s="193" t="s">
        <v>167</v>
      </c>
    </row>
    <row r="329" spans="2:51" s="10" customFormat="1" ht="22.5" customHeight="1">
      <c r="B329" s="151"/>
      <c r="C329" s="152"/>
      <c r="D329" s="152"/>
      <c r="E329" s="153" t="s">
        <v>5</v>
      </c>
      <c r="F329" s="304" t="s">
        <v>1945</v>
      </c>
      <c r="G329" s="305"/>
      <c r="H329" s="305"/>
      <c r="I329" s="305"/>
      <c r="J329" s="152"/>
      <c r="K329" s="154" t="s">
        <v>5</v>
      </c>
      <c r="L329" s="152"/>
      <c r="M329" s="152"/>
      <c r="N329" s="152"/>
      <c r="O329" s="152"/>
      <c r="P329" s="152"/>
      <c r="Q329" s="152"/>
      <c r="R329" s="155"/>
      <c r="T329" s="156"/>
      <c r="U329" s="152"/>
      <c r="V329" s="152"/>
      <c r="W329" s="152"/>
      <c r="X329" s="152"/>
      <c r="Y329" s="152"/>
      <c r="Z329" s="152"/>
      <c r="AA329" s="157"/>
      <c r="AT329" s="158" t="s">
        <v>179</v>
      </c>
      <c r="AU329" s="158" t="s">
        <v>135</v>
      </c>
      <c r="AV329" s="10" t="s">
        <v>21</v>
      </c>
      <c r="AW329" s="10" t="s">
        <v>35</v>
      </c>
      <c r="AX329" s="10" t="s">
        <v>78</v>
      </c>
      <c r="AY329" s="158" t="s">
        <v>167</v>
      </c>
    </row>
    <row r="330" spans="2:51" s="11" customFormat="1" ht="22.5" customHeight="1">
      <c r="B330" s="159"/>
      <c r="C330" s="160"/>
      <c r="D330" s="160"/>
      <c r="E330" s="161" t="s">
        <v>5</v>
      </c>
      <c r="F330" s="302" t="s">
        <v>2020</v>
      </c>
      <c r="G330" s="303"/>
      <c r="H330" s="303"/>
      <c r="I330" s="303"/>
      <c r="J330" s="160"/>
      <c r="K330" s="162">
        <v>104.888</v>
      </c>
      <c r="L330" s="160"/>
      <c r="M330" s="160"/>
      <c r="N330" s="160"/>
      <c r="O330" s="160"/>
      <c r="P330" s="160"/>
      <c r="Q330" s="160"/>
      <c r="R330" s="163"/>
      <c r="T330" s="164"/>
      <c r="U330" s="160"/>
      <c r="V330" s="160"/>
      <c r="W330" s="160"/>
      <c r="X330" s="160"/>
      <c r="Y330" s="160"/>
      <c r="Z330" s="160"/>
      <c r="AA330" s="165"/>
      <c r="AT330" s="166" t="s">
        <v>179</v>
      </c>
      <c r="AU330" s="166" t="s">
        <v>135</v>
      </c>
      <c r="AV330" s="11" t="s">
        <v>135</v>
      </c>
      <c r="AW330" s="11" t="s">
        <v>35</v>
      </c>
      <c r="AX330" s="11" t="s">
        <v>78</v>
      </c>
      <c r="AY330" s="166" t="s">
        <v>167</v>
      </c>
    </row>
    <row r="331" spans="2:51" s="11" customFormat="1" ht="22.5" customHeight="1">
      <c r="B331" s="159"/>
      <c r="C331" s="160"/>
      <c r="D331" s="160"/>
      <c r="E331" s="161" t="s">
        <v>5</v>
      </c>
      <c r="F331" s="302" t="s">
        <v>2021</v>
      </c>
      <c r="G331" s="303"/>
      <c r="H331" s="303"/>
      <c r="I331" s="303"/>
      <c r="J331" s="160"/>
      <c r="K331" s="162">
        <v>80.964</v>
      </c>
      <c r="L331" s="160"/>
      <c r="M331" s="160"/>
      <c r="N331" s="160"/>
      <c r="O331" s="160"/>
      <c r="P331" s="160"/>
      <c r="Q331" s="160"/>
      <c r="R331" s="163"/>
      <c r="T331" s="164"/>
      <c r="U331" s="160"/>
      <c r="V331" s="160"/>
      <c r="W331" s="160"/>
      <c r="X331" s="160"/>
      <c r="Y331" s="160"/>
      <c r="Z331" s="160"/>
      <c r="AA331" s="165"/>
      <c r="AT331" s="166" t="s">
        <v>179</v>
      </c>
      <c r="AU331" s="166" t="s">
        <v>135</v>
      </c>
      <c r="AV331" s="11" t="s">
        <v>135</v>
      </c>
      <c r="AW331" s="11" t="s">
        <v>35</v>
      </c>
      <c r="AX331" s="11" t="s">
        <v>78</v>
      </c>
      <c r="AY331" s="166" t="s">
        <v>167</v>
      </c>
    </row>
    <row r="332" spans="2:51" s="11" customFormat="1" ht="22.5" customHeight="1">
      <c r="B332" s="159"/>
      <c r="C332" s="160"/>
      <c r="D332" s="160"/>
      <c r="E332" s="161" t="s">
        <v>5</v>
      </c>
      <c r="F332" s="302" t="s">
        <v>2022</v>
      </c>
      <c r="G332" s="303"/>
      <c r="H332" s="303"/>
      <c r="I332" s="303"/>
      <c r="J332" s="160"/>
      <c r="K332" s="162">
        <v>120.152</v>
      </c>
      <c r="L332" s="160"/>
      <c r="M332" s="160"/>
      <c r="N332" s="160"/>
      <c r="O332" s="160"/>
      <c r="P332" s="160"/>
      <c r="Q332" s="160"/>
      <c r="R332" s="163"/>
      <c r="T332" s="164"/>
      <c r="U332" s="160"/>
      <c r="V332" s="160"/>
      <c r="W332" s="160"/>
      <c r="X332" s="160"/>
      <c r="Y332" s="160"/>
      <c r="Z332" s="160"/>
      <c r="AA332" s="165"/>
      <c r="AT332" s="166" t="s">
        <v>179</v>
      </c>
      <c r="AU332" s="166" t="s">
        <v>135</v>
      </c>
      <c r="AV332" s="11" t="s">
        <v>135</v>
      </c>
      <c r="AW332" s="11" t="s">
        <v>35</v>
      </c>
      <c r="AX332" s="11" t="s">
        <v>78</v>
      </c>
      <c r="AY332" s="166" t="s">
        <v>167</v>
      </c>
    </row>
    <row r="333" spans="2:51" s="11" customFormat="1" ht="22.5" customHeight="1">
      <c r="B333" s="159"/>
      <c r="C333" s="160"/>
      <c r="D333" s="160"/>
      <c r="E333" s="161" t="s">
        <v>5</v>
      </c>
      <c r="F333" s="302" t="s">
        <v>2023</v>
      </c>
      <c r="G333" s="303"/>
      <c r="H333" s="303"/>
      <c r="I333" s="303"/>
      <c r="J333" s="160"/>
      <c r="K333" s="162">
        <v>97.36</v>
      </c>
      <c r="L333" s="160"/>
      <c r="M333" s="160"/>
      <c r="N333" s="160"/>
      <c r="O333" s="160"/>
      <c r="P333" s="160"/>
      <c r="Q333" s="160"/>
      <c r="R333" s="163"/>
      <c r="T333" s="164"/>
      <c r="U333" s="160"/>
      <c r="V333" s="160"/>
      <c r="W333" s="160"/>
      <c r="X333" s="160"/>
      <c r="Y333" s="160"/>
      <c r="Z333" s="160"/>
      <c r="AA333" s="165"/>
      <c r="AT333" s="166" t="s">
        <v>179</v>
      </c>
      <c r="AU333" s="166" t="s">
        <v>135</v>
      </c>
      <c r="AV333" s="11" t="s">
        <v>135</v>
      </c>
      <c r="AW333" s="11" t="s">
        <v>35</v>
      </c>
      <c r="AX333" s="11" t="s">
        <v>78</v>
      </c>
      <c r="AY333" s="166" t="s">
        <v>167</v>
      </c>
    </row>
    <row r="334" spans="2:51" s="11" customFormat="1" ht="22.5" customHeight="1">
      <c r="B334" s="159"/>
      <c r="C334" s="160"/>
      <c r="D334" s="160"/>
      <c r="E334" s="161" t="s">
        <v>5</v>
      </c>
      <c r="F334" s="302" t="s">
        <v>2024</v>
      </c>
      <c r="G334" s="303"/>
      <c r="H334" s="303"/>
      <c r="I334" s="303"/>
      <c r="J334" s="160"/>
      <c r="K334" s="162">
        <v>184.64</v>
      </c>
      <c r="L334" s="160"/>
      <c r="M334" s="160"/>
      <c r="N334" s="160"/>
      <c r="O334" s="160"/>
      <c r="P334" s="160"/>
      <c r="Q334" s="160"/>
      <c r="R334" s="163"/>
      <c r="T334" s="164"/>
      <c r="U334" s="160"/>
      <c r="V334" s="160"/>
      <c r="W334" s="160"/>
      <c r="X334" s="160"/>
      <c r="Y334" s="160"/>
      <c r="Z334" s="160"/>
      <c r="AA334" s="165"/>
      <c r="AT334" s="166" t="s">
        <v>179</v>
      </c>
      <c r="AU334" s="166" t="s">
        <v>135</v>
      </c>
      <c r="AV334" s="11" t="s">
        <v>135</v>
      </c>
      <c r="AW334" s="11" t="s">
        <v>35</v>
      </c>
      <c r="AX334" s="11" t="s">
        <v>78</v>
      </c>
      <c r="AY334" s="166" t="s">
        <v>167</v>
      </c>
    </row>
    <row r="335" spans="2:51" s="11" customFormat="1" ht="22.5" customHeight="1">
      <c r="B335" s="159"/>
      <c r="C335" s="160"/>
      <c r="D335" s="160"/>
      <c r="E335" s="161" t="s">
        <v>5</v>
      </c>
      <c r="F335" s="302" t="s">
        <v>2025</v>
      </c>
      <c r="G335" s="303"/>
      <c r="H335" s="303"/>
      <c r="I335" s="303"/>
      <c r="J335" s="160"/>
      <c r="K335" s="162">
        <v>95.52</v>
      </c>
      <c r="L335" s="160"/>
      <c r="M335" s="160"/>
      <c r="N335" s="160"/>
      <c r="O335" s="160"/>
      <c r="P335" s="160"/>
      <c r="Q335" s="160"/>
      <c r="R335" s="163"/>
      <c r="T335" s="164"/>
      <c r="U335" s="160"/>
      <c r="V335" s="160"/>
      <c r="W335" s="160"/>
      <c r="X335" s="160"/>
      <c r="Y335" s="160"/>
      <c r="Z335" s="160"/>
      <c r="AA335" s="165"/>
      <c r="AT335" s="166" t="s">
        <v>179</v>
      </c>
      <c r="AU335" s="166" t="s">
        <v>135</v>
      </c>
      <c r="AV335" s="11" t="s">
        <v>135</v>
      </c>
      <c r="AW335" s="11" t="s">
        <v>35</v>
      </c>
      <c r="AX335" s="11" t="s">
        <v>78</v>
      </c>
      <c r="AY335" s="166" t="s">
        <v>167</v>
      </c>
    </row>
    <row r="336" spans="2:51" s="11" customFormat="1" ht="22.5" customHeight="1">
      <c r="B336" s="159"/>
      <c r="C336" s="160"/>
      <c r="D336" s="160"/>
      <c r="E336" s="161" t="s">
        <v>5</v>
      </c>
      <c r="F336" s="302" t="s">
        <v>2026</v>
      </c>
      <c r="G336" s="303"/>
      <c r="H336" s="303"/>
      <c r="I336" s="303"/>
      <c r="J336" s="160"/>
      <c r="K336" s="162">
        <v>108.88</v>
      </c>
      <c r="L336" s="160"/>
      <c r="M336" s="160"/>
      <c r="N336" s="160"/>
      <c r="O336" s="160"/>
      <c r="P336" s="160"/>
      <c r="Q336" s="160"/>
      <c r="R336" s="163"/>
      <c r="T336" s="164"/>
      <c r="U336" s="160"/>
      <c r="V336" s="160"/>
      <c r="W336" s="160"/>
      <c r="X336" s="160"/>
      <c r="Y336" s="160"/>
      <c r="Z336" s="160"/>
      <c r="AA336" s="165"/>
      <c r="AT336" s="166" t="s">
        <v>179</v>
      </c>
      <c r="AU336" s="166" t="s">
        <v>135</v>
      </c>
      <c r="AV336" s="11" t="s">
        <v>135</v>
      </c>
      <c r="AW336" s="11" t="s">
        <v>35</v>
      </c>
      <c r="AX336" s="11" t="s">
        <v>78</v>
      </c>
      <c r="AY336" s="166" t="s">
        <v>167</v>
      </c>
    </row>
    <row r="337" spans="2:51" s="13" customFormat="1" ht="22.5" customHeight="1">
      <c r="B337" s="186"/>
      <c r="C337" s="187"/>
      <c r="D337" s="187"/>
      <c r="E337" s="188" t="s">
        <v>5</v>
      </c>
      <c r="F337" s="337" t="s">
        <v>1278</v>
      </c>
      <c r="G337" s="338"/>
      <c r="H337" s="338"/>
      <c r="I337" s="338"/>
      <c r="J337" s="187"/>
      <c r="K337" s="189">
        <v>792.404</v>
      </c>
      <c r="L337" s="187"/>
      <c r="M337" s="187"/>
      <c r="N337" s="187"/>
      <c r="O337" s="187"/>
      <c r="P337" s="187"/>
      <c r="Q337" s="187"/>
      <c r="R337" s="190"/>
      <c r="T337" s="191"/>
      <c r="U337" s="187"/>
      <c r="V337" s="187"/>
      <c r="W337" s="187"/>
      <c r="X337" s="187"/>
      <c r="Y337" s="187"/>
      <c r="Z337" s="187"/>
      <c r="AA337" s="192"/>
      <c r="AT337" s="193" t="s">
        <v>179</v>
      </c>
      <c r="AU337" s="193" t="s">
        <v>135</v>
      </c>
      <c r="AV337" s="13" t="s">
        <v>184</v>
      </c>
      <c r="AW337" s="13" t="s">
        <v>35</v>
      </c>
      <c r="AX337" s="13" t="s">
        <v>78</v>
      </c>
      <c r="AY337" s="193" t="s">
        <v>167</v>
      </c>
    </row>
    <row r="338" spans="2:51" s="10" customFormat="1" ht="22.5" customHeight="1">
      <c r="B338" s="151"/>
      <c r="C338" s="152"/>
      <c r="D338" s="152"/>
      <c r="E338" s="153" t="s">
        <v>5</v>
      </c>
      <c r="F338" s="304" t="s">
        <v>1953</v>
      </c>
      <c r="G338" s="305"/>
      <c r="H338" s="305"/>
      <c r="I338" s="305"/>
      <c r="J338" s="152"/>
      <c r="K338" s="154" t="s">
        <v>5</v>
      </c>
      <c r="L338" s="152"/>
      <c r="M338" s="152"/>
      <c r="N338" s="152"/>
      <c r="O338" s="152"/>
      <c r="P338" s="152"/>
      <c r="Q338" s="152"/>
      <c r="R338" s="155"/>
      <c r="T338" s="156"/>
      <c r="U338" s="152"/>
      <c r="V338" s="152"/>
      <c r="W338" s="152"/>
      <c r="X338" s="152"/>
      <c r="Y338" s="152"/>
      <c r="Z338" s="152"/>
      <c r="AA338" s="157"/>
      <c r="AT338" s="158" t="s">
        <v>179</v>
      </c>
      <c r="AU338" s="158" t="s">
        <v>135</v>
      </c>
      <c r="AV338" s="10" t="s">
        <v>21</v>
      </c>
      <c r="AW338" s="10" t="s">
        <v>35</v>
      </c>
      <c r="AX338" s="10" t="s">
        <v>78</v>
      </c>
      <c r="AY338" s="158" t="s">
        <v>167</v>
      </c>
    </row>
    <row r="339" spans="2:51" s="11" customFormat="1" ht="22.5" customHeight="1">
      <c r="B339" s="159"/>
      <c r="C339" s="160"/>
      <c r="D339" s="160"/>
      <c r="E339" s="161" t="s">
        <v>5</v>
      </c>
      <c r="F339" s="302" t="s">
        <v>2027</v>
      </c>
      <c r="G339" s="303"/>
      <c r="H339" s="303"/>
      <c r="I339" s="303"/>
      <c r="J339" s="160"/>
      <c r="K339" s="162">
        <v>198</v>
      </c>
      <c r="L339" s="160"/>
      <c r="M339" s="160"/>
      <c r="N339" s="160"/>
      <c r="O339" s="160"/>
      <c r="P339" s="160"/>
      <c r="Q339" s="160"/>
      <c r="R339" s="163"/>
      <c r="T339" s="164"/>
      <c r="U339" s="160"/>
      <c r="V339" s="160"/>
      <c r="W339" s="160"/>
      <c r="X339" s="160"/>
      <c r="Y339" s="160"/>
      <c r="Z339" s="160"/>
      <c r="AA339" s="165"/>
      <c r="AT339" s="166" t="s">
        <v>179</v>
      </c>
      <c r="AU339" s="166" t="s">
        <v>135</v>
      </c>
      <c r="AV339" s="11" t="s">
        <v>135</v>
      </c>
      <c r="AW339" s="11" t="s">
        <v>35</v>
      </c>
      <c r="AX339" s="11" t="s">
        <v>78</v>
      </c>
      <c r="AY339" s="166" t="s">
        <v>167</v>
      </c>
    </row>
    <row r="340" spans="2:51" s="11" customFormat="1" ht="22.5" customHeight="1">
      <c r="B340" s="159"/>
      <c r="C340" s="160"/>
      <c r="D340" s="160"/>
      <c r="E340" s="161" t="s">
        <v>5</v>
      </c>
      <c r="F340" s="302" t="s">
        <v>2028</v>
      </c>
      <c r="G340" s="303"/>
      <c r="H340" s="303"/>
      <c r="I340" s="303"/>
      <c r="J340" s="160"/>
      <c r="K340" s="162">
        <v>1436</v>
      </c>
      <c r="L340" s="160"/>
      <c r="M340" s="160"/>
      <c r="N340" s="160"/>
      <c r="O340" s="160"/>
      <c r="P340" s="160"/>
      <c r="Q340" s="160"/>
      <c r="R340" s="163"/>
      <c r="T340" s="164"/>
      <c r="U340" s="160"/>
      <c r="V340" s="160"/>
      <c r="W340" s="160"/>
      <c r="X340" s="160"/>
      <c r="Y340" s="160"/>
      <c r="Z340" s="160"/>
      <c r="AA340" s="165"/>
      <c r="AT340" s="166" t="s">
        <v>179</v>
      </c>
      <c r="AU340" s="166" t="s">
        <v>135</v>
      </c>
      <c r="AV340" s="11" t="s">
        <v>135</v>
      </c>
      <c r="AW340" s="11" t="s">
        <v>35</v>
      </c>
      <c r="AX340" s="11" t="s">
        <v>78</v>
      </c>
      <c r="AY340" s="166" t="s">
        <v>167</v>
      </c>
    </row>
    <row r="341" spans="2:51" s="13" customFormat="1" ht="22.5" customHeight="1">
      <c r="B341" s="186"/>
      <c r="C341" s="187"/>
      <c r="D341" s="187"/>
      <c r="E341" s="188" t="s">
        <v>5</v>
      </c>
      <c r="F341" s="337" t="s">
        <v>1278</v>
      </c>
      <c r="G341" s="338"/>
      <c r="H341" s="338"/>
      <c r="I341" s="338"/>
      <c r="J341" s="187"/>
      <c r="K341" s="189">
        <v>1634</v>
      </c>
      <c r="L341" s="187"/>
      <c r="M341" s="187"/>
      <c r="N341" s="187"/>
      <c r="O341" s="187"/>
      <c r="P341" s="187"/>
      <c r="Q341" s="187"/>
      <c r="R341" s="190"/>
      <c r="T341" s="191"/>
      <c r="U341" s="187"/>
      <c r="V341" s="187"/>
      <c r="W341" s="187"/>
      <c r="X341" s="187"/>
      <c r="Y341" s="187"/>
      <c r="Z341" s="187"/>
      <c r="AA341" s="192"/>
      <c r="AT341" s="193" t="s">
        <v>179</v>
      </c>
      <c r="AU341" s="193" t="s">
        <v>135</v>
      </c>
      <c r="AV341" s="13" t="s">
        <v>184</v>
      </c>
      <c r="AW341" s="13" t="s">
        <v>35</v>
      </c>
      <c r="AX341" s="13" t="s">
        <v>78</v>
      </c>
      <c r="AY341" s="193" t="s">
        <v>167</v>
      </c>
    </row>
    <row r="342" spans="2:51" s="10" customFormat="1" ht="22.5" customHeight="1">
      <c r="B342" s="151"/>
      <c r="C342" s="152"/>
      <c r="D342" s="152"/>
      <c r="E342" s="153" t="s">
        <v>5</v>
      </c>
      <c r="F342" s="304" t="s">
        <v>1956</v>
      </c>
      <c r="G342" s="305"/>
      <c r="H342" s="305"/>
      <c r="I342" s="305"/>
      <c r="J342" s="152"/>
      <c r="K342" s="154" t="s">
        <v>5</v>
      </c>
      <c r="L342" s="152"/>
      <c r="M342" s="152"/>
      <c r="N342" s="152"/>
      <c r="O342" s="152"/>
      <c r="P342" s="152"/>
      <c r="Q342" s="152"/>
      <c r="R342" s="155"/>
      <c r="T342" s="156"/>
      <c r="U342" s="152"/>
      <c r="V342" s="152"/>
      <c r="W342" s="152"/>
      <c r="X342" s="152"/>
      <c r="Y342" s="152"/>
      <c r="Z342" s="152"/>
      <c r="AA342" s="157"/>
      <c r="AT342" s="158" t="s">
        <v>179</v>
      </c>
      <c r="AU342" s="158" t="s">
        <v>135</v>
      </c>
      <c r="AV342" s="10" t="s">
        <v>21</v>
      </c>
      <c r="AW342" s="10" t="s">
        <v>35</v>
      </c>
      <c r="AX342" s="10" t="s">
        <v>78</v>
      </c>
      <c r="AY342" s="158" t="s">
        <v>167</v>
      </c>
    </row>
    <row r="343" spans="2:51" s="11" customFormat="1" ht="22.5" customHeight="1">
      <c r="B343" s="159"/>
      <c r="C343" s="160"/>
      <c r="D343" s="160"/>
      <c r="E343" s="161" t="s">
        <v>5</v>
      </c>
      <c r="F343" s="302" t="s">
        <v>2029</v>
      </c>
      <c r="G343" s="303"/>
      <c r="H343" s="303"/>
      <c r="I343" s="303"/>
      <c r="J343" s="160"/>
      <c r="K343" s="162">
        <v>266.7</v>
      </c>
      <c r="L343" s="160"/>
      <c r="M343" s="160"/>
      <c r="N343" s="160"/>
      <c r="O343" s="160"/>
      <c r="P343" s="160"/>
      <c r="Q343" s="160"/>
      <c r="R343" s="163"/>
      <c r="T343" s="164"/>
      <c r="U343" s="160"/>
      <c r="V343" s="160"/>
      <c r="W343" s="160"/>
      <c r="X343" s="160"/>
      <c r="Y343" s="160"/>
      <c r="Z343" s="160"/>
      <c r="AA343" s="165"/>
      <c r="AT343" s="166" t="s">
        <v>179</v>
      </c>
      <c r="AU343" s="166" t="s">
        <v>135</v>
      </c>
      <c r="AV343" s="11" t="s">
        <v>135</v>
      </c>
      <c r="AW343" s="11" t="s">
        <v>35</v>
      </c>
      <c r="AX343" s="11" t="s">
        <v>78</v>
      </c>
      <c r="AY343" s="166" t="s">
        <v>167</v>
      </c>
    </row>
    <row r="344" spans="2:51" s="13" customFormat="1" ht="22.5" customHeight="1">
      <c r="B344" s="186"/>
      <c r="C344" s="187"/>
      <c r="D344" s="187"/>
      <c r="E344" s="188" t="s">
        <v>5</v>
      </c>
      <c r="F344" s="337" t="s">
        <v>1278</v>
      </c>
      <c r="G344" s="338"/>
      <c r="H344" s="338"/>
      <c r="I344" s="338"/>
      <c r="J344" s="187"/>
      <c r="K344" s="189">
        <v>266.7</v>
      </c>
      <c r="L344" s="187"/>
      <c r="M344" s="187"/>
      <c r="N344" s="187"/>
      <c r="O344" s="187"/>
      <c r="P344" s="187"/>
      <c r="Q344" s="187"/>
      <c r="R344" s="190"/>
      <c r="T344" s="191"/>
      <c r="U344" s="187"/>
      <c r="V344" s="187"/>
      <c r="W344" s="187"/>
      <c r="X344" s="187"/>
      <c r="Y344" s="187"/>
      <c r="Z344" s="187"/>
      <c r="AA344" s="192"/>
      <c r="AT344" s="193" t="s">
        <v>179</v>
      </c>
      <c r="AU344" s="193" t="s">
        <v>135</v>
      </c>
      <c r="AV344" s="13" t="s">
        <v>184</v>
      </c>
      <c r="AW344" s="13" t="s">
        <v>35</v>
      </c>
      <c r="AX344" s="13" t="s">
        <v>78</v>
      </c>
      <c r="AY344" s="193" t="s">
        <v>167</v>
      </c>
    </row>
    <row r="345" spans="2:51" s="10" customFormat="1" ht="22.5" customHeight="1">
      <c r="B345" s="151"/>
      <c r="C345" s="152"/>
      <c r="D345" s="152"/>
      <c r="E345" s="153" t="s">
        <v>5</v>
      </c>
      <c r="F345" s="304" t="s">
        <v>1958</v>
      </c>
      <c r="G345" s="305"/>
      <c r="H345" s="305"/>
      <c r="I345" s="305"/>
      <c r="J345" s="152"/>
      <c r="K345" s="154" t="s">
        <v>5</v>
      </c>
      <c r="L345" s="152"/>
      <c r="M345" s="152"/>
      <c r="N345" s="152"/>
      <c r="O345" s="152"/>
      <c r="P345" s="152"/>
      <c r="Q345" s="152"/>
      <c r="R345" s="155"/>
      <c r="T345" s="156"/>
      <c r="U345" s="152"/>
      <c r="V345" s="152"/>
      <c r="W345" s="152"/>
      <c r="X345" s="152"/>
      <c r="Y345" s="152"/>
      <c r="Z345" s="152"/>
      <c r="AA345" s="157"/>
      <c r="AT345" s="158" t="s">
        <v>179</v>
      </c>
      <c r="AU345" s="158" t="s">
        <v>135</v>
      </c>
      <c r="AV345" s="10" t="s">
        <v>21</v>
      </c>
      <c r="AW345" s="10" t="s">
        <v>35</v>
      </c>
      <c r="AX345" s="10" t="s">
        <v>78</v>
      </c>
      <c r="AY345" s="158" t="s">
        <v>167</v>
      </c>
    </row>
    <row r="346" spans="2:51" s="11" customFormat="1" ht="22.5" customHeight="1">
      <c r="B346" s="159"/>
      <c r="C346" s="160"/>
      <c r="D346" s="160"/>
      <c r="E346" s="161" t="s">
        <v>5</v>
      </c>
      <c r="F346" s="302" t="s">
        <v>2030</v>
      </c>
      <c r="G346" s="303"/>
      <c r="H346" s="303"/>
      <c r="I346" s="303"/>
      <c r="J346" s="160"/>
      <c r="K346" s="162">
        <v>26.28</v>
      </c>
      <c r="L346" s="160"/>
      <c r="M346" s="160"/>
      <c r="N346" s="160"/>
      <c r="O346" s="160"/>
      <c r="P346" s="160"/>
      <c r="Q346" s="160"/>
      <c r="R346" s="163"/>
      <c r="T346" s="164"/>
      <c r="U346" s="160"/>
      <c r="V346" s="160"/>
      <c r="W346" s="160"/>
      <c r="X346" s="160"/>
      <c r="Y346" s="160"/>
      <c r="Z346" s="160"/>
      <c r="AA346" s="165"/>
      <c r="AT346" s="166" t="s">
        <v>179</v>
      </c>
      <c r="AU346" s="166" t="s">
        <v>135</v>
      </c>
      <c r="AV346" s="11" t="s">
        <v>135</v>
      </c>
      <c r="AW346" s="11" t="s">
        <v>35</v>
      </c>
      <c r="AX346" s="11" t="s">
        <v>78</v>
      </c>
      <c r="AY346" s="166" t="s">
        <v>167</v>
      </c>
    </row>
    <row r="347" spans="2:51" s="11" customFormat="1" ht="22.5" customHeight="1">
      <c r="B347" s="159"/>
      <c r="C347" s="160"/>
      <c r="D347" s="160"/>
      <c r="E347" s="161" t="s">
        <v>5</v>
      </c>
      <c r="F347" s="302" t="s">
        <v>2031</v>
      </c>
      <c r="G347" s="303"/>
      <c r="H347" s="303"/>
      <c r="I347" s="303"/>
      <c r="J347" s="160"/>
      <c r="K347" s="162">
        <v>109.76</v>
      </c>
      <c r="L347" s="160"/>
      <c r="M347" s="160"/>
      <c r="N347" s="160"/>
      <c r="O347" s="160"/>
      <c r="P347" s="160"/>
      <c r="Q347" s="160"/>
      <c r="R347" s="163"/>
      <c r="T347" s="164"/>
      <c r="U347" s="160"/>
      <c r="V347" s="160"/>
      <c r="W347" s="160"/>
      <c r="X347" s="160"/>
      <c r="Y347" s="160"/>
      <c r="Z347" s="160"/>
      <c r="AA347" s="165"/>
      <c r="AT347" s="166" t="s">
        <v>179</v>
      </c>
      <c r="AU347" s="166" t="s">
        <v>135</v>
      </c>
      <c r="AV347" s="11" t="s">
        <v>135</v>
      </c>
      <c r="AW347" s="11" t="s">
        <v>35</v>
      </c>
      <c r="AX347" s="11" t="s">
        <v>78</v>
      </c>
      <c r="AY347" s="166" t="s">
        <v>167</v>
      </c>
    </row>
    <row r="348" spans="2:51" s="11" customFormat="1" ht="22.5" customHeight="1">
      <c r="B348" s="159"/>
      <c r="C348" s="160"/>
      <c r="D348" s="160"/>
      <c r="E348" s="161" t="s">
        <v>5</v>
      </c>
      <c r="F348" s="302" t="s">
        <v>2032</v>
      </c>
      <c r="G348" s="303"/>
      <c r="H348" s="303"/>
      <c r="I348" s="303"/>
      <c r="J348" s="160"/>
      <c r="K348" s="162">
        <v>110.618</v>
      </c>
      <c r="L348" s="160"/>
      <c r="M348" s="160"/>
      <c r="N348" s="160"/>
      <c r="O348" s="160"/>
      <c r="P348" s="160"/>
      <c r="Q348" s="160"/>
      <c r="R348" s="163"/>
      <c r="T348" s="164"/>
      <c r="U348" s="160"/>
      <c r="V348" s="160"/>
      <c r="W348" s="160"/>
      <c r="X348" s="160"/>
      <c r="Y348" s="160"/>
      <c r="Z348" s="160"/>
      <c r="AA348" s="165"/>
      <c r="AT348" s="166" t="s">
        <v>179</v>
      </c>
      <c r="AU348" s="166" t="s">
        <v>135</v>
      </c>
      <c r="AV348" s="11" t="s">
        <v>135</v>
      </c>
      <c r="AW348" s="11" t="s">
        <v>35</v>
      </c>
      <c r="AX348" s="11" t="s">
        <v>78</v>
      </c>
      <c r="AY348" s="166" t="s">
        <v>167</v>
      </c>
    </row>
    <row r="349" spans="2:51" s="11" customFormat="1" ht="22.5" customHeight="1">
      <c r="B349" s="159"/>
      <c r="C349" s="160"/>
      <c r="D349" s="160"/>
      <c r="E349" s="161" t="s">
        <v>5</v>
      </c>
      <c r="F349" s="302" t="s">
        <v>2033</v>
      </c>
      <c r="G349" s="303"/>
      <c r="H349" s="303"/>
      <c r="I349" s="303"/>
      <c r="J349" s="160"/>
      <c r="K349" s="162">
        <v>51</v>
      </c>
      <c r="L349" s="160"/>
      <c r="M349" s="160"/>
      <c r="N349" s="160"/>
      <c r="O349" s="160"/>
      <c r="P349" s="160"/>
      <c r="Q349" s="160"/>
      <c r="R349" s="163"/>
      <c r="T349" s="164"/>
      <c r="U349" s="160"/>
      <c r="V349" s="160"/>
      <c r="W349" s="160"/>
      <c r="X349" s="160"/>
      <c r="Y349" s="160"/>
      <c r="Z349" s="160"/>
      <c r="AA349" s="165"/>
      <c r="AT349" s="166" t="s">
        <v>179</v>
      </c>
      <c r="AU349" s="166" t="s">
        <v>135</v>
      </c>
      <c r="AV349" s="11" t="s">
        <v>135</v>
      </c>
      <c r="AW349" s="11" t="s">
        <v>35</v>
      </c>
      <c r="AX349" s="11" t="s">
        <v>78</v>
      </c>
      <c r="AY349" s="166" t="s">
        <v>167</v>
      </c>
    </row>
    <row r="350" spans="2:51" s="11" customFormat="1" ht="22.5" customHeight="1">
      <c r="B350" s="159"/>
      <c r="C350" s="160"/>
      <c r="D350" s="160"/>
      <c r="E350" s="161" t="s">
        <v>5</v>
      </c>
      <c r="F350" s="302" t="s">
        <v>2034</v>
      </c>
      <c r="G350" s="303"/>
      <c r="H350" s="303"/>
      <c r="I350" s="303"/>
      <c r="J350" s="160"/>
      <c r="K350" s="162">
        <v>112.286</v>
      </c>
      <c r="L350" s="160"/>
      <c r="M350" s="160"/>
      <c r="N350" s="160"/>
      <c r="O350" s="160"/>
      <c r="P350" s="160"/>
      <c r="Q350" s="160"/>
      <c r="R350" s="163"/>
      <c r="T350" s="164"/>
      <c r="U350" s="160"/>
      <c r="V350" s="160"/>
      <c r="W350" s="160"/>
      <c r="X350" s="160"/>
      <c r="Y350" s="160"/>
      <c r="Z350" s="160"/>
      <c r="AA350" s="165"/>
      <c r="AT350" s="166" t="s">
        <v>179</v>
      </c>
      <c r="AU350" s="166" t="s">
        <v>135</v>
      </c>
      <c r="AV350" s="11" t="s">
        <v>135</v>
      </c>
      <c r="AW350" s="11" t="s">
        <v>35</v>
      </c>
      <c r="AX350" s="11" t="s">
        <v>78</v>
      </c>
      <c r="AY350" s="166" t="s">
        <v>167</v>
      </c>
    </row>
    <row r="351" spans="2:51" s="13" customFormat="1" ht="22.5" customHeight="1">
      <c r="B351" s="186"/>
      <c r="C351" s="187"/>
      <c r="D351" s="187"/>
      <c r="E351" s="188" t="s">
        <v>5</v>
      </c>
      <c r="F351" s="337" t="s">
        <v>1278</v>
      </c>
      <c r="G351" s="338"/>
      <c r="H351" s="338"/>
      <c r="I351" s="338"/>
      <c r="J351" s="187"/>
      <c r="K351" s="189">
        <v>409.944</v>
      </c>
      <c r="L351" s="187"/>
      <c r="M351" s="187"/>
      <c r="N351" s="187"/>
      <c r="O351" s="187"/>
      <c r="P351" s="187"/>
      <c r="Q351" s="187"/>
      <c r="R351" s="190"/>
      <c r="T351" s="191"/>
      <c r="U351" s="187"/>
      <c r="V351" s="187"/>
      <c r="W351" s="187"/>
      <c r="X351" s="187"/>
      <c r="Y351" s="187"/>
      <c r="Z351" s="187"/>
      <c r="AA351" s="192"/>
      <c r="AT351" s="193" t="s">
        <v>179</v>
      </c>
      <c r="AU351" s="193" t="s">
        <v>135</v>
      </c>
      <c r="AV351" s="13" t="s">
        <v>184</v>
      </c>
      <c r="AW351" s="13" t="s">
        <v>35</v>
      </c>
      <c r="AX351" s="13" t="s">
        <v>78</v>
      </c>
      <c r="AY351" s="193" t="s">
        <v>167</v>
      </c>
    </row>
    <row r="352" spans="2:51" s="12" customFormat="1" ht="22.5" customHeight="1">
      <c r="B352" s="167"/>
      <c r="C352" s="168"/>
      <c r="D352" s="168"/>
      <c r="E352" s="169" t="s">
        <v>5</v>
      </c>
      <c r="F352" s="306" t="s">
        <v>183</v>
      </c>
      <c r="G352" s="307"/>
      <c r="H352" s="307"/>
      <c r="I352" s="307"/>
      <c r="J352" s="168"/>
      <c r="K352" s="170">
        <v>8301.768</v>
      </c>
      <c r="L352" s="168"/>
      <c r="M352" s="168"/>
      <c r="N352" s="168"/>
      <c r="O352" s="168"/>
      <c r="P352" s="168"/>
      <c r="Q352" s="168"/>
      <c r="R352" s="171"/>
      <c r="T352" s="172"/>
      <c r="U352" s="168"/>
      <c r="V352" s="168"/>
      <c r="W352" s="168"/>
      <c r="X352" s="168"/>
      <c r="Y352" s="168"/>
      <c r="Z352" s="168"/>
      <c r="AA352" s="173"/>
      <c r="AT352" s="174" t="s">
        <v>179</v>
      </c>
      <c r="AU352" s="174" t="s">
        <v>135</v>
      </c>
      <c r="AV352" s="12" t="s">
        <v>172</v>
      </c>
      <c r="AW352" s="12" t="s">
        <v>35</v>
      </c>
      <c r="AX352" s="12" t="s">
        <v>21</v>
      </c>
      <c r="AY352" s="174" t="s">
        <v>167</v>
      </c>
    </row>
    <row r="353" spans="2:65" s="1" customFormat="1" ht="31.5" customHeight="1">
      <c r="B353" s="141"/>
      <c r="C353" s="142" t="s">
        <v>344</v>
      </c>
      <c r="D353" s="142" t="s">
        <v>168</v>
      </c>
      <c r="E353" s="143" t="s">
        <v>1466</v>
      </c>
      <c r="F353" s="293" t="s">
        <v>1467</v>
      </c>
      <c r="G353" s="293"/>
      <c r="H353" s="293"/>
      <c r="I353" s="293"/>
      <c r="J353" s="144" t="s">
        <v>199</v>
      </c>
      <c r="K353" s="145">
        <v>8301.768</v>
      </c>
      <c r="L353" s="294"/>
      <c r="M353" s="294"/>
      <c r="N353" s="294">
        <f>ROUND(L353*K353,2)</f>
        <v>0</v>
      </c>
      <c r="O353" s="294"/>
      <c r="P353" s="294"/>
      <c r="Q353" s="294"/>
      <c r="R353" s="146"/>
      <c r="T353" s="147" t="s">
        <v>5</v>
      </c>
      <c r="U353" s="44" t="s">
        <v>43</v>
      </c>
      <c r="V353" s="148">
        <v>0.07</v>
      </c>
      <c r="W353" s="148">
        <f>V353*K353</f>
        <v>581.1237600000001</v>
      </c>
      <c r="X353" s="148">
        <v>0</v>
      </c>
      <c r="Y353" s="148">
        <f>X353*K353</f>
        <v>0</v>
      </c>
      <c r="Z353" s="148">
        <v>0</v>
      </c>
      <c r="AA353" s="149">
        <f>Z353*K353</f>
        <v>0</v>
      </c>
      <c r="AR353" s="21" t="s">
        <v>172</v>
      </c>
      <c r="AT353" s="21" t="s">
        <v>168</v>
      </c>
      <c r="AU353" s="21" t="s">
        <v>135</v>
      </c>
      <c r="AY353" s="21" t="s">
        <v>167</v>
      </c>
      <c r="BE353" s="150">
        <f>IF(U353="základní",N353,0)</f>
        <v>0</v>
      </c>
      <c r="BF353" s="150">
        <f>IF(U353="snížená",N353,0)</f>
        <v>0</v>
      </c>
      <c r="BG353" s="150">
        <f>IF(U353="zákl. přenesená",N353,0)</f>
        <v>0</v>
      </c>
      <c r="BH353" s="150">
        <f>IF(U353="sníž. přenesená",N353,0)</f>
        <v>0</v>
      </c>
      <c r="BI353" s="150">
        <f>IF(U353="nulová",N353,0)</f>
        <v>0</v>
      </c>
      <c r="BJ353" s="21" t="s">
        <v>21</v>
      </c>
      <c r="BK353" s="150">
        <f>ROUND(L353*K353,2)</f>
        <v>0</v>
      </c>
      <c r="BL353" s="21" t="s">
        <v>172</v>
      </c>
      <c r="BM353" s="21" t="s">
        <v>1468</v>
      </c>
    </row>
    <row r="354" spans="2:65" s="1" customFormat="1" ht="44.25" customHeight="1">
      <c r="B354" s="141"/>
      <c r="C354" s="142" t="s">
        <v>349</v>
      </c>
      <c r="D354" s="142" t="s">
        <v>168</v>
      </c>
      <c r="E354" s="143" t="s">
        <v>1469</v>
      </c>
      <c r="F354" s="293" t="s">
        <v>1470</v>
      </c>
      <c r="G354" s="293"/>
      <c r="H354" s="293"/>
      <c r="I354" s="293"/>
      <c r="J354" s="144" t="s">
        <v>199</v>
      </c>
      <c r="K354" s="145">
        <v>154.16</v>
      </c>
      <c r="L354" s="294"/>
      <c r="M354" s="294"/>
      <c r="N354" s="294">
        <f>ROUND(L354*K354,2)</f>
        <v>0</v>
      </c>
      <c r="O354" s="294"/>
      <c r="P354" s="294"/>
      <c r="Q354" s="294"/>
      <c r="R354" s="146"/>
      <c r="T354" s="147" t="s">
        <v>5</v>
      </c>
      <c r="U354" s="44" t="s">
        <v>43</v>
      </c>
      <c r="V354" s="148">
        <v>1.82</v>
      </c>
      <c r="W354" s="148">
        <f>V354*K354</f>
        <v>280.5712</v>
      </c>
      <c r="X354" s="148">
        <v>0</v>
      </c>
      <c r="Y354" s="148">
        <f>X354*K354</f>
        <v>0</v>
      </c>
      <c r="Z354" s="148">
        <v>0</v>
      </c>
      <c r="AA354" s="149">
        <f>Z354*K354</f>
        <v>0</v>
      </c>
      <c r="AR354" s="21" t="s">
        <v>172</v>
      </c>
      <c r="AT354" s="21" t="s">
        <v>168</v>
      </c>
      <c r="AU354" s="21" t="s">
        <v>135</v>
      </c>
      <c r="AY354" s="21" t="s">
        <v>167</v>
      </c>
      <c r="BE354" s="150">
        <f>IF(U354="základní",N354,0)</f>
        <v>0</v>
      </c>
      <c r="BF354" s="150">
        <f>IF(U354="snížená",N354,0)</f>
        <v>0</v>
      </c>
      <c r="BG354" s="150">
        <f>IF(U354="zákl. přenesená",N354,0)</f>
        <v>0</v>
      </c>
      <c r="BH354" s="150">
        <f>IF(U354="sníž. přenesená",N354,0)</f>
        <v>0</v>
      </c>
      <c r="BI354" s="150">
        <f>IF(U354="nulová",N354,0)</f>
        <v>0</v>
      </c>
      <c r="BJ354" s="21" t="s">
        <v>21</v>
      </c>
      <c r="BK354" s="150">
        <f>ROUND(L354*K354,2)</f>
        <v>0</v>
      </c>
      <c r="BL354" s="21" t="s">
        <v>172</v>
      </c>
      <c r="BM354" s="21" t="s">
        <v>1471</v>
      </c>
    </row>
    <row r="355" spans="2:51" s="10" customFormat="1" ht="22.5" customHeight="1">
      <c r="B355" s="151"/>
      <c r="C355" s="152"/>
      <c r="D355" s="152"/>
      <c r="E355" s="153" t="s">
        <v>5</v>
      </c>
      <c r="F355" s="300" t="s">
        <v>1472</v>
      </c>
      <c r="G355" s="301"/>
      <c r="H355" s="301"/>
      <c r="I355" s="301"/>
      <c r="J355" s="152"/>
      <c r="K355" s="154" t="s">
        <v>5</v>
      </c>
      <c r="L355" s="152"/>
      <c r="M355" s="152"/>
      <c r="N355" s="152"/>
      <c r="O355" s="152"/>
      <c r="P355" s="152"/>
      <c r="Q355" s="152"/>
      <c r="R355" s="155"/>
      <c r="T355" s="156"/>
      <c r="U355" s="152"/>
      <c r="V355" s="152"/>
      <c r="W355" s="152"/>
      <c r="X355" s="152"/>
      <c r="Y355" s="152"/>
      <c r="Z355" s="152"/>
      <c r="AA355" s="157"/>
      <c r="AT355" s="158" t="s">
        <v>179</v>
      </c>
      <c r="AU355" s="158" t="s">
        <v>135</v>
      </c>
      <c r="AV355" s="10" t="s">
        <v>21</v>
      </c>
      <c r="AW355" s="10" t="s">
        <v>35</v>
      </c>
      <c r="AX355" s="10" t="s">
        <v>78</v>
      </c>
      <c r="AY355" s="158" t="s">
        <v>167</v>
      </c>
    </row>
    <row r="356" spans="2:51" s="11" customFormat="1" ht="22.5" customHeight="1">
      <c r="B356" s="159"/>
      <c r="C356" s="160"/>
      <c r="D356" s="160"/>
      <c r="E356" s="161" t="s">
        <v>5</v>
      </c>
      <c r="F356" s="302" t="s">
        <v>2035</v>
      </c>
      <c r="G356" s="303"/>
      <c r="H356" s="303"/>
      <c r="I356" s="303"/>
      <c r="J356" s="160"/>
      <c r="K356" s="162">
        <v>154.16</v>
      </c>
      <c r="L356" s="160"/>
      <c r="M356" s="160"/>
      <c r="N356" s="160"/>
      <c r="O356" s="160"/>
      <c r="P356" s="160"/>
      <c r="Q356" s="160"/>
      <c r="R356" s="163"/>
      <c r="T356" s="164"/>
      <c r="U356" s="160"/>
      <c r="V356" s="160"/>
      <c r="W356" s="160"/>
      <c r="X356" s="160"/>
      <c r="Y356" s="160"/>
      <c r="Z356" s="160"/>
      <c r="AA356" s="165"/>
      <c r="AT356" s="166" t="s">
        <v>179</v>
      </c>
      <c r="AU356" s="166" t="s">
        <v>135</v>
      </c>
      <c r="AV356" s="11" t="s">
        <v>135</v>
      </c>
      <c r="AW356" s="11" t="s">
        <v>35</v>
      </c>
      <c r="AX356" s="11" t="s">
        <v>21</v>
      </c>
      <c r="AY356" s="166" t="s">
        <v>167</v>
      </c>
    </row>
    <row r="357" spans="2:65" s="1" customFormat="1" ht="31.5" customHeight="1">
      <c r="B357" s="141"/>
      <c r="C357" s="142" t="s">
        <v>472</v>
      </c>
      <c r="D357" s="142" t="s">
        <v>168</v>
      </c>
      <c r="E357" s="143" t="s">
        <v>1474</v>
      </c>
      <c r="F357" s="293" t="s">
        <v>1475</v>
      </c>
      <c r="G357" s="293"/>
      <c r="H357" s="293"/>
      <c r="I357" s="293"/>
      <c r="J357" s="144" t="s">
        <v>176</v>
      </c>
      <c r="K357" s="145">
        <v>5839.462</v>
      </c>
      <c r="L357" s="294"/>
      <c r="M357" s="294"/>
      <c r="N357" s="294">
        <f>ROUND(L357*K357,2)</f>
        <v>0</v>
      </c>
      <c r="O357" s="294"/>
      <c r="P357" s="294"/>
      <c r="Q357" s="294"/>
      <c r="R357" s="146"/>
      <c r="T357" s="147" t="s">
        <v>5</v>
      </c>
      <c r="U357" s="44" t="s">
        <v>43</v>
      </c>
      <c r="V357" s="148">
        <v>0.097</v>
      </c>
      <c r="W357" s="148">
        <f>V357*K357</f>
        <v>566.427814</v>
      </c>
      <c r="X357" s="148">
        <v>0</v>
      </c>
      <c r="Y357" s="148">
        <f>X357*K357</f>
        <v>0</v>
      </c>
      <c r="Z357" s="148">
        <v>0</v>
      </c>
      <c r="AA357" s="149">
        <f>Z357*K357</f>
        <v>0</v>
      </c>
      <c r="AR357" s="21" t="s">
        <v>172</v>
      </c>
      <c r="AT357" s="21" t="s">
        <v>168</v>
      </c>
      <c r="AU357" s="21" t="s">
        <v>135</v>
      </c>
      <c r="AY357" s="21" t="s">
        <v>167</v>
      </c>
      <c r="BE357" s="150">
        <f>IF(U357="základní",N357,0)</f>
        <v>0</v>
      </c>
      <c r="BF357" s="150">
        <f>IF(U357="snížená",N357,0)</f>
        <v>0</v>
      </c>
      <c r="BG357" s="150">
        <f>IF(U357="zákl. přenesená",N357,0)</f>
        <v>0</v>
      </c>
      <c r="BH357" s="150">
        <f>IF(U357="sníž. přenesená",N357,0)</f>
        <v>0</v>
      </c>
      <c r="BI357" s="150">
        <f>IF(U357="nulová",N357,0)</f>
        <v>0</v>
      </c>
      <c r="BJ357" s="21" t="s">
        <v>21</v>
      </c>
      <c r="BK357" s="150">
        <f>ROUND(L357*K357,2)</f>
        <v>0</v>
      </c>
      <c r="BL357" s="21" t="s">
        <v>172</v>
      </c>
      <c r="BM357" s="21" t="s">
        <v>1476</v>
      </c>
    </row>
    <row r="358" spans="2:51" s="11" customFormat="1" ht="22.5" customHeight="1">
      <c r="B358" s="159"/>
      <c r="C358" s="160"/>
      <c r="D358" s="160"/>
      <c r="E358" s="161" t="s">
        <v>5</v>
      </c>
      <c r="F358" s="308" t="s">
        <v>2036</v>
      </c>
      <c r="G358" s="309"/>
      <c r="H358" s="309"/>
      <c r="I358" s="309"/>
      <c r="J358" s="160"/>
      <c r="K358" s="162">
        <v>5839.462</v>
      </c>
      <c r="L358" s="160"/>
      <c r="M358" s="160"/>
      <c r="N358" s="160"/>
      <c r="O358" s="160"/>
      <c r="P358" s="160"/>
      <c r="Q358" s="160"/>
      <c r="R358" s="163"/>
      <c r="T358" s="164"/>
      <c r="U358" s="160"/>
      <c r="V358" s="160"/>
      <c r="W358" s="160"/>
      <c r="X358" s="160"/>
      <c r="Y358" s="160"/>
      <c r="Z358" s="160"/>
      <c r="AA358" s="165"/>
      <c r="AT358" s="166" t="s">
        <v>179</v>
      </c>
      <c r="AU358" s="166" t="s">
        <v>135</v>
      </c>
      <c r="AV358" s="11" t="s">
        <v>135</v>
      </c>
      <c r="AW358" s="11" t="s">
        <v>35</v>
      </c>
      <c r="AX358" s="11" t="s">
        <v>21</v>
      </c>
      <c r="AY358" s="166" t="s">
        <v>167</v>
      </c>
    </row>
    <row r="359" spans="2:65" s="1" customFormat="1" ht="31.5" customHeight="1">
      <c r="B359" s="141"/>
      <c r="C359" s="142" t="s">
        <v>476</v>
      </c>
      <c r="D359" s="142" t="s">
        <v>168</v>
      </c>
      <c r="E359" s="143" t="s">
        <v>1477</v>
      </c>
      <c r="F359" s="293" t="s">
        <v>1478</v>
      </c>
      <c r="G359" s="293"/>
      <c r="H359" s="293"/>
      <c r="I359" s="293"/>
      <c r="J359" s="144" t="s">
        <v>176</v>
      </c>
      <c r="K359" s="145">
        <v>2919.731</v>
      </c>
      <c r="L359" s="294"/>
      <c r="M359" s="294"/>
      <c r="N359" s="294">
        <f>ROUND(L359*K359,2)</f>
        <v>0</v>
      </c>
      <c r="O359" s="294"/>
      <c r="P359" s="294"/>
      <c r="Q359" s="294"/>
      <c r="R359" s="146"/>
      <c r="T359" s="147" t="s">
        <v>5</v>
      </c>
      <c r="U359" s="44" t="s">
        <v>43</v>
      </c>
      <c r="V359" s="148">
        <v>0.046</v>
      </c>
      <c r="W359" s="148">
        <f>V359*K359</f>
        <v>134.307626</v>
      </c>
      <c r="X359" s="148">
        <v>0</v>
      </c>
      <c r="Y359" s="148">
        <f>X359*K359</f>
        <v>0</v>
      </c>
      <c r="Z359" s="148">
        <v>0</v>
      </c>
      <c r="AA359" s="149">
        <f>Z359*K359</f>
        <v>0</v>
      </c>
      <c r="AR359" s="21" t="s">
        <v>172</v>
      </c>
      <c r="AT359" s="21" t="s">
        <v>168</v>
      </c>
      <c r="AU359" s="21" t="s">
        <v>135</v>
      </c>
      <c r="AY359" s="21" t="s">
        <v>167</v>
      </c>
      <c r="BE359" s="150">
        <f>IF(U359="základní",N359,0)</f>
        <v>0</v>
      </c>
      <c r="BF359" s="150">
        <f>IF(U359="snížená",N359,0)</f>
        <v>0</v>
      </c>
      <c r="BG359" s="150">
        <f>IF(U359="zákl. přenesená",N359,0)</f>
        <v>0</v>
      </c>
      <c r="BH359" s="150">
        <f>IF(U359="sníž. přenesená",N359,0)</f>
        <v>0</v>
      </c>
      <c r="BI359" s="150">
        <f>IF(U359="nulová",N359,0)</f>
        <v>0</v>
      </c>
      <c r="BJ359" s="21" t="s">
        <v>21</v>
      </c>
      <c r="BK359" s="150">
        <f>ROUND(L359*K359,2)</f>
        <v>0</v>
      </c>
      <c r="BL359" s="21" t="s">
        <v>172</v>
      </c>
      <c r="BM359" s="21" t="s">
        <v>1479</v>
      </c>
    </row>
    <row r="360" spans="2:51" s="11" customFormat="1" ht="22.5" customHeight="1">
      <c r="B360" s="159"/>
      <c r="C360" s="160"/>
      <c r="D360" s="160"/>
      <c r="E360" s="161" t="s">
        <v>5</v>
      </c>
      <c r="F360" s="308" t="s">
        <v>2037</v>
      </c>
      <c r="G360" s="309"/>
      <c r="H360" s="309"/>
      <c r="I360" s="309"/>
      <c r="J360" s="160"/>
      <c r="K360" s="162">
        <v>2919.731</v>
      </c>
      <c r="L360" s="160"/>
      <c r="M360" s="160"/>
      <c r="N360" s="160"/>
      <c r="O360" s="160"/>
      <c r="P360" s="160"/>
      <c r="Q360" s="160"/>
      <c r="R360" s="163"/>
      <c r="T360" s="164"/>
      <c r="U360" s="160"/>
      <c r="V360" s="160"/>
      <c r="W360" s="160"/>
      <c r="X360" s="160"/>
      <c r="Y360" s="160"/>
      <c r="Z360" s="160"/>
      <c r="AA360" s="165"/>
      <c r="AT360" s="166" t="s">
        <v>179</v>
      </c>
      <c r="AU360" s="166" t="s">
        <v>135</v>
      </c>
      <c r="AV360" s="11" t="s">
        <v>135</v>
      </c>
      <c r="AW360" s="11" t="s">
        <v>35</v>
      </c>
      <c r="AX360" s="11" t="s">
        <v>21</v>
      </c>
      <c r="AY360" s="166" t="s">
        <v>167</v>
      </c>
    </row>
    <row r="361" spans="2:65" s="1" customFormat="1" ht="22.5" customHeight="1">
      <c r="B361" s="141"/>
      <c r="C361" s="142" t="s">
        <v>477</v>
      </c>
      <c r="D361" s="142" t="s">
        <v>168</v>
      </c>
      <c r="E361" s="143" t="s">
        <v>1480</v>
      </c>
      <c r="F361" s="293" t="s">
        <v>1481</v>
      </c>
      <c r="G361" s="293"/>
      <c r="H361" s="293"/>
      <c r="I361" s="293"/>
      <c r="J361" s="144" t="s">
        <v>176</v>
      </c>
      <c r="K361" s="145">
        <v>225.225</v>
      </c>
      <c r="L361" s="294"/>
      <c r="M361" s="294"/>
      <c r="N361" s="294">
        <f>ROUND(L361*K361,2)</f>
        <v>0</v>
      </c>
      <c r="O361" s="294"/>
      <c r="P361" s="294"/>
      <c r="Q361" s="294"/>
      <c r="R361" s="146"/>
      <c r="T361" s="147" t="s">
        <v>5</v>
      </c>
      <c r="U361" s="44" t="s">
        <v>43</v>
      </c>
      <c r="V361" s="148">
        <v>1.695</v>
      </c>
      <c r="W361" s="148">
        <f>V361*K361</f>
        <v>381.756375</v>
      </c>
      <c r="X361" s="148">
        <v>0</v>
      </c>
      <c r="Y361" s="148">
        <f>X361*K361</f>
        <v>0</v>
      </c>
      <c r="Z361" s="148">
        <v>0</v>
      </c>
      <c r="AA361" s="149">
        <f>Z361*K361</f>
        <v>0</v>
      </c>
      <c r="AR361" s="21" t="s">
        <v>172</v>
      </c>
      <c r="AT361" s="21" t="s">
        <v>168</v>
      </c>
      <c r="AU361" s="21" t="s">
        <v>135</v>
      </c>
      <c r="AY361" s="21" t="s">
        <v>167</v>
      </c>
      <c r="BE361" s="150">
        <f>IF(U361="základní",N361,0)</f>
        <v>0</v>
      </c>
      <c r="BF361" s="150">
        <f>IF(U361="snížená",N361,0)</f>
        <v>0</v>
      </c>
      <c r="BG361" s="150">
        <f>IF(U361="zákl. přenesená",N361,0)</f>
        <v>0</v>
      </c>
      <c r="BH361" s="150">
        <f>IF(U361="sníž. přenesená",N361,0)</f>
        <v>0</v>
      </c>
      <c r="BI361" s="150">
        <f>IF(U361="nulová",N361,0)</f>
        <v>0</v>
      </c>
      <c r="BJ361" s="21" t="s">
        <v>21</v>
      </c>
      <c r="BK361" s="150">
        <f>ROUND(L361*K361,2)</f>
        <v>0</v>
      </c>
      <c r="BL361" s="21" t="s">
        <v>172</v>
      </c>
      <c r="BM361" s="21" t="s">
        <v>1482</v>
      </c>
    </row>
    <row r="362" spans="2:51" s="10" customFormat="1" ht="22.5" customHeight="1">
      <c r="B362" s="151"/>
      <c r="C362" s="152"/>
      <c r="D362" s="152"/>
      <c r="E362" s="153" t="s">
        <v>5</v>
      </c>
      <c r="F362" s="300" t="s">
        <v>1483</v>
      </c>
      <c r="G362" s="301"/>
      <c r="H362" s="301"/>
      <c r="I362" s="301"/>
      <c r="J362" s="152"/>
      <c r="K362" s="154" t="s">
        <v>5</v>
      </c>
      <c r="L362" s="152"/>
      <c r="M362" s="152"/>
      <c r="N362" s="152"/>
      <c r="O362" s="152"/>
      <c r="P362" s="152"/>
      <c r="Q362" s="152"/>
      <c r="R362" s="155"/>
      <c r="T362" s="156"/>
      <c r="U362" s="152"/>
      <c r="V362" s="152"/>
      <c r="W362" s="152"/>
      <c r="X362" s="152"/>
      <c r="Y362" s="152"/>
      <c r="Z362" s="152"/>
      <c r="AA362" s="157"/>
      <c r="AT362" s="158" t="s">
        <v>179</v>
      </c>
      <c r="AU362" s="158" t="s">
        <v>135</v>
      </c>
      <c r="AV362" s="10" t="s">
        <v>21</v>
      </c>
      <c r="AW362" s="10" t="s">
        <v>35</v>
      </c>
      <c r="AX362" s="10" t="s">
        <v>78</v>
      </c>
      <c r="AY362" s="158" t="s">
        <v>167</v>
      </c>
    </row>
    <row r="363" spans="2:51" s="11" customFormat="1" ht="22.5" customHeight="1">
      <c r="B363" s="159"/>
      <c r="C363" s="160"/>
      <c r="D363" s="160"/>
      <c r="E363" s="161" t="s">
        <v>5</v>
      </c>
      <c r="F363" s="302" t="s">
        <v>2038</v>
      </c>
      <c r="G363" s="303"/>
      <c r="H363" s="303"/>
      <c r="I363" s="303"/>
      <c r="J363" s="160"/>
      <c r="K363" s="162">
        <v>225.225</v>
      </c>
      <c r="L363" s="160"/>
      <c r="M363" s="160"/>
      <c r="N363" s="160"/>
      <c r="O363" s="160"/>
      <c r="P363" s="160"/>
      <c r="Q363" s="160"/>
      <c r="R363" s="163"/>
      <c r="T363" s="164"/>
      <c r="U363" s="160"/>
      <c r="V363" s="160"/>
      <c r="W363" s="160"/>
      <c r="X363" s="160"/>
      <c r="Y363" s="160"/>
      <c r="Z363" s="160"/>
      <c r="AA363" s="165"/>
      <c r="AT363" s="166" t="s">
        <v>179</v>
      </c>
      <c r="AU363" s="166" t="s">
        <v>135</v>
      </c>
      <c r="AV363" s="11" t="s">
        <v>135</v>
      </c>
      <c r="AW363" s="11" t="s">
        <v>35</v>
      </c>
      <c r="AX363" s="11" t="s">
        <v>21</v>
      </c>
      <c r="AY363" s="166" t="s">
        <v>167</v>
      </c>
    </row>
    <row r="364" spans="2:65" s="1" customFormat="1" ht="31.5" customHeight="1">
      <c r="B364" s="141"/>
      <c r="C364" s="142" t="s">
        <v>478</v>
      </c>
      <c r="D364" s="142" t="s">
        <v>168</v>
      </c>
      <c r="E364" s="143" t="s">
        <v>1202</v>
      </c>
      <c r="F364" s="293" t="s">
        <v>1203</v>
      </c>
      <c r="G364" s="293"/>
      <c r="H364" s="293"/>
      <c r="I364" s="293"/>
      <c r="J364" s="144" t="s">
        <v>176</v>
      </c>
      <c r="K364" s="145">
        <v>900.9</v>
      </c>
      <c r="L364" s="294"/>
      <c r="M364" s="294"/>
      <c r="N364" s="294">
        <f>ROUND(L364*K364,2)</f>
        <v>0</v>
      </c>
      <c r="O364" s="294"/>
      <c r="P364" s="294"/>
      <c r="Q364" s="294"/>
      <c r="R364" s="146"/>
      <c r="T364" s="147" t="s">
        <v>5</v>
      </c>
      <c r="U364" s="44" t="s">
        <v>43</v>
      </c>
      <c r="V364" s="148">
        <v>1.5</v>
      </c>
      <c r="W364" s="148">
        <f>V364*K364</f>
        <v>1351.35</v>
      </c>
      <c r="X364" s="148">
        <v>0</v>
      </c>
      <c r="Y364" s="148">
        <f>X364*K364</f>
        <v>0</v>
      </c>
      <c r="Z364" s="148">
        <v>0</v>
      </c>
      <c r="AA364" s="149">
        <f>Z364*K364</f>
        <v>0</v>
      </c>
      <c r="AR364" s="21" t="s">
        <v>172</v>
      </c>
      <c r="AT364" s="21" t="s">
        <v>168</v>
      </c>
      <c r="AU364" s="21" t="s">
        <v>135</v>
      </c>
      <c r="AY364" s="21" t="s">
        <v>167</v>
      </c>
      <c r="BE364" s="150">
        <f>IF(U364="základní",N364,0)</f>
        <v>0</v>
      </c>
      <c r="BF364" s="150">
        <f>IF(U364="snížená",N364,0)</f>
        <v>0</v>
      </c>
      <c r="BG364" s="150">
        <f>IF(U364="zákl. přenesená",N364,0)</f>
        <v>0</v>
      </c>
      <c r="BH364" s="150">
        <f>IF(U364="sníž. přenesená",N364,0)</f>
        <v>0</v>
      </c>
      <c r="BI364" s="150">
        <f>IF(U364="nulová",N364,0)</f>
        <v>0</v>
      </c>
      <c r="BJ364" s="21" t="s">
        <v>21</v>
      </c>
      <c r="BK364" s="150">
        <f>ROUND(L364*K364,2)</f>
        <v>0</v>
      </c>
      <c r="BL364" s="21" t="s">
        <v>172</v>
      </c>
      <c r="BM364" s="21" t="s">
        <v>1204</v>
      </c>
    </row>
    <row r="365" spans="2:51" s="10" customFormat="1" ht="22.5" customHeight="1">
      <c r="B365" s="151"/>
      <c r="C365" s="152"/>
      <c r="D365" s="152"/>
      <c r="E365" s="153" t="s">
        <v>5</v>
      </c>
      <c r="F365" s="300" t="s">
        <v>1483</v>
      </c>
      <c r="G365" s="301"/>
      <c r="H365" s="301"/>
      <c r="I365" s="301"/>
      <c r="J365" s="152"/>
      <c r="K365" s="154" t="s">
        <v>5</v>
      </c>
      <c r="L365" s="152"/>
      <c r="M365" s="152"/>
      <c r="N365" s="152"/>
      <c r="O365" s="152"/>
      <c r="P365" s="152"/>
      <c r="Q365" s="152"/>
      <c r="R365" s="155"/>
      <c r="T365" s="156"/>
      <c r="U365" s="152"/>
      <c r="V365" s="152"/>
      <c r="W365" s="152"/>
      <c r="X365" s="152"/>
      <c r="Y365" s="152"/>
      <c r="Z365" s="152"/>
      <c r="AA365" s="157"/>
      <c r="AT365" s="158" t="s">
        <v>179</v>
      </c>
      <c r="AU365" s="158" t="s">
        <v>135</v>
      </c>
      <c r="AV365" s="10" t="s">
        <v>21</v>
      </c>
      <c r="AW365" s="10" t="s">
        <v>35</v>
      </c>
      <c r="AX365" s="10" t="s">
        <v>78</v>
      </c>
      <c r="AY365" s="158" t="s">
        <v>167</v>
      </c>
    </row>
    <row r="366" spans="2:51" s="11" customFormat="1" ht="22.5" customHeight="1">
      <c r="B366" s="159"/>
      <c r="C366" s="160"/>
      <c r="D366" s="160"/>
      <c r="E366" s="161" t="s">
        <v>5</v>
      </c>
      <c r="F366" s="302" t="s">
        <v>2039</v>
      </c>
      <c r="G366" s="303"/>
      <c r="H366" s="303"/>
      <c r="I366" s="303"/>
      <c r="J366" s="160"/>
      <c r="K366" s="162">
        <v>900.9</v>
      </c>
      <c r="L366" s="160"/>
      <c r="M366" s="160"/>
      <c r="N366" s="160"/>
      <c r="O366" s="160"/>
      <c r="P366" s="160"/>
      <c r="Q366" s="160"/>
      <c r="R366" s="163"/>
      <c r="T366" s="164"/>
      <c r="U366" s="160"/>
      <c r="V366" s="160"/>
      <c r="W366" s="160"/>
      <c r="X366" s="160"/>
      <c r="Y366" s="160"/>
      <c r="Z366" s="160"/>
      <c r="AA366" s="165"/>
      <c r="AT366" s="166" t="s">
        <v>179</v>
      </c>
      <c r="AU366" s="166" t="s">
        <v>135</v>
      </c>
      <c r="AV366" s="11" t="s">
        <v>135</v>
      </c>
      <c r="AW366" s="11" t="s">
        <v>35</v>
      </c>
      <c r="AX366" s="11" t="s">
        <v>21</v>
      </c>
      <c r="AY366" s="166" t="s">
        <v>167</v>
      </c>
    </row>
    <row r="367" spans="2:65" s="1" customFormat="1" ht="22.5" customHeight="1">
      <c r="B367" s="141"/>
      <c r="C367" s="178" t="s">
        <v>619</v>
      </c>
      <c r="D367" s="178" t="s">
        <v>317</v>
      </c>
      <c r="E367" s="179" t="s">
        <v>1208</v>
      </c>
      <c r="F367" s="313" t="s">
        <v>1209</v>
      </c>
      <c r="G367" s="313"/>
      <c r="H367" s="313"/>
      <c r="I367" s="313"/>
      <c r="J367" s="180" t="s">
        <v>210</v>
      </c>
      <c r="K367" s="181">
        <v>1369.368</v>
      </c>
      <c r="L367" s="314"/>
      <c r="M367" s="314"/>
      <c r="N367" s="314">
        <f>ROUND(L367*K367,2)</f>
        <v>0</v>
      </c>
      <c r="O367" s="294"/>
      <c r="P367" s="294"/>
      <c r="Q367" s="294"/>
      <c r="R367" s="146"/>
      <c r="T367" s="147" t="s">
        <v>5</v>
      </c>
      <c r="U367" s="44" t="s">
        <v>43</v>
      </c>
      <c r="V367" s="148">
        <v>0</v>
      </c>
      <c r="W367" s="148">
        <f>V367*K367</f>
        <v>0</v>
      </c>
      <c r="X367" s="148">
        <v>1</v>
      </c>
      <c r="Y367" s="148">
        <f>X367*K367</f>
        <v>1369.368</v>
      </c>
      <c r="Z367" s="148">
        <v>0</v>
      </c>
      <c r="AA367" s="149">
        <f>Z367*K367</f>
        <v>0</v>
      </c>
      <c r="AR367" s="21" t="s">
        <v>213</v>
      </c>
      <c r="AT367" s="21" t="s">
        <v>317</v>
      </c>
      <c r="AU367" s="21" t="s">
        <v>135</v>
      </c>
      <c r="AY367" s="21" t="s">
        <v>167</v>
      </c>
      <c r="BE367" s="150">
        <f>IF(U367="základní",N367,0)</f>
        <v>0</v>
      </c>
      <c r="BF367" s="150">
        <f>IF(U367="snížená",N367,0)</f>
        <v>0</v>
      </c>
      <c r="BG367" s="150">
        <f>IF(U367="zákl. přenesená",N367,0)</f>
        <v>0</v>
      </c>
      <c r="BH367" s="150">
        <f>IF(U367="sníž. přenesená",N367,0)</f>
        <v>0</v>
      </c>
      <c r="BI367" s="150">
        <f>IF(U367="nulová",N367,0)</f>
        <v>0</v>
      </c>
      <c r="BJ367" s="21" t="s">
        <v>21</v>
      </c>
      <c r="BK367" s="150">
        <f>ROUND(L367*K367,2)</f>
        <v>0</v>
      </c>
      <c r="BL367" s="21" t="s">
        <v>172</v>
      </c>
      <c r="BM367" s="21" t="s">
        <v>1210</v>
      </c>
    </row>
    <row r="368" spans="2:51" s="11" customFormat="1" ht="22.5" customHeight="1">
      <c r="B368" s="159"/>
      <c r="C368" s="160"/>
      <c r="D368" s="160"/>
      <c r="E368" s="161" t="s">
        <v>5</v>
      </c>
      <c r="F368" s="308" t="s">
        <v>2040</v>
      </c>
      <c r="G368" s="309"/>
      <c r="H368" s="309"/>
      <c r="I368" s="309"/>
      <c r="J368" s="160"/>
      <c r="K368" s="162">
        <v>1369.368</v>
      </c>
      <c r="L368" s="160"/>
      <c r="M368" s="160"/>
      <c r="N368" s="160"/>
      <c r="O368" s="160"/>
      <c r="P368" s="160"/>
      <c r="Q368" s="160"/>
      <c r="R368" s="163"/>
      <c r="T368" s="164"/>
      <c r="U368" s="160"/>
      <c r="V368" s="160"/>
      <c r="W368" s="160"/>
      <c r="X368" s="160"/>
      <c r="Y368" s="160"/>
      <c r="Z368" s="160"/>
      <c r="AA368" s="165"/>
      <c r="AT368" s="166" t="s">
        <v>179</v>
      </c>
      <c r="AU368" s="166" t="s">
        <v>135</v>
      </c>
      <c r="AV368" s="11" t="s">
        <v>135</v>
      </c>
      <c r="AW368" s="11" t="s">
        <v>35</v>
      </c>
      <c r="AX368" s="11" t="s">
        <v>21</v>
      </c>
      <c r="AY368" s="166" t="s">
        <v>167</v>
      </c>
    </row>
    <row r="369" spans="2:65" s="1" customFormat="1" ht="22.5" customHeight="1">
      <c r="B369" s="141"/>
      <c r="C369" s="142" t="s">
        <v>623</v>
      </c>
      <c r="D369" s="142" t="s">
        <v>168</v>
      </c>
      <c r="E369" s="143" t="s">
        <v>1484</v>
      </c>
      <c r="F369" s="293" t="s">
        <v>1485</v>
      </c>
      <c r="G369" s="293"/>
      <c r="H369" s="293"/>
      <c r="I369" s="293"/>
      <c r="J369" s="144" t="s">
        <v>176</v>
      </c>
      <c r="K369" s="145">
        <v>2919.731</v>
      </c>
      <c r="L369" s="294"/>
      <c r="M369" s="294"/>
      <c r="N369" s="294">
        <f>ROUND(L369*K369,2)</f>
        <v>0</v>
      </c>
      <c r="O369" s="294"/>
      <c r="P369" s="294"/>
      <c r="Q369" s="294"/>
      <c r="R369" s="146"/>
      <c r="T369" s="147" t="s">
        <v>5</v>
      </c>
      <c r="U369" s="44" t="s">
        <v>43</v>
      </c>
      <c r="V369" s="148">
        <v>1.5</v>
      </c>
      <c r="W369" s="148">
        <f>V369*K369</f>
        <v>4379.596500000001</v>
      </c>
      <c r="X369" s="148">
        <v>0</v>
      </c>
      <c r="Y369" s="148">
        <f>X369*K369</f>
        <v>0</v>
      </c>
      <c r="Z369" s="148">
        <v>0</v>
      </c>
      <c r="AA369" s="149">
        <f>Z369*K369</f>
        <v>0</v>
      </c>
      <c r="AR369" s="21" t="s">
        <v>172</v>
      </c>
      <c r="AT369" s="21" t="s">
        <v>168</v>
      </c>
      <c r="AU369" s="21" t="s">
        <v>135</v>
      </c>
      <c r="AY369" s="21" t="s">
        <v>167</v>
      </c>
      <c r="BE369" s="150">
        <f>IF(U369="základní",N369,0)</f>
        <v>0</v>
      </c>
      <c r="BF369" s="150">
        <f>IF(U369="snížená",N369,0)</f>
        <v>0</v>
      </c>
      <c r="BG369" s="150">
        <f>IF(U369="zákl. přenesená",N369,0)</f>
        <v>0</v>
      </c>
      <c r="BH369" s="150">
        <f>IF(U369="sníž. přenesená",N369,0)</f>
        <v>0</v>
      </c>
      <c r="BI369" s="150">
        <f>IF(U369="nulová",N369,0)</f>
        <v>0</v>
      </c>
      <c r="BJ369" s="21" t="s">
        <v>21</v>
      </c>
      <c r="BK369" s="150">
        <f>ROUND(L369*K369,2)</f>
        <v>0</v>
      </c>
      <c r="BL369" s="21" t="s">
        <v>172</v>
      </c>
      <c r="BM369" s="21" t="s">
        <v>1486</v>
      </c>
    </row>
    <row r="370" spans="2:51" s="11" customFormat="1" ht="22.5" customHeight="1">
      <c r="B370" s="159"/>
      <c r="C370" s="160"/>
      <c r="D370" s="160"/>
      <c r="E370" s="161" t="s">
        <v>5</v>
      </c>
      <c r="F370" s="308" t="s">
        <v>2001</v>
      </c>
      <c r="G370" s="309"/>
      <c r="H370" s="309"/>
      <c r="I370" s="309"/>
      <c r="J370" s="160"/>
      <c r="K370" s="162">
        <v>4462.151</v>
      </c>
      <c r="L370" s="160"/>
      <c r="M370" s="160"/>
      <c r="N370" s="160"/>
      <c r="O370" s="160"/>
      <c r="P370" s="160"/>
      <c r="Q370" s="160"/>
      <c r="R370" s="163"/>
      <c r="T370" s="164"/>
      <c r="U370" s="160"/>
      <c r="V370" s="160"/>
      <c r="W370" s="160"/>
      <c r="X370" s="160"/>
      <c r="Y370" s="160"/>
      <c r="Z370" s="160"/>
      <c r="AA370" s="165"/>
      <c r="AT370" s="166" t="s">
        <v>179</v>
      </c>
      <c r="AU370" s="166" t="s">
        <v>135</v>
      </c>
      <c r="AV370" s="11" t="s">
        <v>135</v>
      </c>
      <c r="AW370" s="11" t="s">
        <v>35</v>
      </c>
      <c r="AX370" s="11" t="s">
        <v>78</v>
      </c>
      <c r="AY370" s="166" t="s">
        <v>167</v>
      </c>
    </row>
    <row r="371" spans="2:51" s="11" customFormat="1" ht="31.5" customHeight="1">
      <c r="B371" s="159"/>
      <c r="C371" s="160"/>
      <c r="D371" s="160"/>
      <c r="E371" s="161" t="s">
        <v>5</v>
      </c>
      <c r="F371" s="302" t="s">
        <v>1993</v>
      </c>
      <c r="G371" s="303"/>
      <c r="H371" s="303"/>
      <c r="I371" s="303"/>
      <c r="J371" s="160"/>
      <c r="K371" s="162">
        <v>-233.97</v>
      </c>
      <c r="L371" s="160"/>
      <c r="M371" s="160"/>
      <c r="N371" s="160"/>
      <c r="O371" s="160"/>
      <c r="P371" s="160"/>
      <c r="Q371" s="160"/>
      <c r="R371" s="163"/>
      <c r="T371" s="164"/>
      <c r="U371" s="160"/>
      <c r="V371" s="160"/>
      <c r="W371" s="160"/>
      <c r="X371" s="160"/>
      <c r="Y371" s="160"/>
      <c r="Z371" s="160"/>
      <c r="AA371" s="165"/>
      <c r="AT371" s="166" t="s">
        <v>179</v>
      </c>
      <c r="AU371" s="166" t="s">
        <v>135</v>
      </c>
      <c r="AV371" s="11" t="s">
        <v>135</v>
      </c>
      <c r="AW371" s="11" t="s">
        <v>35</v>
      </c>
      <c r="AX371" s="11" t="s">
        <v>78</v>
      </c>
      <c r="AY371" s="166" t="s">
        <v>167</v>
      </c>
    </row>
    <row r="372" spans="2:51" s="11" customFormat="1" ht="31.5" customHeight="1">
      <c r="B372" s="159"/>
      <c r="C372" s="160"/>
      <c r="D372" s="160"/>
      <c r="E372" s="161" t="s">
        <v>5</v>
      </c>
      <c r="F372" s="302" t="s">
        <v>1994</v>
      </c>
      <c r="G372" s="303"/>
      <c r="H372" s="303"/>
      <c r="I372" s="303"/>
      <c r="J372" s="160"/>
      <c r="K372" s="162">
        <v>-182.325</v>
      </c>
      <c r="L372" s="160"/>
      <c r="M372" s="160"/>
      <c r="N372" s="160"/>
      <c r="O372" s="160"/>
      <c r="P372" s="160"/>
      <c r="Q372" s="160"/>
      <c r="R372" s="163"/>
      <c r="T372" s="164"/>
      <c r="U372" s="160"/>
      <c r="V372" s="160"/>
      <c r="W372" s="160"/>
      <c r="X372" s="160"/>
      <c r="Y372" s="160"/>
      <c r="Z372" s="160"/>
      <c r="AA372" s="165"/>
      <c r="AT372" s="166" t="s">
        <v>179</v>
      </c>
      <c r="AU372" s="166" t="s">
        <v>135</v>
      </c>
      <c r="AV372" s="11" t="s">
        <v>135</v>
      </c>
      <c r="AW372" s="11" t="s">
        <v>35</v>
      </c>
      <c r="AX372" s="11" t="s">
        <v>78</v>
      </c>
      <c r="AY372" s="166" t="s">
        <v>167</v>
      </c>
    </row>
    <row r="373" spans="2:51" s="13" customFormat="1" ht="22.5" customHeight="1">
      <c r="B373" s="186"/>
      <c r="C373" s="187"/>
      <c r="D373" s="187"/>
      <c r="E373" s="188" t="s">
        <v>5</v>
      </c>
      <c r="F373" s="337" t="s">
        <v>1278</v>
      </c>
      <c r="G373" s="338"/>
      <c r="H373" s="338"/>
      <c r="I373" s="338"/>
      <c r="J373" s="187"/>
      <c r="K373" s="189">
        <v>4045.856</v>
      </c>
      <c r="L373" s="187"/>
      <c r="M373" s="187"/>
      <c r="N373" s="187"/>
      <c r="O373" s="187"/>
      <c r="P373" s="187"/>
      <c r="Q373" s="187"/>
      <c r="R373" s="190"/>
      <c r="T373" s="191"/>
      <c r="U373" s="187"/>
      <c r="V373" s="187"/>
      <c r="W373" s="187"/>
      <c r="X373" s="187"/>
      <c r="Y373" s="187"/>
      <c r="Z373" s="187"/>
      <c r="AA373" s="192"/>
      <c r="AT373" s="193" t="s">
        <v>179</v>
      </c>
      <c r="AU373" s="193" t="s">
        <v>135</v>
      </c>
      <c r="AV373" s="13" t="s">
        <v>184</v>
      </c>
      <c r="AW373" s="13" t="s">
        <v>35</v>
      </c>
      <c r="AX373" s="13" t="s">
        <v>78</v>
      </c>
      <c r="AY373" s="193" t="s">
        <v>167</v>
      </c>
    </row>
    <row r="374" spans="2:51" s="11" customFormat="1" ht="22.5" customHeight="1">
      <c r="B374" s="159"/>
      <c r="C374" s="160"/>
      <c r="D374" s="160"/>
      <c r="E374" s="161" t="s">
        <v>5</v>
      </c>
      <c r="F374" s="302" t="s">
        <v>2041</v>
      </c>
      <c r="G374" s="303"/>
      <c r="H374" s="303"/>
      <c r="I374" s="303"/>
      <c r="J374" s="160"/>
      <c r="K374" s="162">
        <v>-225.225</v>
      </c>
      <c r="L374" s="160"/>
      <c r="M374" s="160"/>
      <c r="N374" s="160"/>
      <c r="O374" s="160"/>
      <c r="P374" s="160"/>
      <c r="Q374" s="160"/>
      <c r="R374" s="163"/>
      <c r="T374" s="164"/>
      <c r="U374" s="160"/>
      <c r="V374" s="160"/>
      <c r="W374" s="160"/>
      <c r="X374" s="160"/>
      <c r="Y374" s="160"/>
      <c r="Z374" s="160"/>
      <c r="AA374" s="165"/>
      <c r="AT374" s="166" t="s">
        <v>179</v>
      </c>
      <c r="AU374" s="166" t="s">
        <v>135</v>
      </c>
      <c r="AV374" s="11" t="s">
        <v>135</v>
      </c>
      <c r="AW374" s="11" t="s">
        <v>35</v>
      </c>
      <c r="AX374" s="11" t="s">
        <v>78</v>
      </c>
      <c r="AY374" s="166" t="s">
        <v>167</v>
      </c>
    </row>
    <row r="375" spans="2:51" s="11" customFormat="1" ht="22.5" customHeight="1">
      <c r="B375" s="159"/>
      <c r="C375" s="160"/>
      <c r="D375" s="160"/>
      <c r="E375" s="161" t="s">
        <v>5</v>
      </c>
      <c r="F375" s="302" t="s">
        <v>2042</v>
      </c>
      <c r="G375" s="303"/>
      <c r="H375" s="303"/>
      <c r="I375" s="303"/>
      <c r="J375" s="160"/>
      <c r="K375" s="162">
        <v>-900.9</v>
      </c>
      <c r="L375" s="160"/>
      <c r="M375" s="160"/>
      <c r="N375" s="160"/>
      <c r="O375" s="160"/>
      <c r="P375" s="160"/>
      <c r="Q375" s="160"/>
      <c r="R375" s="163"/>
      <c r="T375" s="164"/>
      <c r="U375" s="160"/>
      <c r="V375" s="160"/>
      <c r="W375" s="160"/>
      <c r="X375" s="160"/>
      <c r="Y375" s="160"/>
      <c r="Z375" s="160"/>
      <c r="AA375" s="165"/>
      <c r="AT375" s="166" t="s">
        <v>179</v>
      </c>
      <c r="AU375" s="166" t="s">
        <v>135</v>
      </c>
      <c r="AV375" s="11" t="s">
        <v>135</v>
      </c>
      <c r="AW375" s="11" t="s">
        <v>35</v>
      </c>
      <c r="AX375" s="11" t="s">
        <v>78</v>
      </c>
      <c r="AY375" s="166" t="s">
        <v>167</v>
      </c>
    </row>
    <row r="376" spans="2:51" s="13" customFormat="1" ht="22.5" customHeight="1">
      <c r="B376" s="186"/>
      <c r="C376" s="187"/>
      <c r="D376" s="187"/>
      <c r="E376" s="188" t="s">
        <v>5</v>
      </c>
      <c r="F376" s="337" t="s">
        <v>1278</v>
      </c>
      <c r="G376" s="338"/>
      <c r="H376" s="338"/>
      <c r="I376" s="338"/>
      <c r="J376" s="187"/>
      <c r="K376" s="189">
        <v>-1126.125</v>
      </c>
      <c r="L376" s="187"/>
      <c r="M376" s="187"/>
      <c r="N376" s="187"/>
      <c r="O376" s="187"/>
      <c r="P376" s="187"/>
      <c r="Q376" s="187"/>
      <c r="R376" s="190"/>
      <c r="T376" s="191"/>
      <c r="U376" s="187"/>
      <c r="V376" s="187"/>
      <c r="W376" s="187"/>
      <c r="X376" s="187"/>
      <c r="Y376" s="187"/>
      <c r="Z376" s="187"/>
      <c r="AA376" s="192"/>
      <c r="AT376" s="193" t="s">
        <v>179</v>
      </c>
      <c r="AU376" s="193" t="s">
        <v>135</v>
      </c>
      <c r="AV376" s="13" t="s">
        <v>184</v>
      </c>
      <c r="AW376" s="13" t="s">
        <v>35</v>
      </c>
      <c r="AX376" s="13" t="s">
        <v>78</v>
      </c>
      <c r="AY376" s="193" t="s">
        <v>167</v>
      </c>
    </row>
    <row r="377" spans="2:51" s="12" customFormat="1" ht="22.5" customHeight="1">
      <c r="B377" s="167"/>
      <c r="C377" s="168"/>
      <c r="D377" s="168"/>
      <c r="E377" s="169" t="s">
        <v>5</v>
      </c>
      <c r="F377" s="306" t="s">
        <v>183</v>
      </c>
      <c r="G377" s="307"/>
      <c r="H377" s="307"/>
      <c r="I377" s="307"/>
      <c r="J377" s="168"/>
      <c r="K377" s="170">
        <v>2919.731</v>
      </c>
      <c r="L377" s="168"/>
      <c r="M377" s="168"/>
      <c r="N377" s="168"/>
      <c r="O377" s="168"/>
      <c r="P377" s="168"/>
      <c r="Q377" s="168"/>
      <c r="R377" s="171"/>
      <c r="T377" s="172"/>
      <c r="U377" s="168"/>
      <c r="V377" s="168"/>
      <c r="W377" s="168"/>
      <c r="X377" s="168"/>
      <c r="Y377" s="168"/>
      <c r="Z377" s="168"/>
      <c r="AA377" s="173"/>
      <c r="AT377" s="174" t="s">
        <v>179</v>
      </c>
      <c r="AU377" s="174" t="s">
        <v>135</v>
      </c>
      <c r="AV377" s="12" t="s">
        <v>172</v>
      </c>
      <c r="AW377" s="12" t="s">
        <v>35</v>
      </c>
      <c r="AX377" s="12" t="s">
        <v>21</v>
      </c>
      <c r="AY377" s="174" t="s">
        <v>167</v>
      </c>
    </row>
    <row r="378" spans="2:65" s="1" customFormat="1" ht="31.5" customHeight="1">
      <c r="B378" s="141"/>
      <c r="C378" s="142" t="s">
        <v>628</v>
      </c>
      <c r="D378" s="142" t="s">
        <v>168</v>
      </c>
      <c r="E378" s="143" t="s">
        <v>1488</v>
      </c>
      <c r="F378" s="293" t="s">
        <v>1489</v>
      </c>
      <c r="G378" s="293"/>
      <c r="H378" s="293"/>
      <c r="I378" s="293"/>
      <c r="J378" s="144" t="s">
        <v>176</v>
      </c>
      <c r="K378" s="145">
        <v>94.497</v>
      </c>
      <c r="L378" s="294"/>
      <c r="M378" s="294"/>
      <c r="N378" s="294">
        <f>ROUND(L378*K378,2)</f>
        <v>0</v>
      </c>
      <c r="O378" s="294"/>
      <c r="P378" s="294"/>
      <c r="Q378" s="294"/>
      <c r="R378" s="146"/>
      <c r="T378" s="147" t="s">
        <v>5</v>
      </c>
      <c r="U378" s="44" t="s">
        <v>43</v>
      </c>
      <c r="V378" s="148">
        <v>1.239</v>
      </c>
      <c r="W378" s="148">
        <f>V378*K378</f>
        <v>117.08178300000002</v>
      </c>
      <c r="X378" s="148">
        <v>0</v>
      </c>
      <c r="Y378" s="148">
        <f>X378*K378</f>
        <v>0</v>
      </c>
      <c r="Z378" s="148">
        <v>0</v>
      </c>
      <c r="AA378" s="149">
        <f>Z378*K378</f>
        <v>0</v>
      </c>
      <c r="AR378" s="21" t="s">
        <v>172</v>
      </c>
      <c r="AT378" s="21" t="s">
        <v>168</v>
      </c>
      <c r="AU378" s="21" t="s">
        <v>135</v>
      </c>
      <c r="AY378" s="21" t="s">
        <v>167</v>
      </c>
      <c r="BE378" s="150">
        <f>IF(U378="základní",N378,0)</f>
        <v>0</v>
      </c>
      <c r="BF378" s="150">
        <f>IF(U378="snížená",N378,0)</f>
        <v>0</v>
      </c>
      <c r="BG378" s="150">
        <f>IF(U378="zákl. přenesená",N378,0)</f>
        <v>0</v>
      </c>
      <c r="BH378" s="150">
        <f>IF(U378="sníž. přenesená",N378,0)</f>
        <v>0</v>
      </c>
      <c r="BI378" s="150">
        <f>IF(U378="nulová",N378,0)</f>
        <v>0</v>
      </c>
      <c r="BJ378" s="21" t="s">
        <v>21</v>
      </c>
      <c r="BK378" s="150">
        <f>ROUND(L378*K378,2)</f>
        <v>0</v>
      </c>
      <c r="BL378" s="21" t="s">
        <v>172</v>
      </c>
      <c r="BM378" s="21" t="s">
        <v>1490</v>
      </c>
    </row>
    <row r="379" spans="2:51" s="10" customFormat="1" ht="22.5" customHeight="1">
      <c r="B379" s="151"/>
      <c r="C379" s="152"/>
      <c r="D379" s="152"/>
      <c r="E379" s="153" t="s">
        <v>5</v>
      </c>
      <c r="F379" s="300" t="s">
        <v>2043</v>
      </c>
      <c r="G379" s="301"/>
      <c r="H379" s="301"/>
      <c r="I379" s="301"/>
      <c r="J379" s="152"/>
      <c r="K379" s="154" t="s">
        <v>5</v>
      </c>
      <c r="L379" s="152"/>
      <c r="M379" s="152"/>
      <c r="N379" s="152"/>
      <c r="O379" s="152"/>
      <c r="P379" s="152"/>
      <c r="Q379" s="152"/>
      <c r="R379" s="155"/>
      <c r="T379" s="156"/>
      <c r="U379" s="152"/>
      <c r="V379" s="152"/>
      <c r="W379" s="152"/>
      <c r="X379" s="152"/>
      <c r="Y379" s="152"/>
      <c r="Z379" s="152"/>
      <c r="AA379" s="157"/>
      <c r="AT379" s="158" t="s">
        <v>179</v>
      </c>
      <c r="AU379" s="158" t="s">
        <v>135</v>
      </c>
      <c r="AV379" s="10" t="s">
        <v>21</v>
      </c>
      <c r="AW379" s="10" t="s">
        <v>35</v>
      </c>
      <c r="AX379" s="10" t="s">
        <v>78</v>
      </c>
      <c r="AY379" s="158" t="s">
        <v>167</v>
      </c>
    </row>
    <row r="380" spans="2:51" s="11" customFormat="1" ht="22.5" customHeight="1">
      <c r="B380" s="159"/>
      <c r="C380" s="160"/>
      <c r="D380" s="160"/>
      <c r="E380" s="161" t="s">
        <v>5</v>
      </c>
      <c r="F380" s="302" t="s">
        <v>2044</v>
      </c>
      <c r="G380" s="303"/>
      <c r="H380" s="303"/>
      <c r="I380" s="303"/>
      <c r="J380" s="160"/>
      <c r="K380" s="162">
        <v>94.497</v>
      </c>
      <c r="L380" s="160"/>
      <c r="M380" s="160"/>
      <c r="N380" s="160"/>
      <c r="O380" s="160"/>
      <c r="P380" s="160"/>
      <c r="Q380" s="160"/>
      <c r="R380" s="163"/>
      <c r="T380" s="164"/>
      <c r="U380" s="160"/>
      <c r="V380" s="160"/>
      <c r="W380" s="160"/>
      <c r="X380" s="160"/>
      <c r="Y380" s="160"/>
      <c r="Z380" s="160"/>
      <c r="AA380" s="165"/>
      <c r="AT380" s="166" t="s">
        <v>179</v>
      </c>
      <c r="AU380" s="166" t="s">
        <v>135</v>
      </c>
      <c r="AV380" s="11" t="s">
        <v>135</v>
      </c>
      <c r="AW380" s="11" t="s">
        <v>35</v>
      </c>
      <c r="AX380" s="11" t="s">
        <v>21</v>
      </c>
      <c r="AY380" s="166" t="s">
        <v>167</v>
      </c>
    </row>
    <row r="381" spans="2:65" s="1" customFormat="1" ht="31.5" customHeight="1">
      <c r="B381" s="141"/>
      <c r="C381" s="142" t="s">
        <v>633</v>
      </c>
      <c r="D381" s="142" t="s">
        <v>168</v>
      </c>
      <c r="E381" s="143" t="s">
        <v>1148</v>
      </c>
      <c r="F381" s="293" t="s">
        <v>1149</v>
      </c>
      <c r="G381" s="293"/>
      <c r="H381" s="293"/>
      <c r="I381" s="293"/>
      <c r="J381" s="144" t="s">
        <v>199</v>
      </c>
      <c r="K381" s="145">
        <v>1362.2</v>
      </c>
      <c r="L381" s="294"/>
      <c r="M381" s="294"/>
      <c r="N381" s="294">
        <f>ROUND(L381*K381,2)</f>
        <v>0</v>
      </c>
      <c r="O381" s="294"/>
      <c r="P381" s="294"/>
      <c r="Q381" s="294"/>
      <c r="R381" s="146"/>
      <c r="T381" s="147" t="s">
        <v>5</v>
      </c>
      <c r="U381" s="44" t="s">
        <v>43</v>
      </c>
      <c r="V381" s="148">
        <v>0.019</v>
      </c>
      <c r="W381" s="148">
        <f>V381*K381</f>
        <v>25.881800000000002</v>
      </c>
      <c r="X381" s="148">
        <v>0</v>
      </c>
      <c r="Y381" s="148">
        <f>X381*K381</f>
        <v>0</v>
      </c>
      <c r="Z381" s="148">
        <v>0</v>
      </c>
      <c r="AA381" s="149">
        <f>Z381*K381</f>
        <v>0</v>
      </c>
      <c r="AR381" s="21" t="s">
        <v>172</v>
      </c>
      <c r="AT381" s="21" t="s">
        <v>168</v>
      </c>
      <c r="AU381" s="21" t="s">
        <v>135</v>
      </c>
      <c r="AY381" s="21" t="s">
        <v>167</v>
      </c>
      <c r="BE381" s="150">
        <f>IF(U381="základní",N381,0)</f>
        <v>0</v>
      </c>
      <c r="BF381" s="150">
        <f>IF(U381="snížená",N381,0)</f>
        <v>0</v>
      </c>
      <c r="BG381" s="150">
        <f>IF(U381="zákl. přenesená",N381,0)</f>
        <v>0</v>
      </c>
      <c r="BH381" s="150">
        <f>IF(U381="sníž. přenesená",N381,0)</f>
        <v>0</v>
      </c>
      <c r="BI381" s="150">
        <f>IF(U381="nulová",N381,0)</f>
        <v>0</v>
      </c>
      <c r="BJ381" s="21" t="s">
        <v>21</v>
      </c>
      <c r="BK381" s="150">
        <f>ROUND(L381*K381,2)</f>
        <v>0</v>
      </c>
      <c r="BL381" s="21" t="s">
        <v>172</v>
      </c>
      <c r="BM381" s="21" t="s">
        <v>1493</v>
      </c>
    </row>
    <row r="382" spans="2:51" s="11" customFormat="1" ht="22.5" customHeight="1">
      <c r="B382" s="159"/>
      <c r="C382" s="160"/>
      <c r="D382" s="160"/>
      <c r="E382" s="161" t="s">
        <v>5</v>
      </c>
      <c r="F382" s="308" t="s">
        <v>2045</v>
      </c>
      <c r="G382" s="309"/>
      <c r="H382" s="309"/>
      <c r="I382" s="309"/>
      <c r="J382" s="160"/>
      <c r="K382" s="162">
        <v>1362.2</v>
      </c>
      <c r="L382" s="160"/>
      <c r="M382" s="160"/>
      <c r="N382" s="160"/>
      <c r="O382" s="160"/>
      <c r="P382" s="160"/>
      <c r="Q382" s="160"/>
      <c r="R382" s="163"/>
      <c r="T382" s="164"/>
      <c r="U382" s="160"/>
      <c r="V382" s="160"/>
      <c r="W382" s="160"/>
      <c r="X382" s="160"/>
      <c r="Y382" s="160"/>
      <c r="Z382" s="160"/>
      <c r="AA382" s="165"/>
      <c r="AT382" s="166" t="s">
        <v>179</v>
      </c>
      <c r="AU382" s="166" t="s">
        <v>135</v>
      </c>
      <c r="AV382" s="11" t="s">
        <v>135</v>
      </c>
      <c r="AW382" s="11" t="s">
        <v>35</v>
      </c>
      <c r="AX382" s="11" t="s">
        <v>21</v>
      </c>
      <c r="AY382" s="166" t="s">
        <v>167</v>
      </c>
    </row>
    <row r="383" spans="2:65" s="1" customFormat="1" ht="31.5" customHeight="1">
      <c r="B383" s="141"/>
      <c r="C383" s="142" t="s">
        <v>638</v>
      </c>
      <c r="D383" s="142" t="s">
        <v>168</v>
      </c>
      <c r="E383" s="143" t="s">
        <v>1501</v>
      </c>
      <c r="F383" s="293" t="s">
        <v>1502</v>
      </c>
      <c r="G383" s="293"/>
      <c r="H383" s="293"/>
      <c r="I383" s="293"/>
      <c r="J383" s="144" t="s">
        <v>171</v>
      </c>
      <c r="K383" s="145">
        <v>1</v>
      </c>
      <c r="L383" s="294"/>
      <c r="M383" s="294"/>
      <c r="N383" s="294">
        <f>ROUND(L383*K383,2)</f>
        <v>0</v>
      </c>
      <c r="O383" s="294"/>
      <c r="P383" s="294"/>
      <c r="Q383" s="294"/>
      <c r="R383" s="146"/>
      <c r="T383" s="147" t="s">
        <v>5</v>
      </c>
      <c r="U383" s="44" t="s">
        <v>43</v>
      </c>
      <c r="V383" s="148">
        <v>1.82</v>
      </c>
      <c r="W383" s="148">
        <f>V383*K383</f>
        <v>1.82</v>
      </c>
      <c r="X383" s="148">
        <v>0</v>
      </c>
      <c r="Y383" s="148">
        <f>X383*K383</f>
        <v>0</v>
      </c>
      <c r="Z383" s="148">
        <v>0</v>
      </c>
      <c r="AA383" s="149">
        <f>Z383*K383</f>
        <v>0</v>
      </c>
      <c r="AR383" s="21" t="s">
        <v>172</v>
      </c>
      <c r="AT383" s="21" t="s">
        <v>168</v>
      </c>
      <c r="AU383" s="21" t="s">
        <v>135</v>
      </c>
      <c r="AY383" s="21" t="s">
        <v>167</v>
      </c>
      <c r="BE383" s="150">
        <f>IF(U383="základní",N383,0)</f>
        <v>0</v>
      </c>
      <c r="BF383" s="150">
        <f>IF(U383="snížená",N383,0)</f>
        <v>0</v>
      </c>
      <c r="BG383" s="150">
        <f>IF(U383="zákl. přenesená",N383,0)</f>
        <v>0</v>
      </c>
      <c r="BH383" s="150">
        <f>IF(U383="sníž. přenesená",N383,0)</f>
        <v>0</v>
      </c>
      <c r="BI383" s="150">
        <f>IF(U383="nulová",N383,0)</f>
        <v>0</v>
      </c>
      <c r="BJ383" s="21" t="s">
        <v>21</v>
      </c>
      <c r="BK383" s="150">
        <f>ROUND(L383*K383,2)</f>
        <v>0</v>
      </c>
      <c r="BL383" s="21" t="s">
        <v>172</v>
      </c>
      <c r="BM383" s="21" t="s">
        <v>1503</v>
      </c>
    </row>
    <row r="384" spans="2:63" s="9" customFormat="1" ht="29.85" customHeight="1">
      <c r="B384" s="130"/>
      <c r="C384" s="131"/>
      <c r="D384" s="140" t="s">
        <v>149</v>
      </c>
      <c r="E384" s="140"/>
      <c r="F384" s="140"/>
      <c r="G384" s="140"/>
      <c r="H384" s="140"/>
      <c r="I384" s="140"/>
      <c r="J384" s="140"/>
      <c r="K384" s="140"/>
      <c r="L384" s="140"/>
      <c r="M384" s="140"/>
      <c r="N384" s="310">
        <f>BK384</f>
        <v>0</v>
      </c>
      <c r="O384" s="311"/>
      <c r="P384" s="311"/>
      <c r="Q384" s="311"/>
      <c r="R384" s="133"/>
      <c r="T384" s="134"/>
      <c r="U384" s="131"/>
      <c r="V384" s="131"/>
      <c r="W384" s="135">
        <f>SUM(W385:W392)</f>
        <v>292.7925</v>
      </c>
      <c r="X384" s="131"/>
      <c r="Y384" s="135">
        <f>SUM(Y385:Y392)</f>
        <v>263.66846</v>
      </c>
      <c r="Z384" s="131"/>
      <c r="AA384" s="136">
        <f>SUM(AA385:AA392)</f>
        <v>0</v>
      </c>
      <c r="AR384" s="137" t="s">
        <v>21</v>
      </c>
      <c r="AT384" s="138" t="s">
        <v>77</v>
      </c>
      <c r="AU384" s="138" t="s">
        <v>21</v>
      </c>
      <c r="AY384" s="137" t="s">
        <v>167</v>
      </c>
      <c r="BK384" s="139">
        <f>SUM(BK385:BK392)</f>
        <v>0</v>
      </c>
    </row>
    <row r="385" spans="2:65" s="1" customFormat="1" ht="31.5" customHeight="1">
      <c r="B385" s="141"/>
      <c r="C385" s="142" t="s">
        <v>775</v>
      </c>
      <c r="D385" s="142" t="s">
        <v>168</v>
      </c>
      <c r="E385" s="143" t="s">
        <v>1504</v>
      </c>
      <c r="F385" s="293" t="s">
        <v>1505</v>
      </c>
      <c r="G385" s="293"/>
      <c r="H385" s="293"/>
      <c r="I385" s="293"/>
      <c r="J385" s="144" t="s">
        <v>259</v>
      </c>
      <c r="K385" s="145">
        <v>819</v>
      </c>
      <c r="L385" s="294"/>
      <c r="M385" s="294"/>
      <c r="N385" s="294">
        <f>ROUND(L385*K385,2)</f>
        <v>0</v>
      </c>
      <c r="O385" s="294"/>
      <c r="P385" s="294"/>
      <c r="Q385" s="294"/>
      <c r="R385" s="146"/>
      <c r="T385" s="147" t="s">
        <v>5</v>
      </c>
      <c r="U385" s="44" t="s">
        <v>43</v>
      </c>
      <c r="V385" s="148">
        <v>0.05</v>
      </c>
      <c r="W385" s="148">
        <f>V385*K385</f>
        <v>40.95</v>
      </c>
      <c r="X385" s="148">
        <v>0.01034</v>
      </c>
      <c r="Y385" s="148">
        <f>X385*K385</f>
        <v>8.46846</v>
      </c>
      <c r="Z385" s="148">
        <v>0</v>
      </c>
      <c r="AA385" s="149">
        <f>Z385*K385</f>
        <v>0</v>
      </c>
      <c r="AR385" s="21" t="s">
        <v>172</v>
      </c>
      <c r="AT385" s="21" t="s">
        <v>168</v>
      </c>
      <c r="AU385" s="21" t="s">
        <v>135</v>
      </c>
      <c r="AY385" s="21" t="s">
        <v>167</v>
      </c>
      <c r="BE385" s="150">
        <f>IF(U385="základní",N385,0)</f>
        <v>0</v>
      </c>
      <c r="BF385" s="150">
        <f>IF(U385="snížená",N385,0)</f>
        <v>0</v>
      </c>
      <c r="BG385" s="150">
        <f>IF(U385="zákl. přenesená",N385,0)</f>
        <v>0</v>
      </c>
      <c r="BH385" s="150">
        <f>IF(U385="sníž. přenesená",N385,0)</f>
        <v>0</v>
      </c>
      <c r="BI385" s="150">
        <f>IF(U385="nulová",N385,0)</f>
        <v>0</v>
      </c>
      <c r="BJ385" s="21" t="s">
        <v>21</v>
      </c>
      <c r="BK385" s="150">
        <f>ROUND(L385*K385,2)</f>
        <v>0</v>
      </c>
      <c r="BL385" s="21" t="s">
        <v>172</v>
      </c>
      <c r="BM385" s="21" t="s">
        <v>1506</v>
      </c>
    </row>
    <row r="386" spans="2:51" s="10" customFormat="1" ht="31.5" customHeight="1">
      <c r="B386" s="151"/>
      <c r="C386" s="152"/>
      <c r="D386" s="152"/>
      <c r="E386" s="153" t="s">
        <v>5</v>
      </c>
      <c r="F386" s="300" t="s">
        <v>1507</v>
      </c>
      <c r="G386" s="301"/>
      <c r="H386" s="301"/>
      <c r="I386" s="301"/>
      <c r="J386" s="152"/>
      <c r="K386" s="154" t="s">
        <v>5</v>
      </c>
      <c r="L386" s="152"/>
      <c r="M386" s="152"/>
      <c r="N386" s="152"/>
      <c r="O386" s="152"/>
      <c r="P386" s="152"/>
      <c r="Q386" s="152"/>
      <c r="R386" s="155"/>
      <c r="T386" s="156"/>
      <c r="U386" s="152"/>
      <c r="V386" s="152"/>
      <c r="W386" s="152"/>
      <c r="X386" s="152"/>
      <c r="Y386" s="152"/>
      <c r="Z386" s="152"/>
      <c r="AA386" s="157"/>
      <c r="AT386" s="158" t="s">
        <v>179</v>
      </c>
      <c r="AU386" s="158" t="s">
        <v>135</v>
      </c>
      <c r="AV386" s="10" t="s">
        <v>21</v>
      </c>
      <c r="AW386" s="10" t="s">
        <v>35</v>
      </c>
      <c r="AX386" s="10" t="s">
        <v>78</v>
      </c>
      <c r="AY386" s="158" t="s">
        <v>167</v>
      </c>
    </row>
    <row r="387" spans="2:51" s="11" customFormat="1" ht="22.5" customHeight="1">
      <c r="B387" s="159"/>
      <c r="C387" s="160"/>
      <c r="D387" s="160"/>
      <c r="E387" s="161" t="s">
        <v>5</v>
      </c>
      <c r="F387" s="302" t="s">
        <v>2046</v>
      </c>
      <c r="G387" s="303"/>
      <c r="H387" s="303"/>
      <c r="I387" s="303"/>
      <c r="J387" s="160"/>
      <c r="K387" s="162">
        <v>819</v>
      </c>
      <c r="L387" s="160"/>
      <c r="M387" s="160"/>
      <c r="N387" s="160"/>
      <c r="O387" s="160"/>
      <c r="P387" s="160"/>
      <c r="Q387" s="160"/>
      <c r="R387" s="163"/>
      <c r="T387" s="164"/>
      <c r="U387" s="160"/>
      <c r="V387" s="160"/>
      <c r="W387" s="160"/>
      <c r="X387" s="160"/>
      <c r="Y387" s="160"/>
      <c r="Z387" s="160"/>
      <c r="AA387" s="165"/>
      <c r="AT387" s="166" t="s">
        <v>179</v>
      </c>
      <c r="AU387" s="166" t="s">
        <v>135</v>
      </c>
      <c r="AV387" s="11" t="s">
        <v>135</v>
      </c>
      <c r="AW387" s="11" t="s">
        <v>35</v>
      </c>
      <c r="AX387" s="11" t="s">
        <v>21</v>
      </c>
      <c r="AY387" s="166" t="s">
        <v>167</v>
      </c>
    </row>
    <row r="388" spans="2:65" s="1" customFormat="1" ht="31.5" customHeight="1">
      <c r="B388" s="141"/>
      <c r="C388" s="142" t="s">
        <v>779</v>
      </c>
      <c r="D388" s="142" t="s">
        <v>168</v>
      </c>
      <c r="E388" s="143" t="s">
        <v>1202</v>
      </c>
      <c r="F388" s="293" t="s">
        <v>1203</v>
      </c>
      <c r="G388" s="293"/>
      <c r="H388" s="293"/>
      <c r="I388" s="293"/>
      <c r="J388" s="144" t="s">
        <v>176</v>
      </c>
      <c r="K388" s="145">
        <v>167.895</v>
      </c>
      <c r="L388" s="294"/>
      <c r="M388" s="294"/>
      <c r="N388" s="294">
        <f>ROUND(L388*K388,2)</f>
        <v>0</v>
      </c>
      <c r="O388" s="294"/>
      <c r="P388" s="294"/>
      <c r="Q388" s="294"/>
      <c r="R388" s="146"/>
      <c r="T388" s="147" t="s">
        <v>5</v>
      </c>
      <c r="U388" s="44" t="s">
        <v>43</v>
      </c>
      <c r="V388" s="148">
        <v>1.5</v>
      </c>
      <c r="W388" s="148">
        <f>V388*K388</f>
        <v>251.84250000000003</v>
      </c>
      <c r="X388" s="148">
        <v>0</v>
      </c>
      <c r="Y388" s="148">
        <f>X388*K388</f>
        <v>0</v>
      </c>
      <c r="Z388" s="148">
        <v>0</v>
      </c>
      <c r="AA388" s="149">
        <f>Z388*K388</f>
        <v>0</v>
      </c>
      <c r="AR388" s="21" t="s">
        <v>172</v>
      </c>
      <c r="AT388" s="21" t="s">
        <v>168</v>
      </c>
      <c r="AU388" s="21" t="s">
        <v>135</v>
      </c>
      <c r="AY388" s="21" t="s">
        <v>167</v>
      </c>
      <c r="BE388" s="150">
        <f>IF(U388="základní",N388,0)</f>
        <v>0</v>
      </c>
      <c r="BF388" s="150">
        <f>IF(U388="snížená",N388,0)</f>
        <v>0</v>
      </c>
      <c r="BG388" s="150">
        <f>IF(U388="zákl. přenesená",N388,0)</f>
        <v>0</v>
      </c>
      <c r="BH388" s="150">
        <f>IF(U388="sníž. přenesená",N388,0)</f>
        <v>0</v>
      </c>
      <c r="BI388" s="150">
        <f>IF(U388="nulová",N388,0)</f>
        <v>0</v>
      </c>
      <c r="BJ388" s="21" t="s">
        <v>21</v>
      </c>
      <c r="BK388" s="150">
        <f>ROUND(L388*K388,2)</f>
        <v>0</v>
      </c>
      <c r="BL388" s="21" t="s">
        <v>172</v>
      </c>
      <c r="BM388" s="21" t="s">
        <v>1508</v>
      </c>
    </row>
    <row r="389" spans="2:51" s="10" customFormat="1" ht="31.5" customHeight="1">
      <c r="B389" s="151"/>
      <c r="C389" s="152"/>
      <c r="D389" s="152"/>
      <c r="E389" s="153" t="s">
        <v>5</v>
      </c>
      <c r="F389" s="300" t="s">
        <v>1509</v>
      </c>
      <c r="G389" s="301"/>
      <c r="H389" s="301"/>
      <c r="I389" s="301"/>
      <c r="J389" s="152"/>
      <c r="K389" s="154" t="s">
        <v>5</v>
      </c>
      <c r="L389" s="152"/>
      <c r="M389" s="152"/>
      <c r="N389" s="152"/>
      <c r="O389" s="152"/>
      <c r="P389" s="152"/>
      <c r="Q389" s="152"/>
      <c r="R389" s="155"/>
      <c r="T389" s="156"/>
      <c r="U389" s="152"/>
      <c r="V389" s="152"/>
      <c r="W389" s="152"/>
      <c r="X389" s="152"/>
      <c r="Y389" s="152"/>
      <c r="Z389" s="152"/>
      <c r="AA389" s="157"/>
      <c r="AT389" s="158" t="s">
        <v>179</v>
      </c>
      <c r="AU389" s="158" t="s">
        <v>135</v>
      </c>
      <c r="AV389" s="10" t="s">
        <v>21</v>
      </c>
      <c r="AW389" s="10" t="s">
        <v>35</v>
      </c>
      <c r="AX389" s="10" t="s">
        <v>78</v>
      </c>
      <c r="AY389" s="158" t="s">
        <v>167</v>
      </c>
    </row>
    <row r="390" spans="2:51" s="11" customFormat="1" ht="22.5" customHeight="1">
      <c r="B390" s="159"/>
      <c r="C390" s="160"/>
      <c r="D390" s="160"/>
      <c r="E390" s="161" t="s">
        <v>5</v>
      </c>
      <c r="F390" s="302" t="s">
        <v>2047</v>
      </c>
      <c r="G390" s="303"/>
      <c r="H390" s="303"/>
      <c r="I390" s="303"/>
      <c r="J390" s="160"/>
      <c r="K390" s="162">
        <v>167.895</v>
      </c>
      <c r="L390" s="160"/>
      <c r="M390" s="160"/>
      <c r="N390" s="160"/>
      <c r="O390" s="160"/>
      <c r="P390" s="160"/>
      <c r="Q390" s="160"/>
      <c r="R390" s="163"/>
      <c r="T390" s="164"/>
      <c r="U390" s="160"/>
      <c r="V390" s="160"/>
      <c r="W390" s="160"/>
      <c r="X390" s="160"/>
      <c r="Y390" s="160"/>
      <c r="Z390" s="160"/>
      <c r="AA390" s="165"/>
      <c r="AT390" s="166" t="s">
        <v>179</v>
      </c>
      <c r="AU390" s="166" t="s">
        <v>135</v>
      </c>
      <c r="AV390" s="11" t="s">
        <v>135</v>
      </c>
      <c r="AW390" s="11" t="s">
        <v>35</v>
      </c>
      <c r="AX390" s="11" t="s">
        <v>21</v>
      </c>
      <c r="AY390" s="166" t="s">
        <v>167</v>
      </c>
    </row>
    <row r="391" spans="2:65" s="1" customFormat="1" ht="22.5" customHeight="1">
      <c r="B391" s="141"/>
      <c r="C391" s="178" t="s">
        <v>783</v>
      </c>
      <c r="D391" s="178" t="s">
        <v>317</v>
      </c>
      <c r="E391" s="179" t="s">
        <v>1208</v>
      </c>
      <c r="F391" s="313" t="s">
        <v>1209</v>
      </c>
      <c r="G391" s="313"/>
      <c r="H391" s="313"/>
      <c r="I391" s="313"/>
      <c r="J391" s="180" t="s">
        <v>210</v>
      </c>
      <c r="K391" s="181">
        <v>255.2</v>
      </c>
      <c r="L391" s="314"/>
      <c r="M391" s="314"/>
      <c r="N391" s="314">
        <f>ROUND(L391*K391,2)</f>
        <v>0</v>
      </c>
      <c r="O391" s="294"/>
      <c r="P391" s="294"/>
      <c r="Q391" s="294"/>
      <c r="R391" s="146"/>
      <c r="T391" s="147" t="s">
        <v>5</v>
      </c>
      <c r="U391" s="44" t="s">
        <v>43</v>
      </c>
      <c r="V391" s="148">
        <v>0</v>
      </c>
      <c r="W391" s="148">
        <f>V391*K391</f>
        <v>0</v>
      </c>
      <c r="X391" s="148">
        <v>1</v>
      </c>
      <c r="Y391" s="148">
        <f>X391*K391</f>
        <v>255.2</v>
      </c>
      <c r="Z391" s="148">
        <v>0</v>
      </c>
      <c r="AA391" s="149">
        <f>Z391*K391</f>
        <v>0</v>
      </c>
      <c r="AR391" s="21" t="s">
        <v>213</v>
      </c>
      <c r="AT391" s="21" t="s">
        <v>317</v>
      </c>
      <c r="AU391" s="21" t="s">
        <v>135</v>
      </c>
      <c r="AY391" s="21" t="s">
        <v>167</v>
      </c>
      <c r="BE391" s="150">
        <f>IF(U391="základní",N391,0)</f>
        <v>0</v>
      </c>
      <c r="BF391" s="150">
        <f>IF(U391="snížená",N391,0)</f>
        <v>0</v>
      </c>
      <c r="BG391" s="150">
        <f>IF(U391="zákl. přenesená",N391,0)</f>
        <v>0</v>
      </c>
      <c r="BH391" s="150">
        <f>IF(U391="sníž. přenesená",N391,0)</f>
        <v>0</v>
      </c>
      <c r="BI391" s="150">
        <f>IF(U391="nulová",N391,0)</f>
        <v>0</v>
      </c>
      <c r="BJ391" s="21" t="s">
        <v>21</v>
      </c>
      <c r="BK391" s="150">
        <f>ROUND(L391*K391,2)</f>
        <v>0</v>
      </c>
      <c r="BL391" s="21" t="s">
        <v>172</v>
      </c>
      <c r="BM391" s="21" t="s">
        <v>1510</v>
      </c>
    </row>
    <row r="392" spans="2:51" s="11" customFormat="1" ht="22.5" customHeight="1">
      <c r="B392" s="159"/>
      <c r="C392" s="160"/>
      <c r="D392" s="160"/>
      <c r="E392" s="161" t="s">
        <v>5</v>
      </c>
      <c r="F392" s="308" t="s">
        <v>2048</v>
      </c>
      <c r="G392" s="309"/>
      <c r="H392" s="309"/>
      <c r="I392" s="309"/>
      <c r="J392" s="160"/>
      <c r="K392" s="162">
        <v>255.2</v>
      </c>
      <c r="L392" s="160"/>
      <c r="M392" s="160"/>
      <c r="N392" s="160"/>
      <c r="O392" s="160"/>
      <c r="P392" s="160"/>
      <c r="Q392" s="160"/>
      <c r="R392" s="163"/>
      <c r="T392" s="164"/>
      <c r="U392" s="160"/>
      <c r="V392" s="160"/>
      <c r="W392" s="160"/>
      <c r="X392" s="160"/>
      <c r="Y392" s="160"/>
      <c r="Z392" s="160"/>
      <c r="AA392" s="165"/>
      <c r="AT392" s="166" t="s">
        <v>179</v>
      </c>
      <c r="AU392" s="166" t="s">
        <v>135</v>
      </c>
      <c r="AV392" s="11" t="s">
        <v>135</v>
      </c>
      <c r="AW392" s="11" t="s">
        <v>35</v>
      </c>
      <c r="AX392" s="11" t="s">
        <v>21</v>
      </c>
      <c r="AY392" s="166" t="s">
        <v>167</v>
      </c>
    </row>
    <row r="393" spans="2:63" s="9" customFormat="1" ht="29.85" customHeight="1">
      <c r="B393" s="130"/>
      <c r="C393" s="131"/>
      <c r="D393" s="140" t="s">
        <v>227</v>
      </c>
      <c r="E393" s="140"/>
      <c r="F393" s="140"/>
      <c r="G393" s="140"/>
      <c r="H393" s="140"/>
      <c r="I393" s="140"/>
      <c r="J393" s="140"/>
      <c r="K393" s="140"/>
      <c r="L393" s="140"/>
      <c r="M393" s="140"/>
      <c r="N393" s="298">
        <f>BK393</f>
        <v>0</v>
      </c>
      <c r="O393" s="299"/>
      <c r="P393" s="299"/>
      <c r="Q393" s="299"/>
      <c r="R393" s="133"/>
      <c r="T393" s="134"/>
      <c r="U393" s="131"/>
      <c r="V393" s="131"/>
      <c r="W393" s="135">
        <f>SUM(W394:W400)</f>
        <v>23.851116000000005</v>
      </c>
      <c r="X393" s="131"/>
      <c r="Y393" s="135">
        <f>SUM(Y394:Y400)</f>
        <v>35.7708</v>
      </c>
      <c r="Z393" s="131"/>
      <c r="AA393" s="136">
        <f>SUM(AA394:AA400)</f>
        <v>0</v>
      </c>
      <c r="AR393" s="137" t="s">
        <v>21</v>
      </c>
      <c r="AT393" s="138" t="s">
        <v>77</v>
      </c>
      <c r="AU393" s="138" t="s">
        <v>21</v>
      </c>
      <c r="AY393" s="137" t="s">
        <v>167</v>
      </c>
      <c r="BK393" s="139">
        <f>SUM(BK394:BK400)</f>
        <v>0</v>
      </c>
    </row>
    <row r="394" spans="2:65" s="1" customFormat="1" ht="31.5" customHeight="1">
      <c r="B394" s="141"/>
      <c r="C394" s="142" t="s">
        <v>787</v>
      </c>
      <c r="D394" s="142" t="s">
        <v>168</v>
      </c>
      <c r="E394" s="143" t="s">
        <v>1511</v>
      </c>
      <c r="F394" s="293" t="s">
        <v>1512</v>
      </c>
      <c r="G394" s="293"/>
      <c r="H394" s="293"/>
      <c r="I394" s="293"/>
      <c r="J394" s="144" t="s">
        <v>199</v>
      </c>
      <c r="K394" s="145">
        <v>85.5</v>
      </c>
      <c r="L394" s="294"/>
      <c r="M394" s="294"/>
      <c r="N394" s="294">
        <f>ROUND(L394*K394,2)</f>
        <v>0</v>
      </c>
      <c r="O394" s="294"/>
      <c r="P394" s="294"/>
      <c r="Q394" s="294"/>
      <c r="R394" s="146"/>
      <c r="T394" s="147" t="s">
        <v>5</v>
      </c>
      <c r="U394" s="44" t="s">
        <v>43</v>
      </c>
      <c r="V394" s="148">
        <v>0.166</v>
      </c>
      <c r="W394" s="148">
        <f>V394*K394</f>
        <v>14.193000000000001</v>
      </c>
      <c r="X394" s="148">
        <v>0</v>
      </c>
      <c r="Y394" s="148">
        <f>X394*K394</f>
        <v>0</v>
      </c>
      <c r="Z394" s="148">
        <v>0</v>
      </c>
      <c r="AA394" s="149">
        <f>Z394*K394</f>
        <v>0</v>
      </c>
      <c r="AR394" s="21" t="s">
        <v>172</v>
      </c>
      <c r="AT394" s="21" t="s">
        <v>168</v>
      </c>
      <c r="AU394" s="21" t="s">
        <v>135</v>
      </c>
      <c r="AY394" s="21" t="s">
        <v>167</v>
      </c>
      <c r="BE394" s="150">
        <f>IF(U394="základní",N394,0)</f>
        <v>0</v>
      </c>
      <c r="BF394" s="150">
        <f>IF(U394="snížená",N394,0)</f>
        <v>0</v>
      </c>
      <c r="BG394" s="150">
        <f>IF(U394="zákl. přenesená",N394,0)</f>
        <v>0</v>
      </c>
      <c r="BH394" s="150">
        <f>IF(U394="sníž. přenesená",N394,0)</f>
        <v>0</v>
      </c>
      <c r="BI394" s="150">
        <f>IF(U394="nulová",N394,0)</f>
        <v>0</v>
      </c>
      <c r="BJ394" s="21" t="s">
        <v>21</v>
      </c>
      <c r="BK394" s="150">
        <f>ROUND(L394*K394,2)</f>
        <v>0</v>
      </c>
      <c r="BL394" s="21" t="s">
        <v>172</v>
      </c>
      <c r="BM394" s="21" t="s">
        <v>1513</v>
      </c>
    </row>
    <row r="395" spans="2:51" s="10" customFormat="1" ht="22.5" customHeight="1">
      <c r="B395" s="151"/>
      <c r="C395" s="152"/>
      <c r="D395" s="152"/>
      <c r="E395" s="153" t="s">
        <v>5</v>
      </c>
      <c r="F395" s="300" t="s">
        <v>1514</v>
      </c>
      <c r="G395" s="301"/>
      <c r="H395" s="301"/>
      <c r="I395" s="301"/>
      <c r="J395" s="152"/>
      <c r="K395" s="154" t="s">
        <v>5</v>
      </c>
      <c r="L395" s="152"/>
      <c r="M395" s="152"/>
      <c r="N395" s="152"/>
      <c r="O395" s="152"/>
      <c r="P395" s="152"/>
      <c r="Q395" s="152"/>
      <c r="R395" s="155"/>
      <c r="T395" s="156"/>
      <c r="U395" s="152"/>
      <c r="V395" s="152"/>
      <c r="W395" s="152"/>
      <c r="X395" s="152"/>
      <c r="Y395" s="152"/>
      <c r="Z395" s="152"/>
      <c r="AA395" s="157"/>
      <c r="AT395" s="158" t="s">
        <v>179</v>
      </c>
      <c r="AU395" s="158" t="s">
        <v>135</v>
      </c>
      <c r="AV395" s="10" t="s">
        <v>21</v>
      </c>
      <c r="AW395" s="10" t="s">
        <v>35</v>
      </c>
      <c r="AX395" s="10" t="s">
        <v>78</v>
      </c>
      <c r="AY395" s="158" t="s">
        <v>167</v>
      </c>
    </row>
    <row r="396" spans="2:51" s="11" customFormat="1" ht="22.5" customHeight="1">
      <c r="B396" s="159"/>
      <c r="C396" s="160"/>
      <c r="D396" s="160"/>
      <c r="E396" s="161" t="s">
        <v>5</v>
      </c>
      <c r="F396" s="302" t="s">
        <v>2049</v>
      </c>
      <c r="G396" s="303"/>
      <c r="H396" s="303"/>
      <c r="I396" s="303"/>
      <c r="J396" s="160"/>
      <c r="K396" s="162">
        <v>85.5</v>
      </c>
      <c r="L396" s="160"/>
      <c r="M396" s="160"/>
      <c r="N396" s="160"/>
      <c r="O396" s="160"/>
      <c r="P396" s="160"/>
      <c r="Q396" s="160"/>
      <c r="R396" s="163"/>
      <c r="T396" s="164"/>
      <c r="U396" s="160"/>
      <c r="V396" s="160"/>
      <c r="W396" s="160"/>
      <c r="X396" s="160"/>
      <c r="Y396" s="160"/>
      <c r="Z396" s="160"/>
      <c r="AA396" s="165"/>
      <c r="AT396" s="166" t="s">
        <v>179</v>
      </c>
      <c r="AU396" s="166" t="s">
        <v>135</v>
      </c>
      <c r="AV396" s="11" t="s">
        <v>135</v>
      </c>
      <c r="AW396" s="11" t="s">
        <v>35</v>
      </c>
      <c r="AX396" s="11" t="s">
        <v>21</v>
      </c>
      <c r="AY396" s="166" t="s">
        <v>167</v>
      </c>
    </row>
    <row r="397" spans="2:65" s="1" customFormat="1" ht="31.5" customHeight="1">
      <c r="B397" s="141"/>
      <c r="C397" s="142" t="s">
        <v>791</v>
      </c>
      <c r="D397" s="142" t="s">
        <v>168</v>
      </c>
      <c r="E397" s="143" t="s">
        <v>1515</v>
      </c>
      <c r="F397" s="293" t="s">
        <v>1516</v>
      </c>
      <c r="G397" s="293"/>
      <c r="H397" s="293"/>
      <c r="I397" s="293"/>
      <c r="J397" s="144" t="s">
        <v>199</v>
      </c>
      <c r="K397" s="145">
        <v>89.427</v>
      </c>
      <c r="L397" s="294"/>
      <c r="M397" s="294"/>
      <c r="N397" s="294">
        <f>ROUND(L397*K397,2)</f>
        <v>0</v>
      </c>
      <c r="O397" s="294"/>
      <c r="P397" s="294"/>
      <c r="Q397" s="294"/>
      <c r="R397" s="146"/>
      <c r="T397" s="147" t="s">
        <v>5</v>
      </c>
      <c r="U397" s="44" t="s">
        <v>43</v>
      </c>
      <c r="V397" s="148">
        <v>0.108</v>
      </c>
      <c r="W397" s="148">
        <f>V397*K397</f>
        <v>9.658116000000001</v>
      </c>
      <c r="X397" s="148">
        <v>0.4</v>
      </c>
      <c r="Y397" s="148">
        <f>X397*K397</f>
        <v>35.7708</v>
      </c>
      <c r="Z397" s="148">
        <v>0</v>
      </c>
      <c r="AA397" s="149">
        <f>Z397*K397</f>
        <v>0</v>
      </c>
      <c r="AR397" s="21" t="s">
        <v>172</v>
      </c>
      <c r="AT397" s="21" t="s">
        <v>168</v>
      </c>
      <c r="AU397" s="21" t="s">
        <v>135</v>
      </c>
      <c r="AY397" s="21" t="s">
        <v>167</v>
      </c>
      <c r="BE397" s="150">
        <f>IF(U397="základní",N397,0)</f>
        <v>0</v>
      </c>
      <c r="BF397" s="150">
        <f>IF(U397="snížená",N397,0)</f>
        <v>0</v>
      </c>
      <c r="BG397" s="150">
        <f>IF(U397="zákl. přenesená",N397,0)</f>
        <v>0</v>
      </c>
      <c r="BH397" s="150">
        <f>IF(U397="sníž. přenesená",N397,0)</f>
        <v>0</v>
      </c>
      <c r="BI397" s="150">
        <f>IF(U397="nulová",N397,0)</f>
        <v>0</v>
      </c>
      <c r="BJ397" s="21" t="s">
        <v>21</v>
      </c>
      <c r="BK397" s="150">
        <f>ROUND(L397*K397,2)</f>
        <v>0</v>
      </c>
      <c r="BL397" s="21" t="s">
        <v>172</v>
      </c>
      <c r="BM397" s="21" t="s">
        <v>1517</v>
      </c>
    </row>
    <row r="398" spans="2:51" s="11" customFormat="1" ht="22.5" customHeight="1">
      <c r="B398" s="159"/>
      <c r="C398" s="160"/>
      <c r="D398" s="160"/>
      <c r="E398" s="161" t="s">
        <v>5</v>
      </c>
      <c r="F398" s="308" t="s">
        <v>2050</v>
      </c>
      <c r="G398" s="309"/>
      <c r="H398" s="309"/>
      <c r="I398" s="309"/>
      <c r="J398" s="160"/>
      <c r="K398" s="162">
        <v>85.5</v>
      </c>
      <c r="L398" s="160"/>
      <c r="M398" s="160"/>
      <c r="N398" s="160"/>
      <c r="O398" s="160"/>
      <c r="P398" s="160"/>
      <c r="Q398" s="160"/>
      <c r="R398" s="163"/>
      <c r="T398" s="164"/>
      <c r="U398" s="160"/>
      <c r="V398" s="160"/>
      <c r="W398" s="160"/>
      <c r="X398" s="160"/>
      <c r="Y398" s="160"/>
      <c r="Z398" s="160"/>
      <c r="AA398" s="165"/>
      <c r="AT398" s="166" t="s">
        <v>179</v>
      </c>
      <c r="AU398" s="166" t="s">
        <v>135</v>
      </c>
      <c r="AV398" s="11" t="s">
        <v>135</v>
      </c>
      <c r="AW398" s="11" t="s">
        <v>35</v>
      </c>
      <c r="AX398" s="11" t="s">
        <v>78</v>
      </c>
      <c r="AY398" s="166" t="s">
        <v>167</v>
      </c>
    </row>
    <row r="399" spans="2:51" s="11" customFormat="1" ht="22.5" customHeight="1">
      <c r="B399" s="159"/>
      <c r="C399" s="160"/>
      <c r="D399" s="160"/>
      <c r="E399" s="161" t="s">
        <v>5</v>
      </c>
      <c r="F399" s="302" t="s">
        <v>2051</v>
      </c>
      <c r="G399" s="303"/>
      <c r="H399" s="303"/>
      <c r="I399" s="303"/>
      <c r="J399" s="160"/>
      <c r="K399" s="162">
        <v>3.927</v>
      </c>
      <c r="L399" s="160"/>
      <c r="M399" s="160"/>
      <c r="N399" s="160"/>
      <c r="O399" s="160"/>
      <c r="P399" s="160"/>
      <c r="Q399" s="160"/>
      <c r="R399" s="163"/>
      <c r="T399" s="164"/>
      <c r="U399" s="160"/>
      <c r="V399" s="160"/>
      <c r="W399" s="160"/>
      <c r="X399" s="160"/>
      <c r="Y399" s="160"/>
      <c r="Z399" s="160"/>
      <c r="AA399" s="165"/>
      <c r="AT399" s="166" t="s">
        <v>179</v>
      </c>
      <c r="AU399" s="166" t="s">
        <v>135</v>
      </c>
      <c r="AV399" s="11" t="s">
        <v>135</v>
      </c>
      <c r="AW399" s="11" t="s">
        <v>35</v>
      </c>
      <c r="AX399" s="11" t="s">
        <v>78</v>
      </c>
      <c r="AY399" s="166" t="s">
        <v>167</v>
      </c>
    </row>
    <row r="400" spans="2:51" s="12" customFormat="1" ht="22.5" customHeight="1">
      <c r="B400" s="167"/>
      <c r="C400" s="168"/>
      <c r="D400" s="168"/>
      <c r="E400" s="169" t="s">
        <v>5</v>
      </c>
      <c r="F400" s="306" t="s">
        <v>183</v>
      </c>
      <c r="G400" s="307"/>
      <c r="H400" s="307"/>
      <c r="I400" s="307"/>
      <c r="J400" s="168"/>
      <c r="K400" s="170">
        <v>89.427</v>
      </c>
      <c r="L400" s="168"/>
      <c r="M400" s="168"/>
      <c r="N400" s="168"/>
      <c r="O400" s="168"/>
      <c r="P400" s="168"/>
      <c r="Q400" s="168"/>
      <c r="R400" s="171"/>
      <c r="T400" s="172"/>
      <c r="U400" s="168"/>
      <c r="V400" s="168"/>
      <c r="W400" s="168"/>
      <c r="X400" s="168"/>
      <c r="Y400" s="168"/>
      <c r="Z400" s="168"/>
      <c r="AA400" s="173"/>
      <c r="AT400" s="174" t="s">
        <v>179</v>
      </c>
      <c r="AU400" s="174" t="s">
        <v>135</v>
      </c>
      <c r="AV400" s="12" t="s">
        <v>172</v>
      </c>
      <c r="AW400" s="12" t="s">
        <v>35</v>
      </c>
      <c r="AX400" s="12" t="s">
        <v>21</v>
      </c>
      <c r="AY400" s="174" t="s">
        <v>167</v>
      </c>
    </row>
    <row r="401" spans="2:63" s="9" customFormat="1" ht="29.85" customHeight="1">
      <c r="B401" s="130"/>
      <c r="C401" s="131"/>
      <c r="D401" s="140" t="s">
        <v>1268</v>
      </c>
      <c r="E401" s="140"/>
      <c r="F401" s="140"/>
      <c r="G401" s="140"/>
      <c r="H401" s="140"/>
      <c r="I401" s="140"/>
      <c r="J401" s="140"/>
      <c r="K401" s="140"/>
      <c r="L401" s="140"/>
      <c r="M401" s="140"/>
      <c r="N401" s="298">
        <f>BK401</f>
        <v>0</v>
      </c>
      <c r="O401" s="299"/>
      <c r="P401" s="299"/>
      <c r="Q401" s="299"/>
      <c r="R401" s="133"/>
      <c r="T401" s="134"/>
      <c r="U401" s="131"/>
      <c r="V401" s="131"/>
      <c r="W401" s="135">
        <f>SUM(W402:W426)</f>
        <v>37.29260000000001</v>
      </c>
      <c r="X401" s="131"/>
      <c r="Y401" s="135">
        <f>SUM(Y402:Y426)</f>
        <v>1.87266</v>
      </c>
      <c r="Z401" s="131"/>
      <c r="AA401" s="136">
        <f>SUM(AA402:AA426)</f>
        <v>0</v>
      </c>
      <c r="AR401" s="137" t="s">
        <v>21</v>
      </c>
      <c r="AT401" s="138" t="s">
        <v>77</v>
      </c>
      <c r="AU401" s="138" t="s">
        <v>21</v>
      </c>
      <c r="AY401" s="137" t="s">
        <v>167</v>
      </c>
      <c r="BK401" s="139">
        <f>SUM(BK402:BK426)</f>
        <v>0</v>
      </c>
    </row>
    <row r="402" spans="2:65" s="1" customFormat="1" ht="22.5" customHeight="1">
      <c r="B402" s="141"/>
      <c r="C402" s="142" t="s">
        <v>795</v>
      </c>
      <c r="D402" s="142" t="s">
        <v>168</v>
      </c>
      <c r="E402" s="143" t="s">
        <v>1519</v>
      </c>
      <c r="F402" s="293" t="s">
        <v>1520</v>
      </c>
      <c r="G402" s="293"/>
      <c r="H402" s="293"/>
      <c r="I402" s="293"/>
      <c r="J402" s="144" t="s">
        <v>176</v>
      </c>
      <c r="K402" s="145">
        <v>36</v>
      </c>
      <c r="L402" s="294"/>
      <c r="M402" s="294"/>
      <c r="N402" s="294">
        <f>ROUND(L402*K402,2)</f>
        <v>0</v>
      </c>
      <c r="O402" s="294"/>
      <c r="P402" s="294"/>
      <c r="Q402" s="294"/>
      <c r="R402" s="146"/>
      <c r="T402" s="147" t="s">
        <v>5</v>
      </c>
      <c r="U402" s="44" t="s">
        <v>43</v>
      </c>
      <c r="V402" s="148">
        <v>0.031</v>
      </c>
      <c r="W402" s="148">
        <f>V402*K402</f>
        <v>1.116</v>
      </c>
      <c r="X402" s="148">
        <v>0</v>
      </c>
      <c r="Y402" s="148">
        <f>X402*K402</f>
        <v>0</v>
      </c>
      <c r="Z402" s="148">
        <v>0</v>
      </c>
      <c r="AA402" s="149">
        <f>Z402*K402</f>
        <v>0</v>
      </c>
      <c r="AR402" s="21" t="s">
        <v>172</v>
      </c>
      <c r="AT402" s="21" t="s">
        <v>168</v>
      </c>
      <c r="AU402" s="21" t="s">
        <v>135</v>
      </c>
      <c r="AY402" s="21" t="s">
        <v>167</v>
      </c>
      <c r="BE402" s="150">
        <f>IF(U402="základní",N402,0)</f>
        <v>0</v>
      </c>
      <c r="BF402" s="150">
        <f>IF(U402="snížená",N402,0)</f>
        <v>0</v>
      </c>
      <c r="BG402" s="150">
        <f>IF(U402="zákl. přenesená",N402,0)</f>
        <v>0</v>
      </c>
      <c r="BH402" s="150">
        <f>IF(U402="sníž. přenesená",N402,0)</f>
        <v>0</v>
      </c>
      <c r="BI402" s="150">
        <f>IF(U402="nulová",N402,0)</f>
        <v>0</v>
      </c>
      <c r="BJ402" s="21" t="s">
        <v>21</v>
      </c>
      <c r="BK402" s="150">
        <f>ROUND(L402*K402,2)</f>
        <v>0</v>
      </c>
      <c r="BL402" s="21" t="s">
        <v>172</v>
      </c>
      <c r="BM402" s="21" t="s">
        <v>1521</v>
      </c>
    </row>
    <row r="403" spans="2:51" s="10" customFormat="1" ht="22.5" customHeight="1">
      <c r="B403" s="151"/>
      <c r="C403" s="152"/>
      <c r="D403" s="152"/>
      <c r="E403" s="153" t="s">
        <v>5</v>
      </c>
      <c r="F403" s="300" t="s">
        <v>2052</v>
      </c>
      <c r="G403" s="301"/>
      <c r="H403" s="301"/>
      <c r="I403" s="301"/>
      <c r="J403" s="152"/>
      <c r="K403" s="154" t="s">
        <v>5</v>
      </c>
      <c r="L403" s="152"/>
      <c r="M403" s="152"/>
      <c r="N403" s="152"/>
      <c r="O403" s="152"/>
      <c r="P403" s="152"/>
      <c r="Q403" s="152"/>
      <c r="R403" s="155"/>
      <c r="T403" s="156"/>
      <c r="U403" s="152"/>
      <c r="V403" s="152"/>
      <c r="W403" s="152"/>
      <c r="X403" s="152"/>
      <c r="Y403" s="152"/>
      <c r="Z403" s="152"/>
      <c r="AA403" s="157"/>
      <c r="AT403" s="158" t="s">
        <v>179</v>
      </c>
      <c r="AU403" s="158" t="s">
        <v>135</v>
      </c>
      <c r="AV403" s="10" t="s">
        <v>21</v>
      </c>
      <c r="AW403" s="10" t="s">
        <v>35</v>
      </c>
      <c r="AX403" s="10" t="s">
        <v>78</v>
      </c>
      <c r="AY403" s="158" t="s">
        <v>167</v>
      </c>
    </row>
    <row r="404" spans="2:51" s="11" customFormat="1" ht="22.5" customHeight="1">
      <c r="B404" s="159"/>
      <c r="C404" s="160"/>
      <c r="D404" s="160"/>
      <c r="E404" s="161" t="s">
        <v>5</v>
      </c>
      <c r="F404" s="302" t="s">
        <v>2053</v>
      </c>
      <c r="G404" s="303"/>
      <c r="H404" s="303"/>
      <c r="I404" s="303"/>
      <c r="J404" s="160"/>
      <c r="K404" s="162">
        <v>36</v>
      </c>
      <c r="L404" s="160"/>
      <c r="M404" s="160"/>
      <c r="N404" s="160"/>
      <c r="O404" s="160"/>
      <c r="P404" s="160"/>
      <c r="Q404" s="160"/>
      <c r="R404" s="163"/>
      <c r="T404" s="164"/>
      <c r="U404" s="160"/>
      <c r="V404" s="160"/>
      <c r="W404" s="160"/>
      <c r="X404" s="160"/>
      <c r="Y404" s="160"/>
      <c r="Z404" s="160"/>
      <c r="AA404" s="165"/>
      <c r="AT404" s="166" t="s">
        <v>179</v>
      </c>
      <c r="AU404" s="166" t="s">
        <v>135</v>
      </c>
      <c r="AV404" s="11" t="s">
        <v>135</v>
      </c>
      <c r="AW404" s="11" t="s">
        <v>35</v>
      </c>
      <c r="AX404" s="11" t="s">
        <v>21</v>
      </c>
      <c r="AY404" s="166" t="s">
        <v>167</v>
      </c>
    </row>
    <row r="405" spans="2:65" s="1" customFormat="1" ht="22.5" customHeight="1">
      <c r="B405" s="141"/>
      <c r="C405" s="178" t="s">
        <v>800</v>
      </c>
      <c r="D405" s="178" t="s">
        <v>317</v>
      </c>
      <c r="E405" s="179" t="s">
        <v>1523</v>
      </c>
      <c r="F405" s="313" t="s">
        <v>1524</v>
      </c>
      <c r="G405" s="313"/>
      <c r="H405" s="313"/>
      <c r="I405" s="313"/>
      <c r="J405" s="180" t="s">
        <v>210</v>
      </c>
      <c r="K405" s="181">
        <v>64.8</v>
      </c>
      <c r="L405" s="314"/>
      <c r="M405" s="314"/>
      <c r="N405" s="314">
        <f>ROUND(L405*K405,2)</f>
        <v>0</v>
      </c>
      <c r="O405" s="294"/>
      <c r="P405" s="294"/>
      <c r="Q405" s="294"/>
      <c r="R405" s="146"/>
      <c r="T405" s="147" t="s">
        <v>5</v>
      </c>
      <c r="U405" s="44" t="s">
        <v>43</v>
      </c>
      <c r="V405" s="148">
        <v>0</v>
      </c>
      <c r="W405" s="148">
        <f>V405*K405</f>
        <v>0</v>
      </c>
      <c r="X405" s="148">
        <v>0</v>
      </c>
      <c r="Y405" s="148">
        <f>X405*K405</f>
        <v>0</v>
      </c>
      <c r="Z405" s="148">
        <v>0</v>
      </c>
      <c r="AA405" s="149">
        <f>Z405*K405</f>
        <v>0</v>
      </c>
      <c r="AR405" s="21" t="s">
        <v>213</v>
      </c>
      <c r="AT405" s="21" t="s">
        <v>317</v>
      </c>
      <c r="AU405" s="21" t="s">
        <v>135</v>
      </c>
      <c r="AY405" s="21" t="s">
        <v>167</v>
      </c>
      <c r="BE405" s="150">
        <f>IF(U405="základní",N405,0)</f>
        <v>0</v>
      </c>
      <c r="BF405" s="150">
        <f>IF(U405="snížená",N405,0)</f>
        <v>0</v>
      </c>
      <c r="BG405" s="150">
        <f>IF(U405="zákl. přenesená",N405,0)</f>
        <v>0</v>
      </c>
      <c r="BH405" s="150">
        <f>IF(U405="sníž. přenesená",N405,0)</f>
        <v>0</v>
      </c>
      <c r="BI405" s="150">
        <f>IF(U405="nulová",N405,0)</f>
        <v>0</v>
      </c>
      <c r="BJ405" s="21" t="s">
        <v>21</v>
      </c>
      <c r="BK405" s="150">
        <f>ROUND(L405*K405,2)</f>
        <v>0</v>
      </c>
      <c r="BL405" s="21" t="s">
        <v>172</v>
      </c>
      <c r="BM405" s="21" t="s">
        <v>1525</v>
      </c>
    </row>
    <row r="406" spans="2:51" s="11" customFormat="1" ht="22.5" customHeight="1">
      <c r="B406" s="159"/>
      <c r="C406" s="160"/>
      <c r="D406" s="160"/>
      <c r="E406" s="161" t="s">
        <v>5</v>
      </c>
      <c r="F406" s="308" t="s">
        <v>2054</v>
      </c>
      <c r="G406" s="309"/>
      <c r="H406" s="309"/>
      <c r="I406" s="309"/>
      <c r="J406" s="160"/>
      <c r="K406" s="162">
        <v>64.8</v>
      </c>
      <c r="L406" s="160"/>
      <c r="M406" s="160"/>
      <c r="N406" s="160"/>
      <c r="O406" s="160"/>
      <c r="P406" s="160"/>
      <c r="Q406" s="160"/>
      <c r="R406" s="163"/>
      <c r="T406" s="164"/>
      <c r="U406" s="160"/>
      <c r="V406" s="160"/>
      <c r="W406" s="160"/>
      <c r="X406" s="160"/>
      <c r="Y406" s="160"/>
      <c r="Z406" s="160"/>
      <c r="AA406" s="165"/>
      <c r="AT406" s="166" t="s">
        <v>179</v>
      </c>
      <c r="AU406" s="166" t="s">
        <v>135</v>
      </c>
      <c r="AV406" s="11" t="s">
        <v>135</v>
      </c>
      <c r="AW406" s="11" t="s">
        <v>35</v>
      </c>
      <c r="AX406" s="11" t="s">
        <v>21</v>
      </c>
      <c r="AY406" s="166" t="s">
        <v>167</v>
      </c>
    </row>
    <row r="407" spans="2:65" s="1" customFormat="1" ht="31.5" customHeight="1">
      <c r="B407" s="141"/>
      <c r="C407" s="142" t="s">
        <v>804</v>
      </c>
      <c r="D407" s="142" t="s">
        <v>168</v>
      </c>
      <c r="E407" s="143" t="s">
        <v>248</v>
      </c>
      <c r="F407" s="293" t="s">
        <v>249</v>
      </c>
      <c r="G407" s="293"/>
      <c r="H407" s="293"/>
      <c r="I407" s="293"/>
      <c r="J407" s="144" t="s">
        <v>176</v>
      </c>
      <c r="K407" s="145">
        <v>36</v>
      </c>
      <c r="L407" s="294"/>
      <c r="M407" s="294"/>
      <c r="N407" s="294">
        <f>ROUND(L407*K407,2)</f>
        <v>0</v>
      </c>
      <c r="O407" s="294"/>
      <c r="P407" s="294"/>
      <c r="Q407" s="294"/>
      <c r="R407" s="146"/>
      <c r="T407" s="147" t="s">
        <v>5</v>
      </c>
      <c r="U407" s="44" t="s">
        <v>43</v>
      </c>
      <c r="V407" s="148">
        <v>0.097</v>
      </c>
      <c r="W407" s="148">
        <f>V407*K407</f>
        <v>3.492</v>
      </c>
      <c r="X407" s="148">
        <v>0</v>
      </c>
      <c r="Y407" s="148">
        <f>X407*K407</f>
        <v>0</v>
      </c>
      <c r="Z407" s="148">
        <v>0</v>
      </c>
      <c r="AA407" s="149">
        <f>Z407*K407</f>
        <v>0</v>
      </c>
      <c r="AR407" s="21" t="s">
        <v>172</v>
      </c>
      <c r="AT407" s="21" t="s">
        <v>168</v>
      </c>
      <c r="AU407" s="21" t="s">
        <v>135</v>
      </c>
      <c r="AY407" s="21" t="s">
        <v>167</v>
      </c>
      <c r="BE407" s="150">
        <f>IF(U407="základní",N407,0)</f>
        <v>0</v>
      </c>
      <c r="BF407" s="150">
        <f>IF(U407="snížená",N407,0)</f>
        <v>0</v>
      </c>
      <c r="BG407" s="150">
        <f>IF(U407="zákl. přenesená",N407,0)</f>
        <v>0</v>
      </c>
      <c r="BH407" s="150">
        <f>IF(U407="sníž. přenesená",N407,0)</f>
        <v>0</v>
      </c>
      <c r="BI407" s="150">
        <f>IF(U407="nulová",N407,0)</f>
        <v>0</v>
      </c>
      <c r="BJ407" s="21" t="s">
        <v>21</v>
      </c>
      <c r="BK407" s="150">
        <f>ROUND(L407*K407,2)</f>
        <v>0</v>
      </c>
      <c r="BL407" s="21" t="s">
        <v>172</v>
      </c>
      <c r="BM407" s="21" t="s">
        <v>1198</v>
      </c>
    </row>
    <row r="408" spans="2:65" s="1" customFormat="1" ht="31.5" customHeight="1">
      <c r="B408" s="141"/>
      <c r="C408" s="142" t="s">
        <v>809</v>
      </c>
      <c r="D408" s="142" t="s">
        <v>168</v>
      </c>
      <c r="E408" s="143" t="s">
        <v>1432</v>
      </c>
      <c r="F408" s="293" t="s">
        <v>1433</v>
      </c>
      <c r="G408" s="293"/>
      <c r="H408" s="293"/>
      <c r="I408" s="293"/>
      <c r="J408" s="144" t="s">
        <v>176</v>
      </c>
      <c r="K408" s="145">
        <v>36</v>
      </c>
      <c r="L408" s="294"/>
      <c r="M408" s="294"/>
      <c r="N408" s="294">
        <f>ROUND(L408*K408,2)</f>
        <v>0</v>
      </c>
      <c r="O408" s="294"/>
      <c r="P408" s="294"/>
      <c r="Q408" s="294"/>
      <c r="R408" s="146"/>
      <c r="T408" s="147" t="s">
        <v>5</v>
      </c>
      <c r="U408" s="44" t="s">
        <v>43</v>
      </c>
      <c r="V408" s="148">
        <v>0.011</v>
      </c>
      <c r="W408" s="148">
        <f>V408*K408</f>
        <v>0.39599999999999996</v>
      </c>
      <c r="X408" s="148">
        <v>0</v>
      </c>
      <c r="Y408" s="148">
        <f>X408*K408</f>
        <v>0</v>
      </c>
      <c r="Z408" s="148">
        <v>0</v>
      </c>
      <c r="AA408" s="149">
        <f>Z408*K408</f>
        <v>0</v>
      </c>
      <c r="AR408" s="21" t="s">
        <v>172</v>
      </c>
      <c r="AT408" s="21" t="s">
        <v>168</v>
      </c>
      <c r="AU408" s="21" t="s">
        <v>135</v>
      </c>
      <c r="AY408" s="21" t="s">
        <v>167</v>
      </c>
      <c r="BE408" s="150">
        <f>IF(U408="základní",N408,0)</f>
        <v>0</v>
      </c>
      <c r="BF408" s="150">
        <f>IF(U408="snížená",N408,0)</f>
        <v>0</v>
      </c>
      <c r="BG408" s="150">
        <f>IF(U408="zákl. přenesená",N408,0)</f>
        <v>0</v>
      </c>
      <c r="BH408" s="150">
        <f>IF(U408="sníž. přenesená",N408,0)</f>
        <v>0</v>
      </c>
      <c r="BI408" s="150">
        <f>IF(U408="nulová",N408,0)</f>
        <v>0</v>
      </c>
      <c r="BJ408" s="21" t="s">
        <v>21</v>
      </c>
      <c r="BK408" s="150">
        <f>ROUND(L408*K408,2)</f>
        <v>0</v>
      </c>
      <c r="BL408" s="21" t="s">
        <v>172</v>
      </c>
      <c r="BM408" s="21" t="s">
        <v>1527</v>
      </c>
    </row>
    <row r="409" spans="2:65" s="1" customFormat="1" ht="22.5" customHeight="1">
      <c r="B409" s="141"/>
      <c r="C409" s="142" t="s">
        <v>813</v>
      </c>
      <c r="D409" s="142" t="s">
        <v>168</v>
      </c>
      <c r="E409" s="143" t="s">
        <v>1435</v>
      </c>
      <c r="F409" s="293" t="s">
        <v>1436</v>
      </c>
      <c r="G409" s="293"/>
      <c r="H409" s="293"/>
      <c r="I409" s="293"/>
      <c r="J409" s="144" t="s">
        <v>176</v>
      </c>
      <c r="K409" s="145">
        <v>36</v>
      </c>
      <c r="L409" s="294"/>
      <c r="M409" s="294"/>
      <c r="N409" s="294">
        <f>ROUND(L409*K409,2)</f>
        <v>0</v>
      </c>
      <c r="O409" s="294"/>
      <c r="P409" s="294"/>
      <c r="Q409" s="294"/>
      <c r="R409" s="146"/>
      <c r="T409" s="147" t="s">
        <v>5</v>
      </c>
      <c r="U409" s="44" t="s">
        <v>43</v>
      </c>
      <c r="V409" s="148">
        <v>0.097</v>
      </c>
      <c r="W409" s="148">
        <f>V409*K409</f>
        <v>3.492</v>
      </c>
      <c r="X409" s="148">
        <v>0</v>
      </c>
      <c r="Y409" s="148">
        <f>X409*K409</f>
        <v>0</v>
      </c>
      <c r="Z409" s="148">
        <v>0</v>
      </c>
      <c r="AA409" s="149">
        <f>Z409*K409</f>
        <v>0</v>
      </c>
      <c r="AR409" s="21" t="s">
        <v>172</v>
      </c>
      <c r="AT409" s="21" t="s">
        <v>168</v>
      </c>
      <c r="AU409" s="21" t="s">
        <v>135</v>
      </c>
      <c r="AY409" s="21" t="s">
        <v>167</v>
      </c>
      <c r="BE409" s="150">
        <f>IF(U409="základní",N409,0)</f>
        <v>0</v>
      </c>
      <c r="BF409" s="150">
        <f>IF(U409="snížená",N409,0)</f>
        <v>0</v>
      </c>
      <c r="BG409" s="150">
        <f>IF(U409="zákl. přenesená",N409,0)</f>
        <v>0</v>
      </c>
      <c r="BH409" s="150">
        <f>IF(U409="sníž. přenesená",N409,0)</f>
        <v>0</v>
      </c>
      <c r="BI409" s="150">
        <f>IF(U409="nulová",N409,0)</f>
        <v>0</v>
      </c>
      <c r="BJ409" s="21" t="s">
        <v>21</v>
      </c>
      <c r="BK409" s="150">
        <f>ROUND(L409*K409,2)</f>
        <v>0</v>
      </c>
      <c r="BL409" s="21" t="s">
        <v>172</v>
      </c>
      <c r="BM409" s="21" t="s">
        <v>1528</v>
      </c>
    </row>
    <row r="410" spans="2:65" s="1" customFormat="1" ht="31.5" customHeight="1">
      <c r="B410" s="141"/>
      <c r="C410" s="142" t="s">
        <v>817</v>
      </c>
      <c r="D410" s="142" t="s">
        <v>168</v>
      </c>
      <c r="E410" s="143" t="s">
        <v>1529</v>
      </c>
      <c r="F410" s="293" t="s">
        <v>1530</v>
      </c>
      <c r="G410" s="293"/>
      <c r="H410" s="293"/>
      <c r="I410" s="293"/>
      <c r="J410" s="144" t="s">
        <v>259</v>
      </c>
      <c r="K410" s="145">
        <v>43</v>
      </c>
      <c r="L410" s="294"/>
      <c r="M410" s="294"/>
      <c r="N410" s="294">
        <f>ROUND(L410*K410,2)</f>
        <v>0</v>
      </c>
      <c r="O410" s="294"/>
      <c r="P410" s="294"/>
      <c r="Q410" s="294"/>
      <c r="R410" s="146"/>
      <c r="T410" s="147" t="s">
        <v>5</v>
      </c>
      <c r="U410" s="44" t="s">
        <v>43</v>
      </c>
      <c r="V410" s="148">
        <v>0.441</v>
      </c>
      <c r="W410" s="148">
        <f>V410*K410</f>
        <v>18.963</v>
      </c>
      <c r="X410" s="148">
        <v>0.03174</v>
      </c>
      <c r="Y410" s="148">
        <f>X410*K410</f>
        <v>1.36482</v>
      </c>
      <c r="Z410" s="148">
        <v>0</v>
      </c>
      <c r="AA410" s="149">
        <f>Z410*K410</f>
        <v>0</v>
      </c>
      <c r="AR410" s="21" t="s">
        <v>172</v>
      </c>
      <c r="AT410" s="21" t="s">
        <v>168</v>
      </c>
      <c r="AU410" s="21" t="s">
        <v>135</v>
      </c>
      <c r="AY410" s="21" t="s">
        <v>167</v>
      </c>
      <c r="BE410" s="150">
        <f>IF(U410="základní",N410,0)</f>
        <v>0</v>
      </c>
      <c r="BF410" s="150">
        <f>IF(U410="snížená",N410,0)</f>
        <v>0</v>
      </c>
      <c r="BG410" s="150">
        <f>IF(U410="zákl. přenesená",N410,0)</f>
        <v>0</v>
      </c>
      <c r="BH410" s="150">
        <f>IF(U410="sníž. přenesená",N410,0)</f>
        <v>0</v>
      </c>
      <c r="BI410" s="150">
        <f>IF(U410="nulová",N410,0)</f>
        <v>0</v>
      </c>
      <c r="BJ410" s="21" t="s">
        <v>21</v>
      </c>
      <c r="BK410" s="150">
        <f>ROUND(L410*K410,2)</f>
        <v>0</v>
      </c>
      <c r="BL410" s="21" t="s">
        <v>172</v>
      </c>
      <c r="BM410" s="21" t="s">
        <v>1531</v>
      </c>
    </row>
    <row r="411" spans="2:51" s="11" customFormat="1" ht="22.5" customHeight="1">
      <c r="B411" s="159"/>
      <c r="C411" s="160"/>
      <c r="D411" s="160"/>
      <c r="E411" s="161" t="s">
        <v>5</v>
      </c>
      <c r="F411" s="308" t="s">
        <v>2055</v>
      </c>
      <c r="G411" s="309"/>
      <c r="H411" s="309"/>
      <c r="I411" s="309"/>
      <c r="J411" s="160"/>
      <c r="K411" s="162">
        <v>13</v>
      </c>
      <c r="L411" s="160"/>
      <c r="M411" s="160"/>
      <c r="N411" s="160"/>
      <c r="O411" s="160"/>
      <c r="P411" s="160"/>
      <c r="Q411" s="160"/>
      <c r="R411" s="163"/>
      <c r="T411" s="164"/>
      <c r="U411" s="160"/>
      <c r="V411" s="160"/>
      <c r="W411" s="160"/>
      <c r="X411" s="160"/>
      <c r="Y411" s="160"/>
      <c r="Z411" s="160"/>
      <c r="AA411" s="165"/>
      <c r="AT411" s="166" t="s">
        <v>179</v>
      </c>
      <c r="AU411" s="166" t="s">
        <v>135</v>
      </c>
      <c r="AV411" s="11" t="s">
        <v>135</v>
      </c>
      <c r="AW411" s="11" t="s">
        <v>35</v>
      </c>
      <c r="AX411" s="11" t="s">
        <v>78</v>
      </c>
      <c r="AY411" s="166" t="s">
        <v>167</v>
      </c>
    </row>
    <row r="412" spans="2:51" s="11" customFormat="1" ht="22.5" customHeight="1">
      <c r="B412" s="159"/>
      <c r="C412" s="160"/>
      <c r="D412" s="160"/>
      <c r="E412" s="161" t="s">
        <v>5</v>
      </c>
      <c r="F412" s="302" t="s">
        <v>2056</v>
      </c>
      <c r="G412" s="303"/>
      <c r="H412" s="303"/>
      <c r="I412" s="303"/>
      <c r="J412" s="160"/>
      <c r="K412" s="162">
        <v>22</v>
      </c>
      <c r="L412" s="160"/>
      <c r="M412" s="160"/>
      <c r="N412" s="160"/>
      <c r="O412" s="160"/>
      <c r="P412" s="160"/>
      <c r="Q412" s="160"/>
      <c r="R412" s="163"/>
      <c r="T412" s="164"/>
      <c r="U412" s="160"/>
      <c r="V412" s="160"/>
      <c r="W412" s="160"/>
      <c r="X412" s="160"/>
      <c r="Y412" s="160"/>
      <c r="Z412" s="160"/>
      <c r="AA412" s="165"/>
      <c r="AT412" s="166" t="s">
        <v>179</v>
      </c>
      <c r="AU412" s="166" t="s">
        <v>135</v>
      </c>
      <c r="AV412" s="11" t="s">
        <v>135</v>
      </c>
      <c r="AW412" s="11" t="s">
        <v>35</v>
      </c>
      <c r="AX412" s="11" t="s">
        <v>78</v>
      </c>
      <c r="AY412" s="166" t="s">
        <v>167</v>
      </c>
    </row>
    <row r="413" spans="2:51" s="11" customFormat="1" ht="22.5" customHeight="1">
      <c r="B413" s="159"/>
      <c r="C413" s="160"/>
      <c r="D413" s="160"/>
      <c r="E413" s="161" t="s">
        <v>5</v>
      </c>
      <c r="F413" s="302" t="s">
        <v>2057</v>
      </c>
      <c r="G413" s="303"/>
      <c r="H413" s="303"/>
      <c r="I413" s="303"/>
      <c r="J413" s="160"/>
      <c r="K413" s="162">
        <v>8</v>
      </c>
      <c r="L413" s="160"/>
      <c r="M413" s="160"/>
      <c r="N413" s="160"/>
      <c r="O413" s="160"/>
      <c r="P413" s="160"/>
      <c r="Q413" s="160"/>
      <c r="R413" s="163"/>
      <c r="T413" s="164"/>
      <c r="U413" s="160"/>
      <c r="V413" s="160"/>
      <c r="W413" s="160"/>
      <c r="X413" s="160"/>
      <c r="Y413" s="160"/>
      <c r="Z413" s="160"/>
      <c r="AA413" s="165"/>
      <c r="AT413" s="166" t="s">
        <v>179</v>
      </c>
      <c r="AU413" s="166" t="s">
        <v>135</v>
      </c>
      <c r="AV413" s="11" t="s">
        <v>135</v>
      </c>
      <c r="AW413" s="11" t="s">
        <v>35</v>
      </c>
      <c r="AX413" s="11" t="s">
        <v>78</v>
      </c>
      <c r="AY413" s="166" t="s">
        <v>167</v>
      </c>
    </row>
    <row r="414" spans="2:51" s="12" customFormat="1" ht="22.5" customHeight="1">
      <c r="B414" s="167"/>
      <c r="C414" s="168"/>
      <c r="D414" s="168"/>
      <c r="E414" s="169" t="s">
        <v>5</v>
      </c>
      <c r="F414" s="306" t="s">
        <v>183</v>
      </c>
      <c r="G414" s="307"/>
      <c r="H414" s="307"/>
      <c r="I414" s="307"/>
      <c r="J414" s="168"/>
      <c r="K414" s="170">
        <v>43</v>
      </c>
      <c r="L414" s="168"/>
      <c r="M414" s="168"/>
      <c r="N414" s="168"/>
      <c r="O414" s="168"/>
      <c r="P414" s="168"/>
      <c r="Q414" s="168"/>
      <c r="R414" s="171"/>
      <c r="T414" s="172"/>
      <c r="U414" s="168"/>
      <c r="V414" s="168"/>
      <c r="W414" s="168"/>
      <c r="X414" s="168"/>
      <c r="Y414" s="168"/>
      <c r="Z414" s="168"/>
      <c r="AA414" s="173"/>
      <c r="AT414" s="174" t="s">
        <v>179</v>
      </c>
      <c r="AU414" s="174" t="s">
        <v>135</v>
      </c>
      <c r="AV414" s="12" t="s">
        <v>172</v>
      </c>
      <c r="AW414" s="12" t="s">
        <v>35</v>
      </c>
      <c r="AX414" s="12" t="s">
        <v>21</v>
      </c>
      <c r="AY414" s="174" t="s">
        <v>167</v>
      </c>
    </row>
    <row r="415" spans="2:65" s="1" customFormat="1" ht="31.5" customHeight="1">
      <c r="B415" s="141"/>
      <c r="C415" s="142" t="s">
        <v>821</v>
      </c>
      <c r="D415" s="142" t="s">
        <v>168</v>
      </c>
      <c r="E415" s="143" t="s">
        <v>1532</v>
      </c>
      <c r="F415" s="293" t="s">
        <v>1533</v>
      </c>
      <c r="G415" s="293"/>
      <c r="H415" s="293"/>
      <c r="I415" s="293"/>
      <c r="J415" s="144" t="s">
        <v>259</v>
      </c>
      <c r="K415" s="145">
        <v>9</v>
      </c>
      <c r="L415" s="294"/>
      <c r="M415" s="294"/>
      <c r="N415" s="294">
        <f>ROUND(L415*K415,2)</f>
        <v>0</v>
      </c>
      <c r="O415" s="294"/>
      <c r="P415" s="294"/>
      <c r="Q415" s="294"/>
      <c r="R415" s="146"/>
      <c r="T415" s="147" t="s">
        <v>5</v>
      </c>
      <c r="U415" s="44" t="s">
        <v>43</v>
      </c>
      <c r="V415" s="148">
        <v>0.441</v>
      </c>
      <c r="W415" s="148">
        <f>V415*K415</f>
        <v>3.969</v>
      </c>
      <c r="X415" s="148">
        <v>0.03174</v>
      </c>
      <c r="Y415" s="148">
        <f>X415*K415</f>
        <v>0.28565999999999997</v>
      </c>
      <c r="Z415" s="148">
        <v>0</v>
      </c>
      <c r="AA415" s="149">
        <f>Z415*K415</f>
        <v>0</v>
      </c>
      <c r="AR415" s="21" t="s">
        <v>172</v>
      </c>
      <c r="AT415" s="21" t="s">
        <v>168</v>
      </c>
      <c r="AU415" s="21" t="s">
        <v>135</v>
      </c>
      <c r="AY415" s="21" t="s">
        <v>167</v>
      </c>
      <c r="BE415" s="150">
        <f>IF(U415="základní",N415,0)</f>
        <v>0</v>
      </c>
      <c r="BF415" s="150">
        <f>IF(U415="snížená",N415,0)</f>
        <v>0</v>
      </c>
      <c r="BG415" s="150">
        <f>IF(U415="zákl. přenesená",N415,0)</f>
        <v>0</v>
      </c>
      <c r="BH415" s="150">
        <f>IF(U415="sníž. přenesená",N415,0)</f>
        <v>0</v>
      </c>
      <c r="BI415" s="150">
        <f>IF(U415="nulová",N415,0)</f>
        <v>0</v>
      </c>
      <c r="BJ415" s="21" t="s">
        <v>21</v>
      </c>
      <c r="BK415" s="150">
        <f>ROUND(L415*K415,2)</f>
        <v>0</v>
      </c>
      <c r="BL415" s="21" t="s">
        <v>172</v>
      </c>
      <c r="BM415" s="21" t="s">
        <v>1534</v>
      </c>
    </row>
    <row r="416" spans="2:51" s="11" customFormat="1" ht="22.5" customHeight="1">
      <c r="B416" s="159"/>
      <c r="C416" s="160"/>
      <c r="D416" s="160"/>
      <c r="E416" s="161" t="s">
        <v>5</v>
      </c>
      <c r="F416" s="308" t="s">
        <v>218</v>
      </c>
      <c r="G416" s="309"/>
      <c r="H416" s="309"/>
      <c r="I416" s="309"/>
      <c r="J416" s="160"/>
      <c r="K416" s="162">
        <v>9</v>
      </c>
      <c r="L416" s="160"/>
      <c r="M416" s="160"/>
      <c r="N416" s="160"/>
      <c r="O416" s="160"/>
      <c r="P416" s="160"/>
      <c r="Q416" s="160"/>
      <c r="R416" s="163"/>
      <c r="T416" s="164"/>
      <c r="U416" s="160"/>
      <c r="V416" s="160"/>
      <c r="W416" s="160"/>
      <c r="X416" s="160"/>
      <c r="Y416" s="160"/>
      <c r="Z416" s="160"/>
      <c r="AA416" s="165"/>
      <c r="AT416" s="166" t="s">
        <v>179</v>
      </c>
      <c r="AU416" s="166" t="s">
        <v>135</v>
      </c>
      <c r="AV416" s="11" t="s">
        <v>135</v>
      </c>
      <c r="AW416" s="11" t="s">
        <v>35</v>
      </c>
      <c r="AX416" s="11" t="s">
        <v>21</v>
      </c>
      <c r="AY416" s="166" t="s">
        <v>167</v>
      </c>
    </row>
    <row r="417" spans="2:65" s="1" customFormat="1" ht="22.5" customHeight="1">
      <c r="B417" s="141"/>
      <c r="C417" s="142" t="s">
        <v>825</v>
      </c>
      <c r="D417" s="142" t="s">
        <v>168</v>
      </c>
      <c r="E417" s="143" t="s">
        <v>1535</v>
      </c>
      <c r="F417" s="293" t="s">
        <v>1536</v>
      </c>
      <c r="G417" s="293"/>
      <c r="H417" s="293"/>
      <c r="I417" s="293"/>
      <c r="J417" s="144" t="s">
        <v>171</v>
      </c>
      <c r="K417" s="145">
        <v>3</v>
      </c>
      <c r="L417" s="294"/>
      <c r="M417" s="294"/>
      <c r="N417" s="294">
        <f>ROUND(L417*K417,2)</f>
        <v>0</v>
      </c>
      <c r="O417" s="294"/>
      <c r="P417" s="294"/>
      <c r="Q417" s="294"/>
      <c r="R417" s="146"/>
      <c r="T417" s="147" t="s">
        <v>5</v>
      </c>
      <c r="U417" s="44" t="s">
        <v>43</v>
      </c>
      <c r="V417" s="148">
        <v>0.441</v>
      </c>
      <c r="W417" s="148">
        <f>V417*K417</f>
        <v>1.323</v>
      </c>
      <c r="X417" s="148">
        <v>0.03174</v>
      </c>
      <c r="Y417" s="148">
        <f>X417*K417</f>
        <v>0.09522</v>
      </c>
      <c r="Z417" s="148">
        <v>0</v>
      </c>
      <c r="AA417" s="149">
        <f>Z417*K417</f>
        <v>0</v>
      </c>
      <c r="AR417" s="21" t="s">
        <v>172</v>
      </c>
      <c r="AT417" s="21" t="s">
        <v>168</v>
      </c>
      <c r="AU417" s="21" t="s">
        <v>135</v>
      </c>
      <c r="AY417" s="21" t="s">
        <v>167</v>
      </c>
      <c r="BE417" s="150">
        <f>IF(U417="základní",N417,0)</f>
        <v>0</v>
      </c>
      <c r="BF417" s="150">
        <f>IF(U417="snížená",N417,0)</f>
        <v>0</v>
      </c>
      <c r="BG417" s="150">
        <f>IF(U417="zákl. přenesená",N417,0)</f>
        <v>0</v>
      </c>
      <c r="BH417" s="150">
        <f>IF(U417="sníž. přenesená",N417,0)</f>
        <v>0</v>
      </c>
      <c r="BI417" s="150">
        <f>IF(U417="nulová",N417,0)</f>
        <v>0</v>
      </c>
      <c r="BJ417" s="21" t="s">
        <v>21</v>
      </c>
      <c r="BK417" s="150">
        <f>ROUND(L417*K417,2)</f>
        <v>0</v>
      </c>
      <c r="BL417" s="21" t="s">
        <v>172</v>
      </c>
      <c r="BM417" s="21" t="s">
        <v>1537</v>
      </c>
    </row>
    <row r="418" spans="2:65" s="1" customFormat="1" ht="22.5" customHeight="1">
      <c r="B418" s="141"/>
      <c r="C418" s="142" t="s">
        <v>829</v>
      </c>
      <c r="D418" s="142" t="s">
        <v>168</v>
      </c>
      <c r="E418" s="143" t="s">
        <v>1538</v>
      </c>
      <c r="F418" s="293" t="s">
        <v>1539</v>
      </c>
      <c r="G418" s="293"/>
      <c r="H418" s="293"/>
      <c r="I418" s="293"/>
      <c r="J418" s="144" t="s">
        <v>199</v>
      </c>
      <c r="K418" s="145">
        <v>44.8</v>
      </c>
      <c r="L418" s="294"/>
      <c r="M418" s="294"/>
      <c r="N418" s="294">
        <f>ROUND(L418*K418,2)</f>
        <v>0</v>
      </c>
      <c r="O418" s="294"/>
      <c r="P418" s="294"/>
      <c r="Q418" s="294"/>
      <c r="R418" s="146"/>
      <c r="T418" s="147" t="s">
        <v>5</v>
      </c>
      <c r="U418" s="44" t="s">
        <v>43</v>
      </c>
      <c r="V418" s="148">
        <v>0.031</v>
      </c>
      <c r="W418" s="148">
        <f>V418*K418</f>
        <v>1.3887999999999998</v>
      </c>
      <c r="X418" s="148">
        <v>0</v>
      </c>
      <c r="Y418" s="148">
        <f>X418*K418</f>
        <v>0</v>
      </c>
      <c r="Z418" s="148">
        <v>0</v>
      </c>
      <c r="AA418" s="149">
        <f>Z418*K418</f>
        <v>0</v>
      </c>
      <c r="AR418" s="21" t="s">
        <v>172</v>
      </c>
      <c r="AT418" s="21" t="s">
        <v>168</v>
      </c>
      <c r="AU418" s="21" t="s">
        <v>135</v>
      </c>
      <c r="AY418" s="21" t="s">
        <v>167</v>
      </c>
      <c r="BE418" s="150">
        <f>IF(U418="základní",N418,0)</f>
        <v>0</v>
      </c>
      <c r="BF418" s="150">
        <f>IF(U418="snížená",N418,0)</f>
        <v>0</v>
      </c>
      <c r="BG418" s="150">
        <f>IF(U418="zákl. přenesená",N418,0)</f>
        <v>0</v>
      </c>
      <c r="BH418" s="150">
        <f>IF(U418="sníž. přenesená",N418,0)</f>
        <v>0</v>
      </c>
      <c r="BI418" s="150">
        <f>IF(U418="nulová",N418,0)</f>
        <v>0</v>
      </c>
      <c r="BJ418" s="21" t="s">
        <v>21</v>
      </c>
      <c r="BK418" s="150">
        <f>ROUND(L418*K418,2)</f>
        <v>0</v>
      </c>
      <c r="BL418" s="21" t="s">
        <v>172</v>
      </c>
      <c r="BM418" s="21" t="s">
        <v>1540</v>
      </c>
    </row>
    <row r="419" spans="2:51" s="11" customFormat="1" ht="22.5" customHeight="1">
      <c r="B419" s="159"/>
      <c r="C419" s="160"/>
      <c r="D419" s="160"/>
      <c r="E419" s="161" t="s">
        <v>5</v>
      </c>
      <c r="F419" s="308" t="s">
        <v>2058</v>
      </c>
      <c r="G419" s="309"/>
      <c r="H419" s="309"/>
      <c r="I419" s="309"/>
      <c r="J419" s="160"/>
      <c r="K419" s="162">
        <v>44.8</v>
      </c>
      <c r="L419" s="160"/>
      <c r="M419" s="160"/>
      <c r="N419" s="160"/>
      <c r="O419" s="160"/>
      <c r="P419" s="160"/>
      <c r="Q419" s="160"/>
      <c r="R419" s="163"/>
      <c r="T419" s="164"/>
      <c r="U419" s="160"/>
      <c r="V419" s="160"/>
      <c r="W419" s="160"/>
      <c r="X419" s="160"/>
      <c r="Y419" s="160"/>
      <c r="Z419" s="160"/>
      <c r="AA419" s="165"/>
      <c r="AT419" s="166" t="s">
        <v>179</v>
      </c>
      <c r="AU419" s="166" t="s">
        <v>135</v>
      </c>
      <c r="AV419" s="11" t="s">
        <v>135</v>
      </c>
      <c r="AW419" s="11" t="s">
        <v>35</v>
      </c>
      <c r="AX419" s="11" t="s">
        <v>21</v>
      </c>
      <c r="AY419" s="166" t="s">
        <v>167</v>
      </c>
    </row>
    <row r="420" spans="2:65" s="1" customFormat="1" ht="31.5" customHeight="1">
      <c r="B420" s="141"/>
      <c r="C420" s="142" t="s">
        <v>833</v>
      </c>
      <c r="D420" s="142" t="s">
        <v>168</v>
      </c>
      <c r="E420" s="143" t="s">
        <v>1542</v>
      </c>
      <c r="F420" s="293" t="s">
        <v>1543</v>
      </c>
      <c r="G420" s="293"/>
      <c r="H420" s="293"/>
      <c r="I420" s="293"/>
      <c r="J420" s="144" t="s">
        <v>199</v>
      </c>
      <c r="K420" s="145">
        <v>44.8</v>
      </c>
      <c r="L420" s="294"/>
      <c r="M420" s="294"/>
      <c r="N420" s="294">
        <f>ROUND(L420*K420,2)</f>
        <v>0</v>
      </c>
      <c r="O420" s="294"/>
      <c r="P420" s="294"/>
      <c r="Q420" s="294"/>
      <c r="R420" s="146"/>
      <c r="T420" s="147" t="s">
        <v>5</v>
      </c>
      <c r="U420" s="44" t="s">
        <v>43</v>
      </c>
      <c r="V420" s="148">
        <v>0.031</v>
      </c>
      <c r="W420" s="148">
        <f>V420*K420</f>
        <v>1.3887999999999998</v>
      </c>
      <c r="X420" s="148">
        <v>0</v>
      </c>
      <c r="Y420" s="148">
        <f>X420*K420</f>
        <v>0</v>
      </c>
      <c r="Z420" s="148">
        <v>0</v>
      </c>
      <c r="AA420" s="149">
        <f>Z420*K420</f>
        <v>0</v>
      </c>
      <c r="AR420" s="21" t="s">
        <v>172</v>
      </c>
      <c r="AT420" s="21" t="s">
        <v>168</v>
      </c>
      <c r="AU420" s="21" t="s">
        <v>135</v>
      </c>
      <c r="AY420" s="21" t="s">
        <v>167</v>
      </c>
      <c r="BE420" s="150">
        <f>IF(U420="základní",N420,0)</f>
        <v>0</v>
      </c>
      <c r="BF420" s="150">
        <f>IF(U420="snížená",N420,0)</f>
        <v>0</v>
      </c>
      <c r="BG420" s="150">
        <f>IF(U420="zákl. přenesená",N420,0)</f>
        <v>0</v>
      </c>
      <c r="BH420" s="150">
        <f>IF(U420="sníž. přenesená",N420,0)</f>
        <v>0</v>
      </c>
      <c r="BI420" s="150">
        <f>IF(U420="nulová",N420,0)</f>
        <v>0</v>
      </c>
      <c r="BJ420" s="21" t="s">
        <v>21</v>
      </c>
      <c r="BK420" s="150">
        <f>ROUND(L420*K420,2)</f>
        <v>0</v>
      </c>
      <c r="BL420" s="21" t="s">
        <v>172</v>
      </c>
      <c r="BM420" s="21" t="s">
        <v>1544</v>
      </c>
    </row>
    <row r="421" spans="2:51" s="11" customFormat="1" ht="22.5" customHeight="1">
      <c r="B421" s="159"/>
      <c r="C421" s="160"/>
      <c r="D421" s="160"/>
      <c r="E421" s="161" t="s">
        <v>5</v>
      </c>
      <c r="F421" s="308" t="s">
        <v>2059</v>
      </c>
      <c r="G421" s="309"/>
      <c r="H421" s="309"/>
      <c r="I421" s="309"/>
      <c r="J421" s="160"/>
      <c r="K421" s="162">
        <v>14</v>
      </c>
      <c r="L421" s="160"/>
      <c r="M421" s="160"/>
      <c r="N421" s="160"/>
      <c r="O421" s="160"/>
      <c r="P421" s="160"/>
      <c r="Q421" s="160"/>
      <c r="R421" s="163"/>
      <c r="T421" s="164"/>
      <c r="U421" s="160"/>
      <c r="V421" s="160"/>
      <c r="W421" s="160"/>
      <c r="X421" s="160"/>
      <c r="Y421" s="160"/>
      <c r="Z421" s="160"/>
      <c r="AA421" s="165"/>
      <c r="AT421" s="166" t="s">
        <v>179</v>
      </c>
      <c r="AU421" s="166" t="s">
        <v>135</v>
      </c>
      <c r="AV421" s="11" t="s">
        <v>135</v>
      </c>
      <c r="AW421" s="11" t="s">
        <v>35</v>
      </c>
      <c r="AX421" s="11" t="s">
        <v>78</v>
      </c>
      <c r="AY421" s="166" t="s">
        <v>167</v>
      </c>
    </row>
    <row r="422" spans="2:51" s="11" customFormat="1" ht="22.5" customHeight="1">
      <c r="B422" s="159"/>
      <c r="C422" s="160"/>
      <c r="D422" s="160"/>
      <c r="E422" s="161" t="s">
        <v>5</v>
      </c>
      <c r="F422" s="302" t="s">
        <v>2059</v>
      </c>
      <c r="G422" s="303"/>
      <c r="H422" s="303"/>
      <c r="I422" s="303"/>
      <c r="J422" s="160"/>
      <c r="K422" s="162">
        <v>14</v>
      </c>
      <c r="L422" s="160"/>
      <c r="M422" s="160"/>
      <c r="N422" s="160"/>
      <c r="O422" s="160"/>
      <c r="P422" s="160"/>
      <c r="Q422" s="160"/>
      <c r="R422" s="163"/>
      <c r="T422" s="164"/>
      <c r="U422" s="160"/>
      <c r="V422" s="160"/>
      <c r="W422" s="160"/>
      <c r="X422" s="160"/>
      <c r="Y422" s="160"/>
      <c r="Z422" s="160"/>
      <c r="AA422" s="165"/>
      <c r="AT422" s="166" t="s">
        <v>179</v>
      </c>
      <c r="AU422" s="166" t="s">
        <v>135</v>
      </c>
      <c r="AV422" s="11" t="s">
        <v>135</v>
      </c>
      <c r="AW422" s="11" t="s">
        <v>35</v>
      </c>
      <c r="AX422" s="11" t="s">
        <v>78</v>
      </c>
      <c r="AY422" s="166" t="s">
        <v>167</v>
      </c>
    </row>
    <row r="423" spans="2:51" s="11" customFormat="1" ht="22.5" customHeight="1">
      <c r="B423" s="159"/>
      <c r="C423" s="160"/>
      <c r="D423" s="160"/>
      <c r="E423" s="161" t="s">
        <v>5</v>
      </c>
      <c r="F423" s="302" t="s">
        <v>2060</v>
      </c>
      <c r="G423" s="303"/>
      <c r="H423" s="303"/>
      <c r="I423" s="303"/>
      <c r="J423" s="160"/>
      <c r="K423" s="162">
        <v>16.8</v>
      </c>
      <c r="L423" s="160"/>
      <c r="M423" s="160"/>
      <c r="N423" s="160"/>
      <c r="O423" s="160"/>
      <c r="P423" s="160"/>
      <c r="Q423" s="160"/>
      <c r="R423" s="163"/>
      <c r="T423" s="164"/>
      <c r="U423" s="160"/>
      <c r="V423" s="160"/>
      <c r="W423" s="160"/>
      <c r="X423" s="160"/>
      <c r="Y423" s="160"/>
      <c r="Z423" s="160"/>
      <c r="AA423" s="165"/>
      <c r="AT423" s="166" t="s">
        <v>179</v>
      </c>
      <c r="AU423" s="166" t="s">
        <v>135</v>
      </c>
      <c r="AV423" s="11" t="s">
        <v>135</v>
      </c>
      <c r="AW423" s="11" t="s">
        <v>35</v>
      </c>
      <c r="AX423" s="11" t="s">
        <v>78</v>
      </c>
      <c r="AY423" s="166" t="s">
        <v>167</v>
      </c>
    </row>
    <row r="424" spans="2:51" s="12" customFormat="1" ht="22.5" customHeight="1">
      <c r="B424" s="167"/>
      <c r="C424" s="168"/>
      <c r="D424" s="168"/>
      <c r="E424" s="169" t="s">
        <v>5</v>
      </c>
      <c r="F424" s="306" t="s">
        <v>183</v>
      </c>
      <c r="G424" s="307"/>
      <c r="H424" s="307"/>
      <c r="I424" s="307"/>
      <c r="J424" s="168"/>
      <c r="K424" s="170">
        <v>44.8</v>
      </c>
      <c r="L424" s="168"/>
      <c r="M424" s="168"/>
      <c r="N424" s="168"/>
      <c r="O424" s="168"/>
      <c r="P424" s="168"/>
      <c r="Q424" s="168"/>
      <c r="R424" s="171"/>
      <c r="T424" s="172"/>
      <c r="U424" s="168"/>
      <c r="V424" s="168"/>
      <c r="W424" s="168"/>
      <c r="X424" s="168"/>
      <c r="Y424" s="168"/>
      <c r="Z424" s="168"/>
      <c r="AA424" s="173"/>
      <c r="AT424" s="174" t="s">
        <v>179</v>
      </c>
      <c r="AU424" s="174" t="s">
        <v>135</v>
      </c>
      <c r="AV424" s="12" t="s">
        <v>172</v>
      </c>
      <c r="AW424" s="12" t="s">
        <v>35</v>
      </c>
      <c r="AX424" s="12" t="s">
        <v>21</v>
      </c>
      <c r="AY424" s="174" t="s">
        <v>167</v>
      </c>
    </row>
    <row r="425" spans="2:65" s="1" customFormat="1" ht="22.5" customHeight="1">
      <c r="B425" s="141"/>
      <c r="C425" s="142" t="s">
        <v>837</v>
      </c>
      <c r="D425" s="142" t="s">
        <v>168</v>
      </c>
      <c r="E425" s="143" t="s">
        <v>1545</v>
      </c>
      <c r="F425" s="293" t="s">
        <v>1546</v>
      </c>
      <c r="G425" s="293"/>
      <c r="H425" s="293"/>
      <c r="I425" s="293"/>
      <c r="J425" s="144" t="s">
        <v>595</v>
      </c>
      <c r="K425" s="145">
        <v>2</v>
      </c>
      <c r="L425" s="294"/>
      <c r="M425" s="294"/>
      <c r="N425" s="294">
        <f>ROUND(L425*K425,2)</f>
        <v>0</v>
      </c>
      <c r="O425" s="294"/>
      <c r="P425" s="294"/>
      <c r="Q425" s="294"/>
      <c r="R425" s="146"/>
      <c r="T425" s="147" t="s">
        <v>5</v>
      </c>
      <c r="U425" s="44" t="s">
        <v>43</v>
      </c>
      <c r="V425" s="148">
        <v>0.441</v>
      </c>
      <c r="W425" s="148">
        <f>V425*K425</f>
        <v>0.882</v>
      </c>
      <c r="X425" s="148">
        <v>0.03174</v>
      </c>
      <c r="Y425" s="148">
        <f>X425*K425</f>
        <v>0.06348</v>
      </c>
      <c r="Z425" s="148">
        <v>0</v>
      </c>
      <c r="AA425" s="149">
        <f>Z425*K425</f>
        <v>0</v>
      </c>
      <c r="AR425" s="21" t="s">
        <v>172</v>
      </c>
      <c r="AT425" s="21" t="s">
        <v>168</v>
      </c>
      <c r="AU425" s="21" t="s">
        <v>135</v>
      </c>
      <c r="AY425" s="21" t="s">
        <v>167</v>
      </c>
      <c r="BE425" s="150">
        <f>IF(U425="základní",N425,0)</f>
        <v>0</v>
      </c>
      <c r="BF425" s="150">
        <f>IF(U425="snížená",N425,0)</f>
        <v>0</v>
      </c>
      <c r="BG425" s="150">
        <f>IF(U425="zákl. přenesená",N425,0)</f>
        <v>0</v>
      </c>
      <c r="BH425" s="150">
        <f>IF(U425="sníž. přenesená",N425,0)</f>
        <v>0</v>
      </c>
      <c r="BI425" s="150">
        <f>IF(U425="nulová",N425,0)</f>
        <v>0</v>
      </c>
      <c r="BJ425" s="21" t="s">
        <v>21</v>
      </c>
      <c r="BK425" s="150">
        <f>ROUND(L425*K425,2)</f>
        <v>0</v>
      </c>
      <c r="BL425" s="21" t="s">
        <v>172</v>
      </c>
      <c r="BM425" s="21" t="s">
        <v>1547</v>
      </c>
    </row>
    <row r="426" spans="2:65" s="1" customFormat="1" ht="22.5" customHeight="1">
      <c r="B426" s="141"/>
      <c r="C426" s="142" t="s">
        <v>841</v>
      </c>
      <c r="D426" s="142" t="s">
        <v>168</v>
      </c>
      <c r="E426" s="143" t="s">
        <v>1548</v>
      </c>
      <c r="F426" s="293" t="s">
        <v>1549</v>
      </c>
      <c r="G426" s="293"/>
      <c r="H426" s="293"/>
      <c r="I426" s="293"/>
      <c r="J426" s="144" t="s">
        <v>595</v>
      </c>
      <c r="K426" s="145">
        <v>2</v>
      </c>
      <c r="L426" s="294"/>
      <c r="M426" s="294"/>
      <c r="N426" s="294">
        <f>ROUND(L426*K426,2)</f>
        <v>0</v>
      </c>
      <c r="O426" s="294"/>
      <c r="P426" s="294"/>
      <c r="Q426" s="294"/>
      <c r="R426" s="146"/>
      <c r="T426" s="147" t="s">
        <v>5</v>
      </c>
      <c r="U426" s="44" t="s">
        <v>43</v>
      </c>
      <c r="V426" s="148">
        <v>0.441</v>
      </c>
      <c r="W426" s="148">
        <f>V426*K426</f>
        <v>0.882</v>
      </c>
      <c r="X426" s="148">
        <v>0.03174</v>
      </c>
      <c r="Y426" s="148">
        <f>X426*K426</f>
        <v>0.06348</v>
      </c>
      <c r="Z426" s="148">
        <v>0</v>
      </c>
      <c r="AA426" s="149">
        <f>Z426*K426</f>
        <v>0</v>
      </c>
      <c r="AR426" s="21" t="s">
        <v>172</v>
      </c>
      <c r="AT426" s="21" t="s">
        <v>168</v>
      </c>
      <c r="AU426" s="21" t="s">
        <v>135</v>
      </c>
      <c r="AY426" s="21" t="s">
        <v>167</v>
      </c>
      <c r="BE426" s="150">
        <f>IF(U426="základní",N426,0)</f>
        <v>0</v>
      </c>
      <c r="BF426" s="150">
        <f>IF(U426="snížená",N426,0)</f>
        <v>0</v>
      </c>
      <c r="BG426" s="150">
        <f>IF(U426="zákl. přenesená",N426,0)</f>
        <v>0</v>
      </c>
      <c r="BH426" s="150">
        <f>IF(U426="sníž. přenesená",N426,0)</f>
        <v>0</v>
      </c>
      <c r="BI426" s="150">
        <f>IF(U426="nulová",N426,0)</f>
        <v>0</v>
      </c>
      <c r="BJ426" s="21" t="s">
        <v>21</v>
      </c>
      <c r="BK426" s="150">
        <f>ROUND(L426*K426,2)</f>
        <v>0</v>
      </c>
      <c r="BL426" s="21" t="s">
        <v>172</v>
      </c>
      <c r="BM426" s="21" t="s">
        <v>1550</v>
      </c>
    </row>
    <row r="427" spans="2:63" s="9" customFormat="1" ht="29.85" customHeight="1">
      <c r="B427" s="130"/>
      <c r="C427" s="131"/>
      <c r="D427" s="140" t="s">
        <v>1094</v>
      </c>
      <c r="E427" s="140"/>
      <c r="F427" s="140"/>
      <c r="G427" s="140"/>
      <c r="H427" s="140"/>
      <c r="I427" s="140"/>
      <c r="J427" s="140"/>
      <c r="K427" s="140"/>
      <c r="L427" s="140"/>
      <c r="M427" s="140"/>
      <c r="N427" s="310">
        <f>BK427</f>
        <v>0</v>
      </c>
      <c r="O427" s="311"/>
      <c r="P427" s="311"/>
      <c r="Q427" s="311"/>
      <c r="R427" s="133"/>
      <c r="T427" s="134"/>
      <c r="U427" s="131"/>
      <c r="V427" s="131"/>
      <c r="W427" s="135">
        <f>SUM(W428:W440)</f>
        <v>250.1779</v>
      </c>
      <c r="X427" s="131"/>
      <c r="Y427" s="135">
        <f>SUM(Y428:Y440)</f>
        <v>1.1990125</v>
      </c>
      <c r="Z427" s="131"/>
      <c r="AA427" s="136">
        <f>SUM(AA428:AA440)</f>
        <v>0</v>
      </c>
      <c r="AR427" s="137" t="s">
        <v>21</v>
      </c>
      <c r="AT427" s="138" t="s">
        <v>77</v>
      </c>
      <c r="AU427" s="138" t="s">
        <v>21</v>
      </c>
      <c r="AY427" s="137" t="s">
        <v>167</v>
      </c>
      <c r="BK427" s="139">
        <f>SUM(BK428:BK440)</f>
        <v>0</v>
      </c>
    </row>
    <row r="428" spans="2:65" s="1" customFormat="1" ht="22.5" customHeight="1">
      <c r="B428" s="141"/>
      <c r="C428" s="142" t="s">
        <v>845</v>
      </c>
      <c r="D428" s="142" t="s">
        <v>168</v>
      </c>
      <c r="E428" s="143" t="s">
        <v>1879</v>
      </c>
      <c r="F428" s="293" t="s">
        <v>1880</v>
      </c>
      <c r="G428" s="293"/>
      <c r="H428" s="293"/>
      <c r="I428" s="293"/>
      <c r="J428" s="144" t="s">
        <v>199</v>
      </c>
      <c r="K428" s="145">
        <v>779.9</v>
      </c>
      <c r="L428" s="294"/>
      <c r="M428" s="294"/>
      <c r="N428" s="294">
        <f>ROUND(L428*K428,2)</f>
        <v>0</v>
      </c>
      <c r="O428" s="294"/>
      <c r="P428" s="294"/>
      <c r="Q428" s="294"/>
      <c r="R428" s="146"/>
      <c r="T428" s="147" t="s">
        <v>5</v>
      </c>
      <c r="U428" s="44" t="s">
        <v>43</v>
      </c>
      <c r="V428" s="148">
        <v>0.029</v>
      </c>
      <c r="W428" s="148">
        <f>V428*K428</f>
        <v>22.6171</v>
      </c>
      <c r="X428" s="148">
        <v>0</v>
      </c>
      <c r="Y428" s="148">
        <f>X428*K428</f>
        <v>0</v>
      </c>
      <c r="Z428" s="148">
        <v>0</v>
      </c>
      <c r="AA428" s="149">
        <f>Z428*K428</f>
        <v>0</v>
      </c>
      <c r="AR428" s="21" t="s">
        <v>172</v>
      </c>
      <c r="AT428" s="21" t="s">
        <v>168</v>
      </c>
      <c r="AU428" s="21" t="s">
        <v>135</v>
      </c>
      <c r="AY428" s="21" t="s">
        <v>167</v>
      </c>
      <c r="BE428" s="150">
        <f>IF(U428="základní",N428,0)</f>
        <v>0</v>
      </c>
      <c r="BF428" s="150">
        <f>IF(U428="snížená",N428,0)</f>
        <v>0</v>
      </c>
      <c r="BG428" s="150">
        <f>IF(U428="zákl. přenesená",N428,0)</f>
        <v>0</v>
      </c>
      <c r="BH428" s="150">
        <f>IF(U428="sníž. přenesená",N428,0)</f>
        <v>0</v>
      </c>
      <c r="BI428" s="150">
        <f>IF(U428="nulová",N428,0)</f>
        <v>0</v>
      </c>
      <c r="BJ428" s="21" t="s">
        <v>21</v>
      </c>
      <c r="BK428" s="150">
        <f>ROUND(L428*K428,2)</f>
        <v>0</v>
      </c>
      <c r="BL428" s="21" t="s">
        <v>172</v>
      </c>
      <c r="BM428" s="21" t="s">
        <v>2061</v>
      </c>
    </row>
    <row r="429" spans="2:51" s="11" customFormat="1" ht="22.5" customHeight="1">
      <c r="B429" s="159"/>
      <c r="C429" s="160"/>
      <c r="D429" s="160"/>
      <c r="E429" s="161" t="s">
        <v>5</v>
      </c>
      <c r="F429" s="308" t="s">
        <v>2062</v>
      </c>
      <c r="G429" s="309"/>
      <c r="H429" s="309"/>
      <c r="I429" s="309"/>
      <c r="J429" s="160"/>
      <c r="K429" s="162">
        <v>779.9</v>
      </c>
      <c r="L429" s="160"/>
      <c r="M429" s="160"/>
      <c r="N429" s="160"/>
      <c r="O429" s="160"/>
      <c r="P429" s="160"/>
      <c r="Q429" s="160"/>
      <c r="R429" s="163"/>
      <c r="T429" s="164"/>
      <c r="U429" s="160"/>
      <c r="V429" s="160"/>
      <c r="W429" s="160"/>
      <c r="X429" s="160"/>
      <c r="Y429" s="160"/>
      <c r="Z429" s="160"/>
      <c r="AA429" s="165"/>
      <c r="AT429" s="166" t="s">
        <v>179</v>
      </c>
      <c r="AU429" s="166" t="s">
        <v>135</v>
      </c>
      <c r="AV429" s="11" t="s">
        <v>135</v>
      </c>
      <c r="AW429" s="11" t="s">
        <v>35</v>
      </c>
      <c r="AX429" s="11" t="s">
        <v>21</v>
      </c>
      <c r="AY429" s="166" t="s">
        <v>167</v>
      </c>
    </row>
    <row r="430" spans="2:65" s="1" customFormat="1" ht="31.5" customHeight="1">
      <c r="B430" s="141"/>
      <c r="C430" s="142" t="s">
        <v>849</v>
      </c>
      <c r="D430" s="142" t="s">
        <v>168</v>
      </c>
      <c r="E430" s="143" t="s">
        <v>1882</v>
      </c>
      <c r="F430" s="293" t="s">
        <v>1883</v>
      </c>
      <c r="G430" s="293"/>
      <c r="H430" s="293"/>
      <c r="I430" s="293"/>
      <c r="J430" s="144" t="s">
        <v>199</v>
      </c>
      <c r="K430" s="145">
        <v>779.9</v>
      </c>
      <c r="L430" s="294"/>
      <c r="M430" s="294"/>
      <c r="N430" s="294">
        <f>ROUND(L430*K430,2)</f>
        <v>0</v>
      </c>
      <c r="O430" s="294"/>
      <c r="P430" s="294"/>
      <c r="Q430" s="294"/>
      <c r="R430" s="146"/>
      <c r="T430" s="147" t="s">
        <v>5</v>
      </c>
      <c r="U430" s="44" t="s">
        <v>43</v>
      </c>
      <c r="V430" s="148">
        <v>0.037</v>
      </c>
      <c r="W430" s="148">
        <f>V430*K430</f>
        <v>28.856299999999997</v>
      </c>
      <c r="X430" s="148">
        <v>0</v>
      </c>
      <c r="Y430" s="148">
        <f>X430*K430</f>
        <v>0</v>
      </c>
      <c r="Z430" s="148">
        <v>0</v>
      </c>
      <c r="AA430" s="149">
        <f>Z430*K430</f>
        <v>0</v>
      </c>
      <c r="AR430" s="21" t="s">
        <v>172</v>
      </c>
      <c r="AT430" s="21" t="s">
        <v>168</v>
      </c>
      <c r="AU430" s="21" t="s">
        <v>135</v>
      </c>
      <c r="AY430" s="21" t="s">
        <v>167</v>
      </c>
      <c r="BE430" s="150">
        <f>IF(U430="základní",N430,0)</f>
        <v>0</v>
      </c>
      <c r="BF430" s="150">
        <f>IF(U430="snížená",N430,0)</f>
        <v>0</v>
      </c>
      <c r="BG430" s="150">
        <f>IF(U430="zákl. přenesená",N430,0)</f>
        <v>0</v>
      </c>
      <c r="BH430" s="150">
        <f>IF(U430="sníž. přenesená",N430,0)</f>
        <v>0</v>
      </c>
      <c r="BI430" s="150">
        <f>IF(U430="nulová",N430,0)</f>
        <v>0</v>
      </c>
      <c r="BJ430" s="21" t="s">
        <v>21</v>
      </c>
      <c r="BK430" s="150">
        <f>ROUND(L430*K430,2)</f>
        <v>0</v>
      </c>
      <c r="BL430" s="21" t="s">
        <v>172</v>
      </c>
      <c r="BM430" s="21" t="s">
        <v>2063</v>
      </c>
    </row>
    <row r="431" spans="2:65" s="1" customFormat="1" ht="31.5" customHeight="1">
      <c r="B431" s="141"/>
      <c r="C431" s="142" t="s">
        <v>854</v>
      </c>
      <c r="D431" s="142" t="s">
        <v>168</v>
      </c>
      <c r="E431" s="143" t="s">
        <v>2064</v>
      </c>
      <c r="F431" s="293" t="s">
        <v>2065</v>
      </c>
      <c r="G431" s="293"/>
      <c r="H431" s="293"/>
      <c r="I431" s="293"/>
      <c r="J431" s="144" t="s">
        <v>199</v>
      </c>
      <c r="K431" s="145">
        <v>992.6</v>
      </c>
      <c r="L431" s="294"/>
      <c r="M431" s="294"/>
      <c r="N431" s="294">
        <f>ROUND(L431*K431,2)</f>
        <v>0</v>
      </c>
      <c r="O431" s="294"/>
      <c r="P431" s="294"/>
      <c r="Q431" s="294"/>
      <c r="R431" s="146"/>
      <c r="T431" s="147" t="s">
        <v>5</v>
      </c>
      <c r="U431" s="44" t="s">
        <v>43</v>
      </c>
      <c r="V431" s="148">
        <v>0.066</v>
      </c>
      <c r="W431" s="148">
        <f>V431*K431</f>
        <v>65.5116</v>
      </c>
      <c r="X431" s="148">
        <v>0</v>
      </c>
      <c r="Y431" s="148">
        <f>X431*K431</f>
        <v>0</v>
      </c>
      <c r="Z431" s="148">
        <v>0</v>
      </c>
      <c r="AA431" s="149">
        <f>Z431*K431</f>
        <v>0</v>
      </c>
      <c r="AR431" s="21" t="s">
        <v>172</v>
      </c>
      <c r="AT431" s="21" t="s">
        <v>168</v>
      </c>
      <c r="AU431" s="21" t="s">
        <v>135</v>
      </c>
      <c r="AY431" s="21" t="s">
        <v>167</v>
      </c>
      <c r="BE431" s="150">
        <f>IF(U431="základní",N431,0)</f>
        <v>0</v>
      </c>
      <c r="BF431" s="150">
        <f>IF(U431="snížená",N431,0)</f>
        <v>0</v>
      </c>
      <c r="BG431" s="150">
        <f>IF(U431="zákl. přenesená",N431,0)</f>
        <v>0</v>
      </c>
      <c r="BH431" s="150">
        <f>IF(U431="sníž. přenesená",N431,0)</f>
        <v>0</v>
      </c>
      <c r="BI431" s="150">
        <f>IF(U431="nulová",N431,0)</f>
        <v>0</v>
      </c>
      <c r="BJ431" s="21" t="s">
        <v>21</v>
      </c>
      <c r="BK431" s="150">
        <f>ROUND(L431*K431,2)</f>
        <v>0</v>
      </c>
      <c r="BL431" s="21" t="s">
        <v>172</v>
      </c>
      <c r="BM431" s="21" t="s">
        <v>2066</v>
      </c>
    </row>
    <row r="432" spans="2:51" s="11" customFormat="1" ht="22.5" customHeight="1">
      <c r="B432" s="159"/>
      <c r="C432" s="160"/>
      <c r="D432" s="160"/>
      <c r="E432" s="161" t="s">
        <v>5</v>
      </c>
      <c r="F432" s="308" t="s">
        <v>2067</v>
      </c>
      <c r="G432" s="309"/>
      <c r="H432" s="309"/>
      <c r="I432" s="309"/>
      <c r="J432" s="160"/>
      <c r="K432" s="162">
        <v>992.6</v>
      </c>
      <c r="L432" s="160"/>
      <c r="M432" s="160"/>
      <c r="N432" s="160"/>
      <c r="O432" s="160"/>
      <c r="P432" s="160"/>
      <c r="Q432" s="160"/>
      <c r="R432" s="163"/>
      <c r="T432" s="164"/>
      <c r="U432" s="160"/>
      <c r="V432" s="160"/>
      <c r="W432" s="160"/>
      <c r="X432" s="160"/>
      <c r="Y432" s="160"/>
      <c r="Z432" s="160"/>
      <c r="AA432" s="165"/>
      <c r="AT432" s="166" t="s">
        <v>179</v>
      </c>
      <c r="AU432" s="166" t="s">
        <v>135</v>
      </c>
      <c r="AV432" s="11" t="s">
        <v>135</v>
      </c>
      <c r="AW432" s="11" t="s">
        <v>35</v>
      </c>
      <c r="AX432" s="11" t="s">
        <v>21</v>
      </c>
      <c r="AY432" s="166" t="s">
        <v>167</v>
      </c>
    </row>
    <row r="433" spans="2:65" s="1" customFormat="1" ht="22.5" customHeight="1">
      <c r="B433" s="141"/>
      <c r="C433" s="142" t="s">
        <v>859</v>
      </c>
      <c r="D433" s="142" t="s">
        <v>168</v>
      </c>
      <c r="E433" s="143" t="s">
        <v>1551</v>
      </c>
      <c r="F433" s="293" t="s">
        <v>1552</v>
      </c>
      <c r="G433" s="293"/>
      <c r="H433" s="293"/>
      <c r="I433" s="293"/>
      <c r="J433" s="144" t="s">
        <v>199</v>
      </c>
      <c r="K433" s="145">
        <v>364.65</v>
      </c>
      <c r="L433" s="294"/>
      <c r="M433" s="294"/>
      <c r="N433" s="294">
        <f>ROUND(L433*K433,2)</f>
        <v>0</v>
      </c>
      <c r="O433" s="294"/>
      <c r="P433" s="294"/>
      <c r="Q433" s="294"/>
      <c r="R433" s="146"/>
      <c r="T433" s="147" t="s">
        <v>5</v>
      </c>
      <c r="U433" s="44" t="s">
        <v>43</v>
      </c>
      <c r="V433" s="148">
        <v>0.041</v>
      </c>
      <c r="W433" s="148">
        <f>V433*K433</f>
        <v>14.95065</v>
      </c>
      <c r="X433" s="148">
        <v>0</v>
      </c>
      <c r="Y433" s="148">
        <f>X433*K433</f>
        <v>0</v>
      </c>
      <c r="Z433" s="148">
        <v>0</v>
      </c>
      <c r="AA433" s="149">
        <f>Z433*K433</f>
        <v>0</v>
      </c>
      <c r="AR433" s="21" t="s">
        <v>172</v>
      </c>
      <c r="AT433" s="21" t="s">
        <v>168</v>
      </c>
      <c r="AU433" s="21" t="s">
        <v>135</v>
      </c>
      <c r="AY433" s="21" t="s">
        <v>167</v>
      </c>
      <c r="BE433" s="150">
        <f>IF(U433="základní",N433,0)</f>
        <v>0</v>
      </c>
      <c r="BF433" s="150">
        <f>IF(U433="snížená",N433,0)</f>
        <v>0</v>
      </c>
      <c r="BG433" s="150">
        <f>IF(U433="zákl. přenesená",N433,0)</f>
        <v>0</v>
      </c>
      <c r="BH433" s="150">
        <f>IF(U433="sníž. přenesená",N433,0)</f>
        <v>0</v>
      </c>
      <c r="BI433" s="150">
        <f>IF(U433="nulová",N433,0)</f>
        <v>0</v>
      </c>
      <c r="BJ433" s="21" t="s">
        <v>21</v>
      </c>
      <c r="BK433" s="150">
        <f>ROUND(L433*K433,2)</f>
        <v>0</v>
      </c>
      <c r="BL433" s="21" t="s">
        <v>172</v>
      </c>
      <c r="BM433" s="21" t="s">
        <v>1553</v>
      </c>
    </row>
    <row r="434" spans="2:51" s="11" customFormat="1" ht="22.5" customHeight="1">
      <c r="B434" s="159"/>
      <c r="C434" s="160"/>
      <c r="D434" s="160"/>
      <c r="E434" s="161" t="s">
        <v>5</v>
      </c>
      <c r="F434" s="308" t="s">
        <v>2068</v>
      </c>
      <c r="G434" s="309"/>
      <c r="H434" s="309"/>
      <c r="I434" s="309"/>
      <c r="J434" s="160"/>
      <c r="K434" s="162">
        <v>364.65</v>
      </c>
      <c r="L434" s="160"/>
      <c r="M434" s="160"/>
      <c r="N434" s="160"/>
      <c r="O434" s="160"/>
      <c r="P434" s="160"/>
      <c r="Q434" s="160"/>
      <c r="R434" s="163"/>
      <c r="T434" s="164"/>
      <c r="U434" s="160"/>
      <c r="V434" s="160"/>
      <c r="W434" s="160"/>
      <c r="X434" s="160"/>
      <c r="Y434" s="160"/>
      <c r="Z434" s="160"/>
      <c r="AA434" s="165"/>
      <c r="AT434" s="166" t="s">
        <v>179</v>
      </c>
      <c r="AU434" s="166" t="s">
        <v>135</v>
      </c>
      <c r="AV434" s="11" t="s">
        <v>135</v>
      </c>
      <c r="AW434" s="11" t="s">
        <v>35</v>
      </c>
      <c r="AX434" s="11" t="s">
        <v>21</v>
      </c>
      <c r="AY434" s="166" t="s">
        <v>167</v>
      </c>
    </row>
    <row r="435" spans="2:65" s="1" customFormat="1" ht="31.5" customHeight="1">
      <c r="B435" s="141"/>
      <c r="C435" s="142" t="s">
        <v>864</v>
      </c>
      <c r="D435" s="142" t="s">
        <v>168</v>
      </c>
      <c r="E435" s="143" t="s">
        <v>1555</v>
      </c>
      <c r="F435" s="293" t="s">
        <v>1556</v>
      </c>
      <c r="G435" s="293"/>
      <c r="H435" s="293"/>
      <c r="I435" s="293"/>
      <c r="J435" s="144" t="s">
        <v>199</v>
      </c>
      <c r="K435" s="145">
        <v>364.65</v>
      </c>
      <c r="L435" s="294"/>
      <c r="M435" s="294"/>
      <c r="N435" s="294">
        <f>ROUND(L435*K435,2)</f>
        <v>0</v>
      </c>
      <c r="O435" s="294"/>
      <c r="P435" s="294"/>
      <c r="Q435" s="294"/>
      <c r="R435" s="146"/>
      <c r="T435" s="147" t="s">
        <v>5</v>
      </c>
      <c r="U435" s="44" t="s">
        <v>43</v>
      </c>
      <c r="V435" s="148">
        <v>0.099</v>
      </c>
      <c r="W435" s="148">
        <f>V435*K435</f>
        <v>36.10035</v>
      </c>
      <c r="X435" s="148">
        <v>0</v>
      </c>
      <c r="Y435" s="148">
        <f>X435*K435</f>
        <v>0</v>
      </c>
      <c r="Z435" s="148">
        <v>0</v>
      </c>
      <c r="AA435" s="149">
        <f>Z435*K435</f>
        <v>0</v>
      </c>
      <c r="AR435" s="21" t="s">
        <v>172</v>
      </c>
      <c r="AT435" s="21" t="s">
        <v>168</v>
      </c>
      <c r="AU435" s="21" t="s">
        <v>135</v>
      </c>
      <c r="AY435" s="21" t="s">
        <v>167</v>
      </c>
      <c r="BE435" s="150">
        <f>IF(U435="základní",N435,0)</f>
        <v>0</v>
      </c>
      <c r="BF435" s="150">
        <f>IF(U435="snížená",N435,0)</f>
        <v>0</v>
      </c>
      <c r="BG435" s="150">
        <f>IF(U435="zákl. přenesená",N435,0)</f>
        <v>0</v>
      </c>
      <c r="BH435" s="150">
        <f>IF(U435="sníž. přenesená",N435,0)</f>
        <v>0</v>
      </c>
      <c r="BI435" s="150">
        <f>IF(U435="nulová",N435,0)</f>
        <v>0</v>
      </c>
      <c r="BJ435" s="21" t="s">
        <v>21</v>
      </c>
      <c r="BK435" s="150">
        <f>ROUND(L435*K435,2)</f>
        <v>0</v>
      </c>
      <c r="BL435" s="21" t="s">
        <v>172</v>
      </c>
      <c r="BM435" s="21" t="s">
        <v>1557</v>
      </c>
    </row>
    <row r="436" spans="2:65" s="1" customFormat="1" ht="31.5" customHeight="1">
      <c r="B436" s="141"/>
      <c r="C436" s="142" t="s">
        <v>868</v>
      </c>
      <c r="D436" s="142" t="s">
        <v>168</v>
      </c>
      <c r="E436" s="143" t="s">
        <v>1558</v>
      </c>
      <c r="F436" s="293" t="s">
        <v>1559</v>
      </c>
      <c r="G436" s="293"/>
      <c r="H436" s="293"/>
      <c r="I436" s="293"/>
      <c r="J436" s="144" t="s">
        <v>199</v>
      </c>
      <c r="K436" s="145">
        <v>364.65</v>
      </c>
      <c r="L436" s="294"/>
      <c r="M436" s="294"/>
      <c r="N436" s="294">
        <f>ROUND(L436*K436,2)</f>
        <v>0</v>
      </c>
      <c r="O436" s="294"/>
      <c r="P436" s="294"/>
      <c r="Q436" s="294"/>
      <c r="R436" s="146"/>
      <c r="T436" s="147" t="s">
        <v>5</v>
      </c>
      <c r="U436" s="44" t="s">
        <v>43</v>
      </c>
      <c r="V436" s="148">
        <v>0.09</v>
      </c>
      <c r="W436" s="148">
        <f>V436*K436</f>
        <v>32.8185</v>
      </c>
      <c r="X436" s="148">
        <v>0</v>
      </c>
      <c r="Y436" s="148">
        <f>X436*K436</f>
        <v>0</v>
      </c>
      <c r="Z436" s="148">
        <v>0</v>
      </c>
      <c r="AA436" s="149">
        <f>Z436*K436</f>
        <v>0</v>
      </c>
      <c r="AR436" s="21" t="s">
        <v>172</v>
      </c>
      <c r="AT436" s="21" t="s">
        <v>168</v>
      </c>
      <c r="AU436" s="21" t="s">
        <v>135</v>
      </c>
      <c r="AY436" s="21" t="s">
        <v>167</v>
      </c>
      <c r="BE436" s="150">
        <f>IF(U436="základní",N436,0)</f>
        <v>0</v>
      </c>
      <c r="BF436" s="150">
        <f>IF(U436="snížená",N436,0)</f>
        <v>0</v>
      </c>
      <c r="BG436" s="150">
        <f>IF(U436="zákl. přenesená",N436,0)</f>
        <v>0</v>
      </c>
      <c r="BH436" s="150">
        <f>IF(U436="sníž. přenesená",N436,0)</f>
        <v>0</v>
      </c>
      <c r="BI436" s="150">
        <f>IF(U436="nulová",N436,0)</f>
        <v>0</v>
      </c>
      <c r="BJ436" s="21" t="s">
        <v>21</v>
      </c>
      <c r="BK436" s="150">
        <f>ROUND(L436*K436,2)</f>
        <v>0</v>
      </c>
      <c r="BL436" s="21" t="s">
        <v>172</v>
      </c>
      <c r="BM436" s="21" t="s">
        <v>1560</v>
      </c>
    </row>
    <row r="437" spans="2:65" s="1" customFormat="1" ht="31.5" customHeight="1">
      <c r="B437" s="141"/>
      <c r="C437" s="142" t="s">
        <v>873</v>
      </c>
      <c r="D437" s="142" t="s">
        <v>168</v>
      </c>
      <c r="E437" s="143" t="s">
        <v>1561</v>
      </c>
      <c r="F437" s="293" t="s">
        <v>1562</v>
      </c>
      <c r="G437" s="293"/>
      <c r="H437" s="293"/>
      <c r="I437" s="293"/>
      <c r="J437" s="144" t="s">
        <v>199</v>
      </c>
      <c r="K437" s="145">
        <v>696.15</v>
      </c>
      <c r="L437" s="294"/>
      <c r="M437" s="294"/>
      <c r="N437" s="294">
        <f>ROUND(L437*K437,2)</f>
        <v>0</v>
      </c>
      <c r="O437" s="294"/>
      <c r="P437" s="294"/>
      <c r="Q437" s="294"/>
      <c r="R437" s="146"/>
      <c r="T437" s="147" t="s">
        <v>5</v>
      </c>
      <c r="U437" s="44" t="s">
        <v>43</v>
      </c>
      <c r="V437" s="148">
        <v>0.066</v>
      </c>
      <c r="W437" s="148">
        <f>V437*K437</f>
        <v>45.9459</v>
      </c>
      <c r="X437" s="148">
        <v>0</v>
      </c>
      <c r="Y437" s="148">
        <f>X437*K437</f>
        <v>0</v>
      </c>
      <c r="Z437" s="148">
        <v>0</v>
      </c>
      <c r="AA437" s="149">
        <f>Z437*K437</f>
        <v>0</v>
      </c>
      <c r="AR437" s="21" t="s">
        <v>172</v>
      </c>
      <c r="AT437" s="21" t="s">
        <v>168</v>
      </c>
      <c r="AU437" s="21" t="s">
        <v>135</v>
      </c>
      <c r="AY437" s="21" t="s">
        <v>167</v>
      </c>
      <c r="BE437" s="150">
        <f>IF(U437="základní",N437,0)</f>
        <v>0</v>
      </c>
      <c r="BF437" s="150">
        <f>IF(U437="snížená",N437,0)</f>
        <v>0</v>
      </c>
      <c r="BG437" s="150">
        <f>IF(U437="zákl. přenesená",N437,0)</f>
        <v>0</v>
      </c>
      <c r="BH437" s="150">
        <f>IF(U437="sníž. přenesená",N437,0)</f>
        <v>0</v>
      </c>
      <c r="BI437" s="150">
        <f>IF(U437="nulová",N437,0)</f>
        <v>0</v>
      </c>
      <c r="BJ437" s="21" t="s">
        <v>21</v>
      </c>
      <c r="BK437" s="150">
        <f>ROUND(L437*K437,2)</f>
        <v>0</v>
      </c>
      <c r="BL437" s="21" t="s">
        <v>172</v>
      </c>
      <c r="BM437" s="21" t="s">
        <v>2069</v>
      </c>
    </row>
    <row r="438" spans="2:51" s="11" customFormat="1" ht="22.5" customHeight="1">
      <c r="B438" s="159"/>
      <c r="C438" s="160"/>
      <c r="D438" s="160"/>
      <c r="E438" s="161" t="s">
        <v>5</v>
      </c>
      <c r="F438" s="308" t="s">
        <v>2070</v>
      </c>
      <c r="G438" s="309"/>
      <c r="H438" s="309"/>
      <c r="I438" s="309"/>
      <c r="J438" s="160"/>
      <c r="K438" s="162">
        <v>696.15</v>
      </c>
      <c r="L438" s="160"/>
      <c r="M438" s="160"/>
      <c r="N438" s="160"/>
      <c r="O438" s="160"/>
      <c r="P438" s="160"/>
      <c r="Q438" s="160"/>
      <c r="R438" s="163"/>
      <c r="T438" s="164"/>
      <c r="U438" s="160"/>
      <c r="V438" s="160"/>
      <c r="W438" s="160"/>
      <c r="X438" s="160"/>
      <c r="Y438" s="160"/>
      <c r="Z438" s="160"/>
      <c r="AA438" s="165"/>
      <c r="AT438" s="166" t="s">
        <v>179</v>
      </c>
      <c r="AU438" s="166" t="s">
        <v>135</v>
      </c>
      <c r="AV438" s="11" t="s">
        <v>135</v>
      </c>
      <c r="AW438" s="11" t="s">
        <v>35</v>
      </c>
      <c r="AX438" s="11" t="s">
        <v>21</v>
      </c>
      <c r="AY438" s="166" t="s">
        <v>167</v>
      </c>
    </row>
    <row r="439" spans="2:65" s="1" customFormat="1" ht="31.5" customHeight="1">
      <c r="B439" s="141"/>
      <c r="C439" s="142" t="s">
        <v>877</v>
      </c>
      <c r="D439" s="142" t="s">
        <v>168</v>
      </c>
      <c r="E439" s="143" t="s">
        <v>1565</v>
      </c>
      <c r="F439" s="293" t="s">
        <v>1566</v>
      </c>
      <c r="G439" s="293"/>
      <c r="H439" s="293"/>
      <c r="I439" s="293"/>
      <c r="J439" s="144" t="s">
        <v>199</v>
      </c>
      <c r="K439" s="145">
        <v>1688.75</v>
      </c>
      <c r="L439" s="294"/>
      <c r="M439" s="294"/>
      <c r="N439" s="294">
        <f>ROUND(L439*K439,2)</f>
        <v>0</v>
      </c>
      <c r="O439" s="294"/>
      <c r="P439" s="294"/>
      <c r="Q439" s="294"/>
      <c r="R439" s="146"/>
      <c r="T439" s="147" t="s">
        <v>5</v>
      </c>
      <c r="U439" s="44" t="s">
        <v>43</v>
      </c>
      <c r="V439" s="148">
        <v>0.002</v>
      </c>
      <c r="W439" s="148">
        <f>V439*K439</f>
        <v>3.3775</v>
      </c>
      <c r="X439" s="148">
        <v>0.00071</v>
      </c>
      <c r="Y439" s="148">
        <f>X439*K439</f>
        <v>1.1990125</v>
      </c>
      <c r="Z439" s="148">
        <v>0</v>
      </c>
      <c r="AA439" s="149">
        <f>Z439*K439</f>
        <v>0</v>
      </c>
      <c r="AR439" s="21" t="s">
        <v>172</v>
      </c>
      <c r="AT439" s="21" t="s">
        <v>168</v>
      </c>
      <c r="AU439" s="21" t="s">
        <v>135</v>
      </c>
      <c r="AY439" s="21" t="s">
        <v>167</v>
      </c>
      <c r="BE439" s="150">
        <f>IF(U439="základní",N439,0)</f>
        <v>0</v>
      </c>
      <c r="BF439" s="150">
        <f>IF(U439="snížená",N439,0)</f>
        <v>0</v>
      </c>
      <c r="BG439" s="150">
        <f>IF(U439="zákl. přenesená",N439,0)</f>
        <v>0</v>
      </c>
      <c r="BH439" s="150">
        <f>IF(U439="sníž. přenesená",N439,0)</f>
        <v>0</v>
      </c>
      <c r="BI439" s="150">
        <f>IF(U439="nulová",N439,0)</f>
        <v>0</v>
      </c>
      <c r="BJ439" s="21" t="s">
        <v>21</v>
      </c>
      <c r="BK439" s="150">
        <f>ROUND(L439*K439,2)</f>
        <v>0</v>
      </c>
      <c r="BL439" s="21" t="s">
        <v>172</v>
      </c>
      <c r="BM439" s="21" t="s">
        <v>1567</v>
      </c>
    </row>
    <row r="440" spans="2:51" s="11" customFormat="1" ht="22.5" customHeight="1">
      <c r="B440" s="159"/>
      <c r="C440" s="160"/>
      <c r="D440" s="160"/>
      <c r="E440" s="161" t="s">
        <v>5</v>
      </c>
      <c r="F440" s="308" t="s">
        <v>2071</v>
      </c>
      <c r="G440" s="309"/>
      <c r="H440" s="309"/>
      <c r="I440" s="309"/>
      <c r="J440" s="160"/>
      <c r="K440" s="162">
        <v>1688.75</v>
      </c>
      <c r="L440" s="160"/>
      <c r="M440" s="160"/>
      <c r="N440" s="160"/>
      <c r="O440" s="160"/>
      <c r="P440" s="160"/>
      <c r="Q440" s="160"/>
      <c r="R440" s="163"/>
      <c r="T440" s="164"/>
      <c r="U440" s="160"/>
      <c r="V440" s="160"/>
      <c r="W440" s="160"/>
      <c r="X440" s="160"/>
      <c r="Y440" s="160"/>
      <c r="Z440" s="160"/>
      <c r="AA440" s="165"/>
      <c r="AT440" s="166" t="s">
        <v>179</v>
      </c>
      <c r="AU440" s="166" t="s">
        <v>135</v>
      </c>
      <c r="AV440" s="11" t="s">
        <v>135</v>
      </c>
      <c r="AW440" s="11" t="s">
        <v>35</v>
      </c>
      <c r="AX440" s="11" t="s">
        <v>21</v>
      </c>
      <c r="AY440" s="166" t="s">
        <v>167</v>
      </c>
    </row>
    <row r="441" spans="2:63" s="9" customFormat="1" ht="29.85" customHeight="1">
      <c r="B441" s="130"/>
      <c r="C441" s="131"/>
      <c r="D441" s="140" t="s">
        <v>150</v>
      </c>
      <c r="E441" s="140"/>
      <c r="F441" s="140"/>
      <c r="G441" s="140"/>
      <c r="H441" s="140"/>
      <c r="I441" s="140"/>
      <c r="J441" s="140"/>
      <c r="K441" s="140"/>
      <c r="L441" s="140"/>
      <c r="M441" s="140"/>
      <c r="N441" s="298">
        <f>BK441</f>
        <v>0</v>
      </c>
      <c r="O441" s="299"/>
      <c r="P441" s="299"/>
      <c r="Q441" s="299"/>
      <c r="R441" s="133"/>
      <c r="T441" s="134"/>
      <c r="U441" s="131"/>
      <c r="V441" s="131"/>
      <c r="W441" s="135">
        <f>SUM(W442:W510)</f>
        <v>5847.820500000006</v>
      </c>
      <c r="X441" s="131"/>
      <c r="Y441" s="135">
        <f>SUM(Y442:Y510)</f>
        <v>379.97837999999985</v>
      </c>
      <c r="Z441" s="131"/>
      <c r="AA441" s="136">
        <f>SUM(AA442:AA510)</f>
        <v>0</v>
      </c>
      <c r="AR441" s="137" t="s">
        <v>21</v>
      </c>
      <c r="AT441" s="138" t="s">
        <v>77</v>
      </c>
      <c r="AU441" s="138" t="s">
        <v>21</v>
      </c>
      <c r="AY441" s="137" t="s">
        <v>167</v>
      </c>
      <c r="BK441" s="139">
        <f>SUM(BK442:BK510)</f>
        <v>0</v>
      </c>
    </row>
    <row r="442" spans="2:65" s="1" customFormat="1" ht="44.25" customHeight="1">
      <c r="B442" s="141"/>
      <c r="C442" s="142" t="s">
        <v>585</v>
      </c>
      <c r="D442" s="142" t="s">
        <v>168</v>
      </c>
      <c r="E442" s="143" t="s">
        <v>1568</v>
      </c>
      <c r="F442" s="293" t="s">
        <v>1569</v>
      </c>
      <c r="G442" s="293"/>
      <c r="H442" s="293"/>
      <c r="I442" s="293"/>
      <c r="J442" s="144" t="s">
        <v>259</v>
      </c>
      <c r="K442" s="145">
        <v>777</v>
      </c>
      <c r="L442" s="294"/>
      <c r="M442" s="294"/>
      <c r="N442" s="294">
        <f>ROUND(L442*K442,2)</f>
        <v>0</v>
      </c>
      <c r="O442" s="294"/>
      <c r="P442" s="294"/>
      <c r="Q442" s="294"/>
      <c r="R442" s="146"/>
      <c r="T442" s="147" t="s">
        <v>5</v>
      </c>
      <c r="U442" s="44" t="s">
        <v>43</v>
      </c>
      <c r="V442" s="148">
        <v>0.31</v>
      </c>
      <c r="W442" s="148">
        <f>V442*K442</f>
        <v>240.87</v>
      </c>
      <c r="X442" s="148">
        <v>0</v>
      </c>
      <c r="Y442" s="148">
        <f>X442*K442</f>
        <v>0</v>
      </c>
      <c r="Z442" s="148">
        <v>0</v>
      </c>
      <c r="AA442" s="149">
        <f>Z442*K442</f>
        <v>0</v>
      </c>
      <c r="AR442" s="21" t="s">
        <v>172</v>
      </c>
      <c r="AT442" s="21" t="s">
        <v>168</v>
      </c>
      <c r="AU442" s="21" t="s">
        <v>135</v>
      </c>
      <c r="AY442" s="21" t="s">
        <v>167</v>
      </c>
      <c r="BE442" s="150">
        <f>IF(U442="základní",N442,0)</f>
        <v>0</v>
      </c>
      <c r="BF442" s="150">
        <f>IF(U442="snížená",N442,0)</f>
        <v>0</v>
      </c>
      <c r="BG442" s="150">
        <f>IF(U442="zákl. přenesená",N442,0)</f>
        <v>0</v>
      </c>
      <c r="BH442" s="150">
        <f>IF(U442="sníž. přenesená",N442,0)</f>
        <v>0</v>
      </c>
      <c r="BI442" s="150">
        <f>IF(U442="nulová",N442,0)</f>
        <v>0</v>
      </c>
      <c r="BJ442" s="21" t="s">
        <v>21</v>
      </c>
      <c r="BK442" s="150">
        <f>ROUND(L442*K442,2)</f>
        <v>0</v>
      </c>
      <c r="BL442" s="21" t="s">
        <v>172</v>
      </c>
      <c r="BM442" s="21" t="s">
        <v>1570</v>
      </c>
    </row>
    <row r="443" spans="2:51" s="10" customFormat="1" ht="22.5" customHeight="1">
      <c r="B443" s="151"/>
      <c r="C443" s="152"/>
      <c r="D443" s="152"/>
      <c r="E443" s="153" t="s">
        <v>5</v>
      </c>
      <c r="F443" s="300" t="s">
        <v>1365</v>
      </c>
      <c r="G443" s="301"/>
      <c r="H443" s="301"/>
      <c r="I443" s="301"/>
      <c r="J443" s="152"/>
      <c r="K443" s="154" t="s">
        <v>5</v>
      </c>
      <c r="L443" s="152"/>
      <c r="M443" s="152"/>
      <c r="N443" s="152"/>
      <c r="O443" s="152"/>
      <c r="P443" s="152"/>
      <c r="Q443" s="152"/>
      <c r="R443" s="155"/>
      <c r="T443" s="156"/>
      <c r="U443" s="152"/>
      <c r="V443" s="152"/>
      <c r="W443" s="152"/>
      <c r="X443" s="152"/>
      <c r="Y443" s="152"/>
      <c r="Z443" s="152"/>
      <c r="AA443" s="157"/>
      <c r="AT443" s="158" t="s">
        <v>179</v>
      </c>
      <c r="AU443" s="158" t="s">
        <v>135</v>
      </c>
      <c r="AV443" s="10" t="s">
        <v>21</v>
      </c>
      <c r="AW443" s="10" t="s">
        <v>35</v>
      </c>
      <c r="AX443" s="10" t="s">
        <v>78</v>
      </c>
      <c r="AY443" s="158" t="s">
        <v>167</v>
      </c>
    </row>
    <row r="444" spans="2:51" s="11" customFormat="1" ht="22.5" customHeight="1">
      <c r="B444" s="159"/>
      <c r="C444" s="160"/>
      <c r="D444" s="160"/>
      <c r="E444" s="161" t="s">
        <v>5</v>
      </c>
      <c r="F444" s="302" t="s">
        <v>1975</v>
      </c>
      <c r="G444" s="303"/>
      <c r="H444" s="303"/>
      <c r="I444" s="303"/>
      <c r="J444" s="160"/>
      <c r="K444" s="162">
        <v>777</v>
      </c>
      <c r="L444" s="160"/>
      <c r="M444" s="160"/>
      <c r="N444" s="160"/>
      <c r="O444" s="160"/>
      <c r="P444" s="160"/>
      <c r="Q444" s="160"/>
      <c r="R444" s="163"/>
      <c r="T444" s="164"/>
      <c r="U444" s="160"/>
      <c r="V444" s="160"/>
      <c r="W444" s="160"/>
      <c r="X444" s="160"/>
      <c r="Y444" s="160"/>
      <c r="Z444" s="160"/>
      <c r="AA444" s="165"/>
      <c r="AT444" s="166" t="s">
        <v>179</v>
      </c>
      <c r="AU444" s="166" t="s">
        <v>135</v>
      </c>
      <c r="AV444" s="11" t="s">
        <v>135</v>
      </c>
      <c r="AW444" s="11" t="s">
        <v>35</v>
      </c>
      <c r="AX444" s="11" t="s">
        <v>78</v>
      </c>
      <c r="AY444" s="166" t="s">
        <v>167</v>
      </c>
    </row>
    <row r="445" spans="2:51" s="12" customFormat="1" ht="22.5" customHeight="1">
      <c r="B445" s="167"/>
      <c r="C445" s="168"/>
      <c r="D445" s="168"/>
      <c r="E445" s="169" t="s">
        <v>5</v>
      </c>
      <c r="F445" s="306" t="s">
        <v>183</v>
      </c>
      <c r="G445" s="307"/>
      <c r="H445" s="307"/>
      <c r="I445" s="307"/>
      <c r="J445" s="168"/>
      <c r="K445" s="170">
        <v>777</v>
      </c>
      <c r="L445" s="168"/>
      <c r="M445" s="168"/>
      <c r="N445" s="168"/>
      <c r="O445" s="168"/>
      <c r="P445" s="168"/>
      <c r="Q445" s="168"/>
      <c r="R445" s="171"/>
      <c r="T445" s="172"/>
      <c r="U445" s="168"/>
      <c r="V445" s="168"/>
      <c r="W445" s="168"/>
      <c r="X445" s="168"/>
      <c r="Y445" s="168"/>
      <c r="Z445" s="168"/>
      <c r="AA445" s="173"/>
      <c r="AT445" s="174" t="s">
        <v>179</v>
      </c>
      <c r="AU445" s="174" t="s">
        <v>135</v>
      </c>
      <c r="AV445" s="12" t="s">
        <v>172</v>
      </c>
      <c r="AW445" s="12" t="s">
        <v>35</v>
      </c>
      <c r="AX445" s="12" t="s">
        <v>21</v>
      </c>
      <c r="AY445" s="174" t="s">
        <v>167</v>
      </c>
    </row>
    <row r="446" spans="2:65" s="1" customFormat="1" ht="31.5" customHeight="1">
      <c r="B446" s="141"/>
      <c r="C446" s="178" t="s">
        <v>884</v>
      </c>
      <c r="D446" s="178" t="s">
        <v>317</v>
      </c>
      <c r="E446" s="179" t="s">
        <v>1571</v>
      </c>
      <c r="F446" s="313" t="s">
        <v>1572</v>
      </c>
      <c r="G446" s="313"/>
      <c r="H446" s="313"/>
      <c r="I446" s="313"/>
      <c r="J446" s="180" t="s">
        <v>259</v>
      </c>
      <c r="K446" s="181">
        <v>780</v>
      </c>
      <c r="L446" s="314"/>
      <c r="M446" s="314"/>
      <c r="N446" s="314">
        <f>ROUND(L446*K446,2)</f>
        <v>0</v>
      </c>
      <c r="O446" s="294"/>
      <c r="P446" s="294"/>
      <c r="Q446" s="294"/>
      <c r="R446" s="146"/>
      <c r="T446" s="147" t="s">
        <v>5</v>
      </c>
      <c r="U446" s="44" t="s">
        <v>43</v>
      </c>
      <c r="V446" s="148">
        <v>0</v>
      </c>
      <c r="W446" s="148">
        <f>V446*K446</f>
        <v>0</v>
      </c>
      <c r="X446" s="148">
        <v>0.00212</v>
      </c>
      <c r="Y446" s="148">
        <f>X446*K446</f>
        <v>1.6536</v>
      </c>
      <c r="Z446" s="148">
        <v>0</v>
      </c>
      <c r="AA446" s="149">
        <f>Z446*K446</f>
        <v>0</v>
      </c>
      <c r="AR446" s="21" t="s">
        <v>213</v>
      </c>
      <c r="AT446" s="21" t="s">
        <v>317</v>
      </c>
      <c r="AU446" s="21" t="s">
        <v>135</v>
      </c>
      <c r="AY446" s="21" t="s">
        <v>167</v>
      </c>
      <c r="BE446" s="150">
        <f>IF(U446="základní",N446,0)</f>
        <v>0</v>
      </c>
      <c r="BF446" s="150">
        <f>IF(U446="snížená",N446,0)</f>
        <v>0</v>
      </c>
      <c r="BG446" s="150">
        <f>IF(U446="zákl. přenesená",N446,0)</f>
        <v>0</v>
      </c>
      <c r="BH446" s="150">
        <f>IF(U446="sníž. přenesená",N446,0)</f>
        <v>0</v>
      </c>
      <c r="BI446" s="150">
        <f>IF(U446="nulová",N446,0)</f>
        <v>0</v>
      </c>
      <c r="BJ446" s="21" t="s">
        <v>21</v>
      </c>
      <c r="BK446" s="150">
        <f>ROUND(L446*K446,2)</f>
        <v>0</v>
      </c>
      <c r="BL446" s="21" t="s">
        <v>172</v>
      </c>
      <c r="BM446" s="21" t="s">
        <v>1573</v>
      </c>
    </row>
    <row r="447" spans="2:65" s="1" customFormat="1" ht="31.5" customHeight="1">
      <c r="B447" s="141"/>
      <c r="C447" s="142" t="s">
        <v>888</v>
      </c>
      <c r="D447" s="142" t="s">
        <v>168</v>
      </c>
      <c r="E447" s="202" t="s">
        <v>2223</v>
      </c>
      <c r="F447" s="317" t="s">
        <v>2224</v>
      </c>
      <c r="G447" s="317"/>
      <c r="H447" s="317"/>
      <c r="I447" s="317"/>
      <c r="J447" s="144" t="s">
        <v>259</v>
      </c>
      <c r="K447" s="145">
        <v>1159</v>
      </c>
      <c r="L447" s="294"/>
      <c r="M447" s="294"/>
      <c r="N447" s="294">
        <f>ROUND(L447*K447,2)</f>
        <v>0</v>
      </c>
      <c r="O447" s="294"/>
      <c r="P447" s="294"/>
      <c r="Q447" s="294"/>
      <c r="R447" s="146"/>
      <c r="T447" s="147" t="s">
        <v>5</v>
      </c>
      <c r="U447" s="44" t="s">
        <v>43</v>
      </c>
      <c r="V447" s="148">
        <v>0.412</v>
      </c>
      <c r="W447" s="148">
        <f>V447*K447</f>
        <v>477.508</v>
      </c>
      <c r="X447" s="148">
        <v>0</v>
      </c>
      <c r="Y447" s="148">
        <f>X447*K447</f>
        <v>0</v>
      </c>
      <c r="Z447" s="148">
        <v>0</v>
      </c>
      <c r="AA447" s="149">
        <f>Z447*K447</f>
        <v>0</v>
      </c>
      <c r="AR447" s="21" t="s">
        <v>172</v>
      </c>
      <c r="AT447" s="21" t="s">
        <v>168</v>
      </c>
      <c r="AU447" s="21" t="s">
        <v>135</v>
      </c>
      <c r="AY447" s="21" t="s">
        <v>167</v>
      </c>
      <c r="BE447" s="150">
        <f>IF(U447="základní",N447,0)</f>
        <v>0</v>
      </c>
      <c r="BF447" s="150">
        <f>IF(U447="snížená",N447,0)</f>
        <v>0</v>
      </c>
      <c r="BG447" s="150">
        <f>IF(U447="zákl. přenesená",N447,0)</f>
        <v>0</v>
      </c>
      <c r="BH447" s="150">
        <f>IF(U447="sníž. přenesená",N447,0)</f>
        <v>0</v>
      </c>
      <c r="BI447" s="150">
        <f>IF(U447="nulová",N447,0)</f>
        <v>0</v>
      </c>
      <c r="BJ447" s="21" t="s">
        <v>21</v>
      </c>
      <c r="BK447" s="150">
        <f>ROUND(L447*K447,2)</f>
        <v>0</v>
      </c>
      <c r="BL447" s="21" t="s">
        <v>172</v>
      </c>
      <c r="BM447" s="21" t="s">
        <v>1574</v>
      </c>
    </row>
    <row r="448" spans="2:51" s="10" customFormat="1" ht="22.5" customHeight="1">
      <c r="B448" s="151"/>
      <c r="C448" s="152"/>
      <c r="D448" s="152"/>
      <c r="E448" s="153" t="s">
        <v>5</v>
      </c>
      <c r="F448" s="300" t="s">
        <v>1357</v>
      </c>
      <c r="G448" s="301"/>
      <c r="H448" s="301"/>
      <c r="I448" s="301"/>
      <c r="J448" s="152"/>
      <c r="K448" s="154" t="s">
        <v>5</v>
      </c>
      <c r="L448" s="152"/>
      <c r="M448" s="152"/>
      <c r="N448" s="152"/>
      <c r="O448" s="152"/>
      <c r="P448" s="152"/>
      <c r="Q448" s="152"/>
      <c r="R448" s="155"/>
      <c r="T448" s="156"/>
      <c r="U448" s="152"/>
      <c r="V448" s="152"/>
      <c r="W448" s="152"/>
      <c r="X448" s="152"/>
      <c r="Y448" s="152"/>
      <c r="Z448" s="152"/>
      <c r="AA448" s="157"/>
      <c r="AT448" s="158" t="s">
        <v>179</v>
      </c>
      <c r="AU448" s="158" t="s">
        <v>135</v>
      </c>
      <c r="AV448" s="10" t="s">
        <v>21</v>
      </c>
      <c r="AW448" s="10" t="s">
        <v>35</v>
      </c>
      <c r="AX448" s="10" t="s">
        <v>78</v>
      </c>
      <c r="AY448" s="158" t="s">
        <v>167</v>
      </c>
    </row>
    <row r="449" spans="2:51" s="11" customFormat="1" ht="22.5" customHeight="1">
      <c r="B449" s="159"/>
      <c r="C449" s="160"/>
      <c r="D449" s="160"/>
      <c r="E449" s="161" t="s">
        <v>5</v>
      </c>
      <c r="F449" s="302" t="s">
        <v>1972</v>
      </c>
      <c r="G449" s="303"/>
      <c r="H449" s="303"/>
      <c r="I449" s="303"/>
      <c r="J449" s="160"/>
      <c r="K449" s="162">
        <v>509.5</v>
      </c>
      <c r="L449" s="160"/>
      <c r="M449" s="160"/>
      <c r="N449" s="160"/>
      <c r="O449" s="160"/>
      <c r="P449" s="160"/>
      <c r="Q449" s="160"/>
      <c r="R449" s="163"/>
      <c r="T449" s="164"/>
      <c r="U449" s="160"/>
      <c r="V449" s="160"/>
      <c r="W449" s="160"/>
      <c r="X449" s="160"/>
      <c r="Y449" s="160"/>
      <c r="Z449" s="160"/>
      <c r="AA449" s="165"/>
      <c r="AT449" s="166" t="s">
        <v>179</v>
      </c>
      <c r="AU449" s="166" t="s">
        <v>135</v>
      </c>
      <c r="AV449" s="11" t="s">
        <v>135</v>
      </c>
      <c r="AW449" s="11" t="s">
        <v>35</v>
      </c>
      <c r="AX449" s="11" t="s">
        <v>78</v>
      </c>
      <c r="AY449" s="166" t="s">
        <v>167</v>
      </c>
    </row>
    <row r="450" spans="2:51" s="11" customFormat="1" ht="22.5" customHeight="1">
      <c r="B450" s="159"/>
      <c r="C450" s="160"/>
      <c r="D450" s="160"/>
      <c r="E450" s="161" t="s">
        <v>5</v>
      </c>
      <c r="F450" s="302" t="s">
        <v>1973</v>
      </c>
      <c r="G450" s="303"/>
      <c r="H450" s="303"/>
      <c r="I450" s="303"/>
      <c r="J450" s="160"/>
      <c r="K450" s="162">
        <v>182</v>
      </c>
      <c r="L450" s="160"/>
      <c r="M450" s="160"/>
      <c r="N450" s="160"/>
      <c r="O450" s="160"/>
      <c r="P450" s="160"/>
      <c r="Q450" s="160"/>
      <c r="R450" s="163"/>
      <c r="T450" s="164"/>
      <c r="U450" s="160"/>
      <c r="V450" s="160"/>
      <c r="W450" s="160"/>
      <c r="X450" s="160"/>
      <c r="Y450" s="160"/>
      <c r="Z450" s="160"/>
      <c r="AA450" s="165"/>
      <c r="AT450" s="166" t="s">
        <v>179</v>
      </c>
      <c r="AU450" s="166" t="s">
        <v>135</v>
      </c>
      <c r="AV450" s="11" t="s">
        <v>135</v>
      </c>
      <c r="AW450" s="11" t="s">
        <v>35</v>
      </c>
      <c r="AX450" s="11" t="s">
        <v>78</v>
      </c>
      <c r="AY450" s="166" t="s">
        <v>167</v>
      </c>
    </row>
    <row r="451" spans="2:51" s="11" customFormat="1" ht="22.5" customHeight="1">
      <c r="B451" s="159"/>
      <c r="C451" s="160"/>
      <c r="D451" s="160"/>
      <c r="E451" s="161" t="s">
        <v>5</v>
      </c>
      <c r="F451" s="302" t="s">
        <v>1974</v>
      </c>
      <c r="G451" s="303"/>
      <c r="H451" s="303"/>
      <c r="I451" s="303"/>
      <c r="J451" s="160"/>
      <c r="K451" s="162">
        <v>404</v>
      </c>
      <c r="L451" s="160"/>
      <c r="M451" s="160"/>
      <c r="N451" s="160"/>
      <c r="O451" s="160"/>
      <c r="P451" s="160"/>
      <c r="Q451" s="160"/>
      <c r="R451" s="163"/>
      <c r="T451" s="164"/>
      <c r="U451" s="160"/>
      <c r="V451" s="160"/>
      <c r="W451" s="160"/>
      <c r="X451" s="160"/>
      <c r="Y451" s="160"/>
      <c r="Z451" s="160"/>
      <c r="AA451" s="165"/>
      <c r="AT451" s="166" t="s">
        <v>179</v>
      </c>
      <c r="AU451" s="166" t="s">
        <v>135</v>
      </c>
      <c r="AV451" s="11" t="s">
        <v>135</v>
      </c>
      <c r="AW451" s="11" t="s">
        <v>35</v>
      </c>
      <c r="AX451" s="11" t="s">
        <v>78</v>
      </c>
      <c r="AY451" s="166" t="s">
        <v>167</v>
      </c>
    </row>
    <row r="452" spans="2:51" s="11" customFormat="1" ht="22.5" customHeight="1">
      <c r="B452" s="159"/>
      <c r="C452" s="160"/>
      <c r="D452" s="160"/>
      <c r="E452" s="161" t="s">
        <v>5</v>
      </c>
      <c r="F452" s="302" t="s">
        <v>1926</v>
      </c>
      <c r="G452" s="303"/>
      <c r="H452" s="303"/>
      <c r="I452" s="303"/>
      <c r="J452" s="160"/>
      <c r="K452" s="162">
        <v>63.5</v>
      </c>
      <c r="L452" s="160"/>
      <c r="M452" s="160"/>
      <c r="N452" s="160"/>
      <c r="O452" s="160"/>
      <c r="P452" s="160"/>
      <c r="Q452" s="160"/>
      <c r="R452" s="163"/>
      <c r="T452" s="164"/>
      <c r="U452" s="160"/>
      <c r="V452" s="160"/>
      <c r="W452" s="160"/>
      <c r="X452" s="160"/>
      <c r="Y452" s="160"/>
      <c r="Z452" s="160"/>
      <c r="AA452" s="165"/>
      <c r="AT452" s="166" t="s">
        <v>179</v>
      </c>
      <c r="AU452" s="166" t="s">
        <v>135</v>
      </c>
      <c r="AV452" s="11" t="s">
        <v>135</v>
      </c>
      <c r="AW452" s="11" t="s">
        <v>35</v>
      </c>
      <c r="AX452" s="11" t="s">
        <v>78</v>
      </c>
      <c r="AY452" s="166" t="s">
        <v>167</v>
      </c>
    </row>
    <row r="453" spans="2:51" s="12" customFormat="1" ht="22.5" customHeight="1">
      <c r="B453" s="167"/>
      <c r="C453" s="168"/>
      <c r="D453" s="168"/>
      <c r="E453" s="169" t="s">
        <v>5</v>
      </c>
      <c r="F453" s="306" t="s">
        <v>183</v>
      </c>
      <c r="G453" s="307"/>
      <c r="H453" s="307"/>
      <c r="I453" s="307"/>
      <c r="J453" s="168"/>
      <c r="K453" s="170">
        <v>1159</v>
      </c>
      <c r="L453" s="168"/>
      <c r="M453" s="168"/>
      <c r="N453" s="168"/>
      <c r="O453" s="168"/>
      <c r="P453" s="168"/>
      <c r="Q453" s="168"/>
      <c r="R453" s="171"/>
      <c r="T453" s="172"/>
      <c r="U453" s="168"/>
      <c r="V453" s="168"/>
      <c r="W453" s="168"/>
      <c r="X453" s="168"/>
      <c r="Y453" s="168"/>
      <c r="Z453" s="168"/>
      <c r="AA453" s="173"/>
      <c r="AT453" s="174" t="s">
        <v>179</v>
      </c>
      <c r="AU453" s="174" t="s">
        <v>135</v>
      </c>
      <c r="AV453" s="12" t="s">
        <v>172</v>
      </c>
      <c r="AW453" s="12" t="s">
        <v>35</v>
      </c>
      <c r="AX453" s="12" t="s">
        <v>21</v>
      </c>
      <c r="AY453" s="174" t="s">
        <v>167</v>
      </c>
    </row>
    <row r="454" spans="2:65" s="1" customFormat="1" ht="22.5" customHeight="1">
      <c r="B454" s="141"/>
      <c r="C454" s="178" t="s">
        <v>892</v>
      </c>
      <c r="D454" s="178" t="s">
        <v>317</v>
      </c>
      <c r="E454" s="179" t="s">
        <v>1575</v>
      </c>
      <c r="F454" s="313" t="s">
        <v>2225</v>
      </c>
      <c r="G454" s="313"/>
      <c r="H454" s="313"/>
      <c r="I454" s="313"/>
      <c r="J454" s="180" t="s">
        <v>578</v>
      </c>
      <c r="K454" s="181">
        <v>200</v>
      </c>
      <c r="L454" s="314"/>
      <c r="M454" s="314"/>
      <c r="N454" s="314">
        <f>ROUND(L454*K454,2)</f>
        <v>0</v>
      </c>
      <c r="O454" s="294"/>
      <c r="P454" s="294"/>
      <c r="Q454" s="294"/>
      <c r="R454" s="146"/>
      <c r="T454" s="147" t="s">
        <v>5</v>
      </c>
      <c r="U454" s="44" t="s">
        <v>43</v>
      </c>
      <c r="V454" s="148">
        <v>0</v>
      </c>
      <c r="W454" s="148">
        <f>V454*K454</f>
        <v>0</v>
      </c>
      <c r="X454" s="148">
        <v>0.0219</v>
      </c>
      <c r="Y454" s="148">
        <f>X454*K454</f>
        <v>4.38</v>
      </c>
      <c r="Z454" s="148">
        <v>0</v>
      </c>
      <c r="AA454" s="149">
        <f>Z454*K454</f>
        <v>0</v>
      </c>
      <c r="AR454" s="21" t="s">
        <v>213</v>
      </c>
      <c r="AT454" s="21" t="s">
        <v>317</v>
      </c>
      <c r="AU454" s="21" t="s">
        <v>135</v>
      </c>
      <c r="AY454" s="21" t="s">
        <v>167</v>
      </c>
      <c r="BE454" s="150">
        <f>IF(U454="základní",N454,0)</f>
        <v>0</v>
      </c>
      <c r="BF454" s="150">
        <f>IF(U454="snížená",N454,0)</f>
        <v>0</v>
      </c>
      <c r="BG454" s="150">
        <f>IF(U454="zákl. přenesená",N454,0)</f>
        <v>0</v>
      </c>
      <c r="BH454" s="150">
        <f>IF(U454="sníž. přenesená",N454,0)</f>
        <v>0</v>
      </c>
      <c r="BI454" s="150">
        <f>IF(U454="nulová",N454,0)</f>
        <v>0</v>
      </c>
      <c r="BJ454" s="21" t="s">
        <v>21</v>
      </c>
      <c r="BK454" s="150">
        <f>ROUND(L454*K454,2)</f>
        <v>0</v>
      </c>
      <c r="BL454" s="21" t="s">
        <v>172</v>
      </c>
      <c r="BM454" s="21" t="s">
        <v>1576</v>
      </c>
    </row>
    <row r="455" spans="2:65" s="1" customFormat="1" ht="31.5" customHeight="1">
      <c r="B455" s="141"/>
      <c r="C455" s="142" t="s">
        <v>898</v>
      </c>
      <c r="D455" s="142" t="s">
        <v>168</v>
      </c>
      <c r="E455" s="202" t="s">
        <v>2223</v>
      </c>
      <c r="F455" s="317" t="s">
        <v>2226</v>
      </c>
      <c r="G455" s="317"/>
      <c r="H455" s="317"/>
      <c r="I455" s="317"/>
      <c r="J455" s="144" t="s">
        <v>259</v>
      </c>
      <c r="K455" s="145">
        <v>111.5</v>
      </c>
      <c r="L455" s="294"/>
      <c r="M455" s="294"/>
      <c r="N455" s="294">
        <f>ROUND(L455*K455,2)</f>
        <v>0</v>
      </c>
      <c r="O455" s="294"/>
      <c r="P455" s="294"/>
      <c r="Q455" s="294"/>
      <c r="R455" s="146"/>
      <c r="T455" s="147" t="s">
        <v>5</v>
      </c>
      <c r="U455" s="44" t="s">
        <v>43</v>
      </c>
      <c r="V455" s="148">
        <v>0.61</v>
      </c>
      <c r="W455" s="148">
        <f>V455*K455</f>
        <v>68.015</v>
      </c>
      <c r="X455" s="148">
        <v>0</v>
      </c>
      <c r="Y455" s="148">
        <f>X455*K455</f>
        <v>0</v>
      </c>
      <c r="Z455" s="148">
        <v>0</v>
      </c>
      <c r="AA455" s="149">
        <f>Z455*K455</f>
        <v>0</v>
      </c>
      <c r="AR455" s="21" t="s">
        <v>172</v>
      </c>
      <c r="AT455" s="21" t="s">
        <v>168</v>
      </c>
      <c r="AU455" s="21" t="s">
        <v>135</v>
      </c>
      <c r="AY455" s="21" t="s">
        <v>167</v>
      </c>
      <c r="BE455" s="150">
        <f>IF(U455="základní",N455,0)</f>
        <v>0</v>
      </c>
      <c r="BF455" s="150">
        <f>IF(U455="snížená",N455,0)</f>
        <v>0</v>
      </c>
      <c r="BG455" s="150">
        <f>IF(U455="zákl. přenesená",N455,0)</f>
        <v>0</v>
      </c>
      <c r="BH455" s="150">
        <f>IF(U455="sníž. přenesená",N455,0)</f>
        <v>0</v>
      </c>
      <c r="BI455" s="150">
        <f>IF(U455="nulová",N455,0)</f>
        <v>0</v>
      </c>
      <c r="BJ455" s="21" t="s">
        <v>21</v>
      </c>
      <c r="BK455" s="150">
        <f>ROUND(L455*K455,2)</f>
        <v>0</v>
      </c>
      <c r="BL455" s="21" t="s">
        <v>172</v>
      </c>
      <c r="BM455" s="21" t="s">
        <v>2072</v>
      </c>
    </row>
    <row r="456" spans="2:51" s="10" customFormat="1" ht="22.5" customHeight="1">
      <c r="B456" s="151"/>
      <c r="C456" s="152"/>
      <c r="D456" s="152"/>
      <c r="E456" s="153" t="s">
        <v>5</v>
      </c>
      <c r="F456" s="300" t="s">
        <v>1976</v>
      </c>
      <c r="G456" s="301"/>
      <c r="H456" s="301"/>
      <c r="I456" s="301"/>
      <c r="J456" s="152"/>
      <c r="K456" s="154" t="s">
        <v>5</v>
      </c>
      <c r="L456" s="152"/>
      <c r="M456" s="152"/>
      <c r="N456" s="152"/>
      <c r="O456" s="152"/>
      <c r="P456" s="152"/>
      <c r="Q456" s="152"/>
      <c r="R456" s="155"/>
      <c r="T456" s="156"/>
      <c r="U456" s="152"/>
      <c r="V456" s="152"/>
      <c r="W456" s="152"/>
      <c r="X456" s="152"/>
      <c r="Y456" s="152"/>
      <c r="Z456" s="152"/>
      <c r="AA456" s="157"/>
      <c r="AT456" s="158" t="s">
        <v>179</v>
      </c>
      <c r="AU456" s="158" t="s">
        <v>135</v>
      </c>
      <c r="AV456" s="10" t="s">
        <v>21</v>
      </c>
      <c r="AW456" s="10" t="s">
        <v>35</v>
      </c>
      <c r="AX456" s="10" t="s">
        <v>78</v>
      </c>
      <c r="AY456" s="158" t="s">
        <v>167</v>
      </c>
    </row>
    <row r="457" spans="2:51" s="11" customFormat="1" ht="22.5" customHeight="1">
      <c r="B457" s="159"/>
      <c r="C457" s="160"/>
      <c r="D457" s="160"/>
      <c r="E457" s="161" t="s">
        <v>5</v>
      </c>
      <c r="F457" s="302" t="s">
        <v>1977</v>
      </c>
      <c r="G457" s="303"/>
      <c r="H457" s="303"/>
      <c r="I457" s="303"/>
      <c r="J457" s="160"/>
      <c r="K457" s="162">
        <v>111.5</v>
      </c>
      <c r="L457" s="160"/>
      <c r="M457" s="160"/>
      <c r="N457" s="160"/>
      <c r="O457" s="160"/>
      <c r="P457" s="160"/>
      <c r="Q457" s="160"/>
      <c r="R457" s="163"/>
      <c r="T457" s="164"/>
      <c r="U457" s="160"/>
      <c r="V457" s="160"/>
      <c r="W457" s="160"/>
      <c r="X457" s="160"/>
      <c r="Y457" s="160"/>
      <c r="Z457" s="160"/>
      <c r="AA457" s="165"/>
      <c r="AT457" s="166" t="s">
        <v>179</v>
      </c>
      <c r="AU457" s="166" t="s">
        <v>135</v>
      </c>
      <c r="AV457" s="11" t="s">
        <v>135</v>
      </c>
      <c r="AW457" s="11" t="s">
        <v>35</v>
      </c>
      <c r="AX457" s="11" t="s">
        <v>21</v>
      </c>
      <c r="AY457" s="166" t="s">
        <v>167</v>
      </c>
    </row>
    <row r="458" spans="2:65" s="1" customFormat="1" ht="22.5" customHeight="1">
      <c r="B458" s="141"/>
      <c r="C458" s="178" t="s">
        <v>902</v>
      </c>
      <c r="D458" s="178" t="s">
        <v>317</v>
      </c>
      <c r="E458" s="179" t="s">
        <v>2073</v>
      </c>
      <c r="F458" s="313" t="s">
        <v>2227</v>
      </c>
      <c r="G458" s="313"/>
      <c r="H458" s="313"/>
      <c r="I458" s="313"/>
      <c r="J458" s="180" t="s">
        <v>578</v>
      </c>
      <c r="K458" s="181">
        <v>19</v>
      </c>
      <c r="L458" s="314"/>
      <c r="M458" s="314"/>
      <c r="N458" s="314">
        <f>ROUND(L458*K458,2)</f>
        <v>0</v>
      </c>
      <c r="O458" s="294"/>
      <c r="P458" s="294"/>
      <c r="Q458" s="294"/>
      <c r="R458" s="146"/>
      <c r="T458" s="147" t="s">
        <v>5</v>
      </c>
      <c r="U458" s="44" t="s">
        <v>43</v>
      </c>
      <c r="V458" s="148">
        <v>0</v>
      </c>
      <c r="W458" s="148">
        <f>V458*K458</f>
        <v>0</v>
      </c>
      <c r="X458" s="148">
        <v>0.04897</v>
      </c>
      <c r="Y458" s="148">
        <f>X458*K458</f>
        <v>0.93043</v>
      </c>
      <c r="Z458" s="148">
        <v>0</v>
      </c>
      <c r="AA458" s="149">
        <f>Z458*K458</f>
        <v>0</v>
      </c>
      <c r="AR458" s="21" t="s">
        <v>213</v>
      </c>
      <c r="AT458" s="21" t="s">
        <v>317</v>
      </c>
      <c r="AU458" s="21" t="s">
        <v>135</v>
      </c>
      <c r="AY458" s="21" t="s">
        <v>167</v>
      </c>
      <c r="BE458" s="150">
        <f>IF(U458="základní",N458,0)</f>
        <v>0</v>
      </c>
      <c r="BF458" s="150">
        <f>IF(U458="snížená",N458,0)</f>
        <v>0</v>
      </c>
      <c r="BG458" s="150">
        <f>IF(U458="zákl. přenesená",N458,0)</f>
        <v>0</v>
      </c>
      <c r="BH458" s="150">
        <f>IF(U458="sníž. přenesená",N458,0)</f>
        <v>0</v>
      </c>
      <c r="BI458" s="150">
        <f>IF(U458="nulová",N458,0)</f>
        <v>0</v>
      </c>
      <c r="BJ458" s="21" t="s">
        <v>21</v>
      </c>
      <c r="BK458" s="150">
        <f>ROUND(L458*K458,2)</f>
        <v>0</v>
      </c>
      <c r="BL458" s="21" t="s">
        <v>172</v>
      </c>
      <c r="BM458" s="21" t="s">
        <v>2074</v>
      </c>
    </row>
    <row r="459" spans="2:65" s="1" customFormat="1" ht="31.5" customHeight="1">
      <c r="B459" s="141"/>
      <c r="C459" s="142" t="s">
        <v>907</v>
      </c>
      <c r="D459" s="142" t="s">
        <v>168</v>
      </c>
      <c r="E459" s="143" t="s">
        <v>1246</v>
      </c>
      <c r="F459" s="293" t="s">
        <v>1247</v>
      </c>
      <c r="G459" s="293"/>
      <c r="H459" s="293"/>
      <c r="I459" s="293"/>
      <c r="J459" s="144" t="s">
        <v>259</v>
      </c>
      <c r="K459" s="145">
        <v>2047.5</v>
      </c>
      <c r="L459" s="294"/>
      <c r="M459" s="294"/>
      <c r="N459" s="294">
        <f>ROUND(L459*K459,2)</f>
        <v>0</v>
      </c>
      <c r="O459" s="294"/>
      <c r="P459" s="294"/>
      <c r="Q459" s="294"/>
      <c r="R459" s="146"/>
      <c r="T459" s="147" t="s">
        <v>5</v>
      </c>
      <c r="U459" s="44" t="s">
        <v>43</v>
      </c>
      <c r="V459" s="148">
        <v>0.572</v>
      </c>
      <c r="W459" s="148">
        <f>V459*K459</f>
        <v>1171.1699999999998</v>
      </c>
      <c r="X459" s="148">
        <v>0</v>
      </c>
      <c r="Y459" s="148">
        <f>X459*K459</f>
        <v>0</v>
      </c>
      <c r="Z459" s="148">
        <v>0</v>
      </c>
      <c r="AA459" s="149">
        <f>Z459*K459</f>
        <v>0</v>
      </c>
      <c r="AR459" s="21" t="s">
        <v>172</v>
      </c>
      <c r="AT459" s="21" t="s">
        <v>168</v>
      </c>
      <c r="AU459" s="21" t="s">
        <v>135</v>
      </c>
      <c r="AY459" s="21" t="s">
        <v>167</v>
      </c>
      <c r="BE459" s="150">
        <f>IF(U459="základní",N459,0)</f>
        <v>0</v>
      </c>
      <c r="BF459" s="150">
        <f>IF(U459="snížená",N459,0)</f>
        <v>0</v>
      </c>
      <c r="BG459" s="150">
        <f>IF(U459="zákl. přenesená",N459,0)</f>
        <v>0</v>
      </c>
      <c r="BH459" s="150">
        <f>IF(U459="sníž. přenesená",N459,0)</f>
        <v>0</v>
      </c>
      <c r="BI459" s="150">
        <f>IF(U459="nulová",N459,0)</f>
        <v>0</v>
      </c>
      <c r="BJ459" s="21" t="s">
        <v>21</v>
      </c>
      <c r="BK459" s="150">
        <f>ROUND(L459*K459,2)</f>
        <v>0</v>
      </c>
      <c r="BL459" s="21" t="s">
        <v>172</v>
      </c>
      <c r="BM459" s="21" t="s">
        <v>1248</v>
      </c>
    </row>
    <row r="460" spans="2:51" s="11" customFormat="1" ht="22.5" customHeight="1">
      <c r="B460" s="159"/>
      <c r="C460" s="160"/>
      <c r="D460" s="160"/>
      <c r="E460" s="161" t="s">
        <v>5</v>
      </c>
      <c r="F460" s="308" t="s">
        <v>2075</v>
      </c>
      <c r="G460" s="309"/>
      <c r="H460" s="309"/>
      <c r="I460" s="309"/>
      <c r="J460" s="160"/>
      <c r="K460" s="162">
        <v>2047.5</v>
      </c>
      <c r="L460" s="160"/>
      <c r="M460" s="160"/>
      <c r="N460" s="160"/>
      <c r="O460" s="160"/>
      <c r="P460" s="160"/>
      <c r="Q460" s="160"/>
      <c r="R460" s="163"/>
      <c r="T460" s="164"/>
      <c r="U460" s="160"/>
      <c r="V460" s="160"/>
      <c r="W460" s="160"/>
      <c r="X460" s="160"/>
      <c r="Y460" s="160"/>
      <c r="Z460" s="160"/>
      <c r="AA460" s="165"/>
      <c r="AT460" s="166" t="s">
        <v>179</v>
      </c>
      <c r="AU460" s="166" t="s">
        <v>135</v>
      </c>
      <c r="AV460" s="11" t="s">
        <v>135</v>
      </c>
      <c r="AW460" s="11" t="s">
        <v>35</v>
      </c>
      <c r="AX460" s="11" t="s">
        <v>21</v>
      </c>
      <c r="AY460" s="166" t="s">
        <v>167</v>
      </c>
    </row>
    <row r="461" spans="2:65" s="1" customFormat="1" ht="22.5" customHeight="1">
      <c r="B461" s="141"/>
      <c r="C461" s="142" t="s">
        <v>912</v>
      </c>
      <c r="D461" s="142" t="s">
        <v>168</v>
      </c>
      <c r="E461" s="143" t="s">
        <v>1250</v>
      </c>
      <c r="F461" s="293" t="s">
        <v>1251</v>
      </c>
      <c r="G461" s="293"/>
      <c r="H461" s="293"/>
      <c r="I461" s="293"/>
      <c r="J461" s="144" t="s">
        <v>259</v>
      </c>
      <c r="K461" s="145">
        <v>777</v>
      </c>
      <c r="L461" s="294"/>
      <c r="M461" s="294"/>
      <c r="N461" s="294">
        <f aca="true" t="shared" si="0" ref="N461:N466">ROUND(L461*K461,2)</f>
        <v>0</v>
      </c>
      <c r="O461" s="294"/>
      <c r="P461" s="294"/>
      <c r="Q461" s="294"/>
      <c r="R461" s="146"/>
      <c r="T461" s="147" t="s">
        <v>5</v>
      </c>
      <c r="U461" s="44" t="s">
        <v>43</v>
      </c>
      <c r="V461" s="148">
        <v>0.044</v>
      </c>
      <c r="W461" s="148">
        <f aca="true" t="shared" si="1" ref="W461:W466">V461*K461</f>
        <v>34.187999999999995</v>
      </c>
      <c r="X461" s="148">
        <v>0</v>
      </c>
      <c r="Y461" s="148">
        <f aca="true" t="shared" si="2" ref="Y461:Y466">X461*K461</f>
        <v>0</v>
      </c>
      <c r="Z461" s="148">
        <v>0</v>
      </c>
      <c r="AA461" s="149">
        <f aca="true" t="shared" si="3" ref="AA461:AA466">Z461*K461</f>
        <v>0</v>
      </c>
      <c r="AR461" s="21" t="s">
        <v>172</v>
      </c>
      <c r="AT461" s="21" t="s">
        <v>168</v>
      </c>
      <c r="AU461" s="21" t="s">
        <v>135</v>
      </c>
      <c r="AY461" s="21" t="s">
        <v>167</v>
      </c>
      <c r="BE461" s="150">
        <f aca="true" t="shared" si="4" ref="BE461:BE466">IF(U461="základní",N461,0)</f>
        <v>0</v>
      </c>
      <c r="BF461" s="150">
        <f aca="true" t="shared" si="5" ref="BF461:BF466">IF(U461="snížená",N461,0)</f>
        <v>0</v>
      </c>
      <c r="BG461" s="150">
        <f aca="true" t="shared" si="6" ref="BG461:BG466">IF(U461="zákl. přenesená",N461,0)</f>
        <v>0</v>
      </c>
      <c r="BH461" s="150">
        <f aca="true" t="shared" si="7" ref="BH461:BH466">IF(U461="sníž. přenesená",N461,0)</f>
        <v>0</v>
      </c>
      <c r="BI461" s="150">
        <f aca="true" t="shared" si="8" ref="BI461:BI466">IF(U461="nulová",N461,0)</f>
        <v>0</v>
      </c>
      <c r="BJ461" s="21" t="s">
        <v>21</v>
      </c>
      <c r="BK461" s="150">
        <f aca="true" t="shared" si="9" ref="BK461:BK466">ROUND(L461*K461,2)</f>
        <v>0</v>
      </c>
      <c r="BL461" s="21" t="s">
        <v>172</v>
      </c>
      <c r="BM461" s="21" t="s">
        <v>1252</v>
      </c>
    </row>
    <row r="462" spans="2:65" s="1" customFormat="1" ht="31.5" customHeight="1">
      <c r="B462" s="141"/>
      <c r="C462" s="142" t="s">
        <v>916</v>
      </c>
      <c r="D462" s="142" t="s">
        <v>168</v>
      </c>
      <c r="E462" s="143" t="s">
        <v>1577</v>
      </c>
      <c r="F462" s="293" t="s">
        <v>1578</v>
      </c>
      <c r="G462" s="293"/>
      <c r="H462" s="293"/>
      <c r="I462" s="293"/>
      <c r="J462" s="144" t="s">
        <v>259</v>
      </c>
      <c r="K462" s="145">
        <v>1159</v>
      </c>
      <c r="L462" s="294"/>
      <c r="M462" s="294"/>
      <c r="N462" s="294">
        <f t="shared" si="0"/>
        <v>0</v>
      </c>
      <c r="O462" s="294"/>
      <c r="P462" s="294"/>
      <c r="Q462" s="294"/>
      <c r="R462" s="146"/>
      <c r="T462" s="147" t="s">
        <v>5</v>
      </c>
      <c r="U462" s="44" t="s">
        <v>43</v>
      </c>
      <c r="V462" s="148">
        <v>0.066</v>
      </c>
      <c r="W462" s="148">
        <f t="shared" si="1"/>
        <v>76.494</v>
      </c>
      <c r="X462" s="148">
        <v>0</v>
      </c>
      <c r="Y462" s="148">
        <f t="shared" si="2"/>
        <v>0</v>
      </c>
      <c r="Z462" s="148">
        <v>0</v>
      </c>
      <c r="AA462" s="149">
        <f t="shared" si="3"/>
        <v>0</v>
      </c>
      <c r="AR462" s="21" t="s">
        <v>172</v>
      </c>
      <c r="AT462" s="21" t="s">
        <v>168</v>
      </c>
      <c r="AU462" s="21" t="s">
        <v>135</v>
      </c>
      <c r="AY462" s="21" t="s">
        <v>167</v>
      </c>
      <c r="BE462" s="150">
        <f t="shared" si="4"/>
        <v>0</v>
      </c>
      <c r="BF462" s="150">
        <f t="shared" si="5"/>
        <v>0</v>
      </c>
      <c r="BG462" s="150">
        <f t="shared" si="6"/>
        <v>0</v>
      </c>
      <c r="BH462" s="150">
        <f t="shared" si="7"/>
        <v>0</v>
      </c>
      <c r="BI462" s="150">
        <f t="shared" si="8"/>
        <v>0</v>
      </c>
      <c r="BJ462" s="21" t="s">
        <v>21</v>
      </c>
      <c r="BK462" s="150">
        <f t="shared" si="9"/>
        <v>0</v>
      </c>
      <c r="BL462" s="21" t="s">
        <v>172</v>
      </c>
      <c r="BM462" s="21" t="s">
        <v>1579</v>
      </c>
    </row>
    <row r="463" spans="2:65" s="1" customFormat="1" ht="22.5" customHeight="1">
      <c r="B463" s="141"/>
      <c r="C463" s="142" t="s">
        <v>920</v>
      </c>
      <c r="D463" s="142" t="s">
        <v>168</v>
      </c>
      <c r="E463" s="143" t="s">
        <v>2076</v>
      </c>
      <c r="F463" s="293" t="s">
        <v>2077</v>
      </c>
      <c r="G463" s="293"/>
      <c r="H463" s="293"/>
      <c r="I463" s="293"/>
      <c r="J463" s="144" t="s">
        <v>259</v>
      </c>
      <c r="K463" s="145">
        <v>111.5</v>
      </c>
      <c r="L463" s="294"/>
      <c r="M463" s="294"/>
      <c r="N463" s="294">
        <f t="shared" si="0"/>
        <v>0</v>
      </c>
      <c r="O463" s="294"/>
      <c r="P463" s="294"/>
      <c r="Q463" s="294"/>
      <c r="R463" s="146"/>
      <c r="T463" s="147" t="s">
        <v>5</v>
      </c>
      <c r="U463" s="44" t="s">
        <v>43</v>
      </c>
      <c r="V463" s="148">
        <v>0.099</v>
      </c>
      <c r="W463" s="148">
        <f t="shared" si="1"/>
        <v>11.0385</v>
      </c>
      <c r="X463" s="148">
        <v>0</v>
      </c>
      <c r="Y463" s="148">
        <f t="shared" si="2"/>
        <v>0</v>
      </c>
      <c r="Z463" s="148">
        <v>0</v>
      </c>
      <c r="AA463" s="149">
        <f t="shared" si="3"/>
        <v>0</v>
      </c>
      <c r="AR463" s="21" t="s">
        <v>172</v>
      </c>
      <c r="AT463" s="21" t="s">
        <v>168</v>
      </c>
      <c r="AU463" s="21" t="s">
        <v>135</v>
      </c>
      <c r="AY463" s="21" t="s">
        <v>167</v>
      </c>
      <c r="BE463" s="150">
        <f t="shared" si="4"/>
        <v>0</v>
      </c>
      <c r="BF463" s="150">
        <f t="shared" si="5"/>
        <v>0</v>
      </c>
      <c r="BG463" s="150">
        <f t="shared" si="6"/>
        <v>0</v>
      </c>
      <c r="BH463" s="150">
        <f t="shared" si="7"/>
        <v>0</v>
      </c>
      <c r="BI463" s="150">
        <f t="shared" si="8"/>
        <v>0</v>
      </c>
      <c r="BJ463" s="21" t="s">
        <v>21</v>
      </c>
      <c r="BK463" s="150">
        <f t="shared" si="9"/>
        <v>0</v>
      </c>
      <c r="BL463" s="21" t="s">
        <v>172</v>
      </c>
      <c r="BM463" s="21" t="s">
        <v>2078</v>
      </c>
    </row>
    <row r="464" spans="2:65" s="1" customFormat="1" ht="22.5" customHeight="1">
      <c r="B464" s="141"/>
      <c r="C464" s="142" t="s">
        <v>924</v>
      </c>
      <c r="D464" s="142" t="s">
        <v>168</v>
      </c>
      <c r="E464" s="143" t="s">
        <v>1580</v>
      </c>
      <c r="F464" s="293" t="s">
        <v>1581</v>
      </c>
      <c r="G464" s="293"/>
      <c r="H464" s="293"/>
      <c r="I464" s="293"/>
      <c r="J464" s="144" t="s">
        <v>259</v>
      </c>
      <c r="K464" s="145">
        <v>777</v>
      </c>
      <c r="L464" s="294"/>
      <c r="M464" s="294"/>
      <c r="N464" s="294">
        <f t="shared" si="0"/>
        <v>0</v>
      </c>
      <c r="O464" s="294"/>
      <c r="P464" s="294"/>
      <c r="Q464" s="294"/>
      <c r="R464" s="146"/>
      <c r="T464" s="147" t="s">
        <v>5</v>
      </c>
      <c r="U464" s="44" t="s">
        <v>43</v>
      </c>
      <c r="V464" s="148">
        <v>0.223</v>
      </c>
      <c r="W464" s="148">
        <f t="shared" si="1"/>
        <v>173.27100000000002</v>
      </c>
      <c r="X464" s="148">
        <v>0.00169</v>
      </c>
      <c r="Y464" s="148">
        <f t="shared" si="2"/>
        <v>1.3131300000000001</v>
      </c>
      <c r="Z464" s="148">
        <v>0</v>
      </c>
      <c r="AA464" s="149">
        <f t="shared" si="3"/>
        <v>0</v>
      </c>
      <c r="AR464" s="21" t="s">
        <v>281</v>
      </c>
      <c r="AT464" s="21" t="s">
        <v>168</v>
      </c>
      <c r="AU464" s="21" t="s">
        <v>135</v>
      </c>
      <c r="AY464" s="21" t="s">
        <v>167</v>
      </c>
      <c r="BE464" s="150">
        <f t="shared" si="4"/>
        <v>0</v>
      </c>
      <c r="BF464" s="150">
        <f t="shared" si="5"/>
        <v>0</v>
      </c>
      <c r="BG464" s="150">
        <f t="shared" si="6"/>
        <v>0</v>
      </c>
      <c r="BH464" s="150">
        <f t="shared" si="7"/>
        <v>0</v>
      </c>
      <c r="BI464" s="150">
        <f t="shared" si="8"/>
        <v>0</v>
      </c>
      <c r="BJ464" s="21" t="s">
        <v>21</v>
      </c>
      <c r="BK464" s="150">
        <f t="shared" si="9"/>
        <v>0</v>
      </c>
      <c r="BL464" s="21" t="s">
        <v>281</v>
      </c>
      <c r="BM464" s="21" t="s">
        <v>1582</v>
      </c>
    </row>
    <row r="465" spans="2:65" s="1" customFormat="1" ht="22.5" customHeight="1">
      <c r="B465" s="141"/>
      <c r="C465" s="142" t="s">
        <v>261</v>
      </c>
      <c r="D465" s="142" t="s">
        <v>168</v>
      </c>
      <c r="E465" s="143" t="s">
        <v>1583</v>
      </c>
      <c r="F465" s="293" t="s">
        <v>1584</v>
      </c>
      <c r="G465" s="293"/>
      <c r="H465" s="293"/>
      <c r="I465" s="293"/>
      <c r="J465" s="144" t="s">
        <v>259</v>
      </c>
      <c r="K465" s="145">
        <v>777</v>
      </c>
      <c r="L465" s="294"/>
      <c r="M465" s="294"/>
      <c r="N465" s="294">
        <f t="shared" si="0"/>
        <v>0</v>
      </c>
      <c r="O465" s="294"/>
      <c r="P465" s="294"/>
      <c r="Q465" s="294"/>
      <c r="R465" s="146"/>
      <c r="T465" s="147" t="s">
        <v>5</v>
      </c>
      <c r="U465" s="44" t="s">
        <v>43</v>
      </c>
      <c r="V465" s="148">
        <v>0.223</v>
      </c>
      <c r="W465" s="148">
        <f t="shared" si="1"/>
        <v>173.27100000000002</v>
      </c>
      <c r="X465" s="148">
        <v>0.00169</v>
      </c>
      <c r="Y465" s="148">
        <f t="shared" si="2"/>
        <v>1.3131300000000001</v>
      </c>
      <c r="Z465" s="148">
        <v>0</v>
      </c>
      <c r="AA465" s="149">
        <f t="shared" si="3"/>
        <v>0</v>
      </c>
      <c r="AR465" s="21" t="s">
        <v>281</v>
      </c>
      <c r="AT465" s="21" t="s">
        <v>168</v>
      </c>
      <c r="AU465" s="21" t="s">
        <v>135</v>
      </c>
      <c r="AY465" s="21" t="s">
        <v>167</v>
      </c>
      <c r="BE465" s="150">
        <f t="shared" si="4"/>
        <v>0</v>
      </c>
      <c r="BF465" s="150">
        <f t="shared" si="5"/>
        <v>0</v>
      </c>
      <c r="BG465" s="150">
        <f t="shared" si="6"/>
        <v>0</v>
      </c>
      <c r="BH465" s="150">
        <f t="shared" si="7"/>
        <v>0</v>
      </c>
      <c r="BI465" s="150">
        <f t="shared" si="8"/>
        <v>0</v>
      </c>
      <c r="BJ465" s="21" t="s">
        <v>21</v>
      </c>
      <c r="BK465" s="150">
        <f t="shared" si="9"/>
        <v>0</v>
      </c>
      <c r="BL465" s="21" t="s">
        <v>281</v>
      </c>
      <c r="BM465" s="21" t="s">
        <v>1585</v>
      </c>
    </row>
    <row r="466" spans="2:65" s="1" customFormat="1" ht="22.5" customHeight="1">
      <c r="B466" s="141"/>
      <c r="C466" s="142" t="s">
        <v>931</v>
      </c>
      <c r="D466" s="142" t="s">
        <v>168</v>
      </c>
      <c r="E466" s="143" t="s">
        <v>1586</v>
      </c>
      <c r="F466" s="293" t="s">
        <v>1587</v>
      </c>
      <c r="G466" s="293"/>
      <c r="H466" s="293"/>
      <c r="I466" s="293"/>
      <c r="J466" s="144" t="s">
        <v>578</v>
      </c>
      <c r="K466" s="145">
        <v>38</v>
      </c>
      <c r="L466" s="294"/>
      <c r="M466" s="294"/>
      <c r="N466" s="294">
        <f t="shared" si="0"/>
        <v>0</v>
      </c>
      <c r="O466" s="294"/>
      <c r="P466" s="294"/>
      <c r="Q466" s="294"/>
      <c r="R466" s="146"/>
      <c r="T466" s="147" t="s">
        <v>5</v>
      </c>
      <c r="U466" s="44" t="s">
        <v>43</v>
      </c>
      <c r="V466" s="148">
        <v>1.562</v>
      </c>
      <c r="W466" s="148">
        <f t="shared" si="1"/>
        <v>59.356</v>
      </c>
      <c r="X466" s="148">
        <v>0.00918</v>
      </c>
      <c r="Y466" s="148">
        <f t="shared" si="2"/>
        <v>0.34884000000000004</v>
      </c>
      <c r="Z466" s="148">
        <v>0</v>
      </c>
      <c r="AA466" s="149">
        <f t="shared" si="3"/>
        <v>0</v>
      </c>
      <c r="AR466" s="21" t="s">
        <v>172</v>
      </c>
      <c r="AT466" s="21" t="s">
        <v>168</v>
      </c>
      <c r="AU466" s="21" t="s">
        <v>135</v>
      </c>
      <c r="AY466" s="21" t="s">
        <v>167</v>
      </c>
      <c r="BE466" s="150">
        <f t="shared" si="4"/>
        <v>0</v>
      </c>
      <c r="BF466" s="150">
        <f t="shared" si="5"/>
        <v>0</v>
      </c>
      <c r="BG466" s="150">
        <f t="shared" si="6"/>
        <v>0</v>
      </c>
      <c r="BH466" s="150">
        <f t="shared" si="7"/>
        <v>0</v>
      </c>
      <c r="BI466" s="150">
        <f t="shared" si="8"/>
        <v>0</v>
      </c>
      <c r="BJ466" s="21" t="s">
        <v>21</v>
      </c>
      <c r="BK466" s="150">
        <f t="shared" si="9"/>
        <v>0</v>
      </c>
      <c r="BL466" s="21" t="s">
        <v>172</v>
      </c>
      <c r="BM466" s="21" t="s">
        <v>1588</v>
      </c>
    </row>
    <row r="467" spans="2:51" s="10" customFormat="1" ht="22.5" customHeight="1">
      <c r="B467" s="151"/>
      <c r="C467" s="152"/>
      <c r="D467" s="152"/>
      <c r="E467" s="153" t="s">
        <v>5</v>
      </c>
      <c r="F467" s="300" t="s">
        <v>2079</v>
      </c>
      <c r="G467" s="301"/>
      <c r="H467" s="301"/>
      <c r="I467" s="301"/>
      <c r="J467" s="152"/>
      <c r="K467" s="154" t="s">
        <v>5</v>
      </c>
      <c r="L467" s="152"/>
      <c r="M467" s="152"/>
      <c r="N467" s="152"/>
      <c r="O467" s="152"/>
      <c r="P467" s="152"/>
      <c r="Q467" s="152"/>
      <c r="R467" s="155"/>
      <c r="T467" s="156"/>
      <c r="U467" s="152"/>
      <c r="V467" s="152"/>
      <c r="W467" s="152"/>
      <c r="X467" s="152"/>
      <c r="Y467" s="152"/>
      <c r="Z467" s="152"/>
      <c r="AA467" s="157"/>
      <c r="AT467" s="158" t="s">
        <v>179</v>
      </c>
      <c r="AU467" s="158" t="s">
        <v>135</v>
      </c>
      <c r="AV467" s="10" t="s">
        <v>21</v>
      </c>
      <c r="AW467" s="10" t="s">
        <v>35</v>
      </c>
      <c r="AX467" s="10" t="s">
        <v>78</v>
      </c>
      <c r="AY467" s="158" t="s">
        <v>167</v>
      </c>
    </row>
    <row r="468" spans="2:51" s="11" customFormat="1" ht="22.5" customHeight="1">
      <c r="B468" s="159"/>
      <c r="C468" s="160"/>
      <c r="D468" s="160"/>
      <c r="E468" s="161" t="s">
        <v>5</v>
      </c>
      <c r="F468" s="302" t="s">
        <v>2080</v>
      </c>
      <c r="G468" s="303"/>
      <c r="H468" s="303"/>
      <c r="I468" s="303"/>
      <c r="J468" s="160"/>
      <c r="K468" s="162">
        <v>15</v>
      </c>
      <c r="L468" s="160"/>
      <c r="M468" s="160"/>
      <c r="N468" s="160"/>
      <c r="O468" s="160"/>
      <c r="P468" s="160"/>
      <c r="Q468" s="160"/>
      <c r="R468" s="163"/>
      <c r="T468" s="164"/>
      <c r="U468" s="160"/>
      <c r="V468" s="160"/>
      <c r="W468" s="160"/>
      <c r="X468" s="160"/>
      <c r="Y468" s="160"/>
      <c r="Z468" s="160"/>
      <c r="AA468" s="165"/>
      <c r="AT468" s="166" t="s">
        <v>179</v>
      </c>
      <c r="AU468" s="166" t="s">
        <v>135</v>
      </c>
      <c r="AV468" s="11" t="s">
        <v>135</v>
      </c>
      <c r="AW468" s="11" t="s">
        <v>35</v>
      </c>
      <c r="AX468" s="11" t="s">
        <v>78</v>
      </c>
      <c r="AY468" s="166" t="s">
        <v>167</v>
      </c>
    </row>
    <row r="469" spans="2:51" s="11" customFormat="1" ht="22.5" customHeight="1">
      <c r="B469" s="159"/>
      <c r="C469" s="160"/>
      <c r="D469" s="160"/>
      <c r="E469" s="161" t="s">
        <v>5</v>
      </c>
      <c r="F469" s="302" t="s">
        <v>1979</v>
      </c>
      <c r="G469" s="303"/>
      <c r="H469" s="303"/>
      <c r="I469" s="303"/>
      <c r="J469" s="160"/>
      <c r="K469" s="162">
        <v>7</v>
      </c>
      <c r="L469" s="160"/>
      <c r="M469" s="160"/>
      <c r="N469" s="160"/>
      <c r="O469" s="160"/>
      <c r="P469" s="160"/>
      <c r="Q469" s="160"/>
      <c r="R469" s="163"/>
      <c r="T469" s="164"/>
      <c r="U469" s="160"/>
      <c r="V469" s="160"/>
      <c r="W469" s="160"/>
      <c r="X469" s="160"/>
      <c r="Y469" s="160"/>
      <c r="Z469" s="160"/>
      <c r="AA469" s="165"/>
      <c r="AT469" s="166" t="s">
        <v>179</v>
      </c>
      <c r="AU469" s="166" t="s">
        <v>135</v>
      </c>
      <c r="AV469" s="11" t="s">
        <v>135</v>
      </c>
      <c r="AW469" s="11" t="s">
        <v>35</v>
      </c>
      <c r="AX469" s="11" t="s">
        <v>78</v>
      </c>
      <c r="AY469" s="166" t="s">
        <v>167</v>
      </c>
    </row>
    <row r="470" spans="2:51" s="11" customFormat="1" ht="22.5" customHeight="1">
      <c r="B470" s="159"/>
      <c r="C470" s="160"/>
      <c r="D470" s="160"/>
      <c r="E470" s="161" t="s">
        <v>5</v>
      </c>
      <c r="F470" s="302" t="s">
        <v>2081</v>
      </c>
      <c r="G470" s="303"/>
      <c r="H470" s="303"/>
      <c r="I470" s="303"/>
      <c r="J470" s="160"/>
      <c r="K470" s="162">
        <v>9</v>
      </c>
      <c r="L470" s="160"/>
      <c r="M470" s="160"/>
      <c r="N470" s="160"/>
      <c r="O470" s="160"/>
      <c r="P470" s="160"/>
      <c r="Q470" s="160"/>
      <c r="R470" s="163"/>
      <c r="T470" s="164"/>
      <c r="U470" s="160"/>
      <c r="V470" s="160"/>
      <c r="W470" s="160"/>
      <c r="X470" s="160"/>
      <c r="Y470" s="160"/>
      <c r="Z470" s="160"/>
      <c r="AA470" s="165"/>
      <c r="AT470" s="166" t="s">
        <v>179</v>
      </c>
      <c r="AU470" s="166" t="s">
        <v>135</v>
      </c>
      <c r="AV470" s="11" t="s">
        <v>135</v>
      </c>
      <c r="AW470" s="11" t="s">
        <v>35</v>
      </c>
      <c r="AX470" s="11" t="s">
        <v>78</v>
      </c>
      <c r="AY470" s="166" t="s">
        <v>167</v>
      </c>
    </row>
    <row r="471" spans="2:51" s="11" customFormat="1" ht="22.5" customHeight="1">
      <c r="B471" s="159"/>
      <c r="C471" s="160"/>
      <c r="D471" s="160"/>
      <c r="E471" s="161" t="s">
        <v>5</v>
      </c>
      <c r="F471" s="302" t="s">
        <v>1981</v>
      </c>
      <c r="G471" s="303"/>
      <c r="H471" s="303"/>
      <c r="I471" s="303"/>
      <c r="J471" s="160"/>
      <c r="K471" s="162">
        <v>2</v>
      </c>
      <c r="L471" s="160"/>
      <c r="M471" s="160"/>
      <c r="N471" s="160"/>
      <c r="O471" s="160"/>
      <c r="P471" s="160"/>
      <c r="Q471" s="160"/>
      <c r="R471" s="163"/>
      <c r="T471" s="164"/>
      <c r="U471" s="160"/>
      <c r="V471" s="160"/>
      <c r="W471" s="160"/>
      <c r="X471" s="160"/>
      <c r="Y471" s="160"/>
      <c r="Z471" s="160"/>
      <c r="AA471" s="165"/>
      <c r="AT471" s="166" t="s">
        <v>179</v>
      </c>
      <c r="AU471" s="166" t="s">
        <v>135</v>
      </c>
      <c r="AV471" s="11" t="s">
        <v>135</v>
      </c>
      <c r="AW471" s="11" t="s">
        <v>35</v>
      </c>
      <c r="AX471" s="11" t="s">
        <v>78</v>
      </c>
      <c r="AY471" s="166" t="s">
        <v>167</v>
      </c>
    </row>
    <row r="472" spans="2:51" s="13" customFormat="1" ht="22.5" customHeight="1">
      <c r="B472" s="186"/>
      <c r="C472" s="187"/>
      <c r="D472" s="187"/>
      <c r="E472" s="188" t="s">
        <v>5</v>
      </c>
      <c r="F472" s="337" t="s">
        <v>1278</v>
      </c>
      <c r="G472" s="338"/>
      <c r="H472" s="338"/>
      <c r="I472" s="338"/>
      <c r="J472" s="187"/>
      <c r="K472" s="189">
        <v>33</v>
      </c>
      <c r="L472" s="187"/>
      <c r="M472" s="187"/>
      <c r="N472" s="187"/>
      <c r="O472" s="187"/>
      <c r="P472" s="187"/>
      <c r="Q472" s="187"/>
      <c r="R472" s="190"/>
      <c r="T472" s="191"/>
      <c r="U472" s="187"/>
      <c r="V472" s="187"/>
      <c r="W472" s="187"/>
      <c r="X472" s="187"/>
      <c r="Y472" s="187"/>
      <c r="Z472" s="187"/>
      <c r="AA472" s="192"/>
      <c r="AT472" s="193" t="s">
        <v>179</v>
      </c>
      <c r="AU472" s="193" t="s">
        <v>135</v>
      </c>
      <c r="AV472" s="13" t="s">
        <v>184</v>
      </c>
      <c r="AW472" s="13" t="s">
        <v>35</v>
      </c>
      <c r="AX472" s="13" t="s">
        <v>78</v>
      </c>
      <c r="AY472" s="193" t="s">
        <v>167</v>
      </c>
    </row>
    <row r="473" spans="2:51" s="10" customFormat="1" ht="22.5" customHeight="1">
      <c r="B473" s="151"/>
      <c r="C473" s="152"/>
      <c r="D473" s="152"/>
      <c r="E473" s="153" t="s">
        <v>5</v>
      </c>
      <c r="F473" s="304" t="s">
        <v>2082</v>
      </c>
      <c r="G473" s="305"/>
      <c r="H473" s="305"/>
      <c r="I473" s="305"/>
      <c r="J473" s="152"/>
      <c r="K473" s="154" t="s">
        <v>5</v>
      </c>
      <c r="L473" s="152"/>
      <c r="M473" s="152"/>
      <c r="N473" s="152"/>
      <c r="O473" s="152"/>
      <c r="P473" s="152"/>
      <c r="Q473" s="152"/>
      <c r="R473" s="155"/>
      <c r="T473" s="156"/>
      <c r="U473" s="152"/>
      <c r="V473" s="152"/>
      <c r="W473" s="152"/>
      <c r="X473" s="152"/>
      <c r="Y473" s="152"/>
      <c r="Z473" s="152"/>
      <c r="AA473" s="157"/>
      <c r="AT473" s="158" t="s">
        <v>179</v>
      </c>
      <c r="AU473" s="158" t="s">
        <v>135</v>
      </c>
      <c r="AV473" s="10" t="s">
        <v>21</v>
      </c>
      <c r="AW473" s="10" t="s">
        <v>35</v>
      </c>
      <c r="AX473" s="10" t="s">
        <v>78</v>
      </c>
      <c r="AY473" s="158" t="s">
        <v>167</v>
      </c>
    </row>
    <row r="474" spans="2:51" s="11" customFormat="1" ht="22.5" customHeight="1">
      <c r="B474" s="159"/>
      <c r="C474" s="160"/>
      <c r="D474" s="160"/>
      <c r="E474" s="161" t="s">
        <v>5</v>
      </c>
      <c r="F474" s="302" t="s">
        <v>2083</v>
      </c>
      <c r="G474" s="303"/>
      <c r="H474" s="303"/>
      <c r="I474" s="303"/>
      <c r="J474" s="160"/>
      <c r="K474" s="162">
        <v>1</v>
      </c>
      <c r="L474" s="160"/>
      <c r="M474" s="160"/>
      <c r="N474" s="160"/>
      <c r="O474" s="160"/>
      <c r="P474" s="160"/>
      <c r="Q474" s="160"/>
      <c r="R474" s="163"/>
      <c r="T474" s="164"/>
      <c r="U474" s="160"/>
      <c r="V474" s="160"/>
      <c r="W474" s="160"/>
      <c r="X474" s="160"/>
      <c r="Y474" s="160"/>
      <c r="Z474" s="160"/>
      <c r="AA474" s="165"/>
      <c r="AT474" s="166" t="s">
        <v>179</v>
      </c>
      <c r="AU474" s="166" t="s">
        <v>135</v>
      </c>
      <c r="AV474" s="11" t="s">
        <v>135</v>
      </c>
      <c r="AW474" s="11" t="s">
        <v>35</v>
      </c>
      <c r="AX474" s="11" t="s">
        <v>78</v>
      </c>
      <c r="AY474" s="166" t="s">
        <v>167</v>
      </c>
    </row>
    <row r="475" spans="2:51" s="11" customFormat="1" ht="22.5" customHeight="1">
      <c r="B475" s="159"/>
      <c r="C475" s="160"/>
      <c r="D475" s="160"/>
      <c r="E475" s="161" t="s">
        <v>5</v>
      </c>
      <c r="F475" s="302" t="s">
        <v>2084</v>
      </c>
      <c r="G475" s="303"/>
      <c r="H475" s="303"/>
      <c r="I475" s="303"/>
      <c r="J475" s="160"/>
      <c r="K475" s="162">
        <v>1</v>
      </c>
      <c r="L475" s="160"/>
      <c r="M475" s="160"/>
      <c r="N475" s="160"/>
      <c r="O475" s="160"/>
      <c r="P475" s="160"/>
      <c r="Q475" s="160"/>
      <c r="R475" s="163"/>
      <c r="T475" s="164"/>
      <c r="U475" s="160"/>
      <c r="V475" s="160"/>
      <c r="W475" s="160"/>
      <c r="X475" s="160"/>
      <c r="Y475" s="160"/>
      <c r="Z475" s="160"/>
      <c r="AA475" s="165"/>
      <c r="AT475" s="166" t="s">
        <v>179</v>
      </c>
      <c r="AU475" s="166" t="s">
        <v>135</v>
      </c>
      <c r="AV475" s="11" t="s">
        <v>135</v>
      </c>
      <c r="AW475" s="11" t="s">
        <v>35</v>
      </c>
      <c r="AX475" s="11" t="s">
        <v>78</v>
      </c>
      <c r="AY475" s="166" t="s">
        <v>167</v>
      </c>
    </row>
    <row r="476" spans="2:51" s="11" customFormat="1" ht="22.5" customHeight="1">
      <c r="B476" s="159"/>
      <c r="C476" s="160"/>
      <c r="D476" s="160"/>
      <c r="E476" s="161" t="s">
        <v>5</v>
      </c>
      <c r="F476" s="302" t="s">
        <v>1982</v>
      </c>
      <c r="G476" s="303"/>
      <c r="H476" s="303"/>
      <c r="I476" s="303"/>
      <c r="J476" s="160"/>
      <c r="K476" s="162">
        <v>3</v>
      </c>
      <c r="L476" s="160"/>
      <c r="M476" s="160"/>
      <c r="N476" s="160"/>
      <c r="O476" s="160"/>
      <c r="P476" s="160"/>
      <c r="Q476" s="160"/>
      <c r="R476" s="163"/>
      <c r="T476" s="164"/>
      <c r="U476" s="160"/>
      <c r="V476" s="160"/>
      <c r="W476" s="160"/>
      <c r="X476" s="160"/>
      <c r="Y476" s="160"/>
      <c r="Z476" s="160"/>
      <c r="AA476" s="165"/>
      <c r="AT476" s="166" t="s">
        <v>179</v>
      </c>
      <c r="AU476" s="166" t="s">
        <v>135</v>
      </c>
      <c r="AV476" s="11" t="s">
        <v>135</v>
      </c>
      <c r="AW476" s="11" t="s">
        <v>35</v>
      </c>
      <c r="AX476" s="11" t="s">
        <v>78</v>
      </c>
      <c r="AY476" s="166" t="s">
        <v>167</v>
      </c>
    </row>
    <row r="477" spans="2:51" s="13" customFormat="1" ht="22.5" customHeight="1">
      <c r="B477" s="186"/>
      <c r="C477" s="187"/>
      <c r="D477" s="187"/>
      <c r="E477" s="188" t="s">
        <v>5</v>
      </c>
      <c r="F477" s="337" t="s">
        <v>1278</v>
      </c>
      <c r="G477" s="338"/>
      <c r="H477" s="338"/>
      <c r="I477" s="338"/>
      <c r="J477" s="187"/>
      <c r="K477" s="189">
        <v>5</v>
      </c>
      <c r="L477" s="187"/>
      <c r="M477" s="187"/>
      <c r="N477" s="187"/>
      <c r="O477" s="187"/>
      <c r="P477" s="187"/>
      <c r="Q477" s="187"/>
      <c r="R477" s="190"/>
      <c r="T477" s="191"/>
      <c r="U477" s="187"/>
      <c r="V477" s="187"/>
      <c r="W477" s="187"/>
      <c r="X477" s="187"/>
      <c r="Y477" s="187"/>
      <c r="Z477" s="187"/>
      <c r="AA477" s="192"/>
      <c r="AT477" s="193" t="s">
        <v>179</v>
      </c>
      <c r="AU477" s="193" t="s">
        <v>135</v>
      </c>
      <c r="AV477" s="13" t="s">
        <v>184</v>
      </c>
      <c r="AW477" s="13" t="s">
        <v>35</v>
      </c>
      <c r="AX477" s="13" t="s">
        <v>78</v>
      </c>
      <c r="AY477" s="193" t="s">
        <v>167</v>
      </c>
    </row>
    <row r="478" spans="2:51" s="12" customFormat="1" ht="22.5" customHeight="1">
      <c r="B478" s="167"/>
      <c r="C478" s="168"/>
      <c r="D478" s="168"/>
      <c r="E478" s="169" t="s">
        <v>5</v>
      </c>
      <c r="F478" s="306" t="s">
        <v>183</v>
      </c>
      <c r="G478" s="307"/>
      <c r="H478" s="307"/>
      <c r="I478" s="307"/>
      <c r="J478" s="168"/>
      <c r="K478" s="170">
        <v>38</v>
      </c>
      <c r="L478" s="168"/>
      <c r="M478" s="168"/>
      <c r="N478" s="168"/>
      <c r="O478" s="168"/>
      <c r="P478" s="168"/>
      <c r="Q478" s="168"/>
      <c r="R478" s="171"/>
      <c r="T478" s="172"/>
      <c r="U478" s="168"/>
      <c r="V478" s="168"/>
      <c r="W478" s="168"/>
      <c r="X478" s="168"/>
      <c r="Y478" s="168"/>
      <c r="Z478" s="168"/>
      <c r="AA478" s="173"/>
      <c r="AT478" s="174" t="s">
        <v>179</v>
      </c>
      <c r="AU478" s="174" t="s">
        <v>135</v>
      </c>
      <c r="AV478" s="12" t="s">
        <v>172</v>
      </c>
      <c r="AW478" s="12" t="s">
        <v>35</v>
      </c>
      <c r="AX478" s="12" t="s">
        <v>21</v>
      </c>
      <c r="AY478" s="174" t="s">
        <v>167</v>
      </c>
    </row>
    <row r="479" spans="2:65" s="1" customFormat="1" ht="31.5" customHeight="1">
      <c r="B479" s="141"/>
      <c r="C479" s="178" t="s">
        <v>935</v>
      </c>
      <c r="D479" s="178" t="s">
        <v>317</v>
      </c>
      <c r="E479" s="179" t="s">
        <v>1589</v>
      </c>
      <c r="F479" s="313" t="s">
        <v>1590</v>
      </c>
      <c r="G479" s="313"/>
      <c r="H479" s="313"/>
      <c r="I479" s="313"/>
      <c r="J479" s="180" t="s">
        <v>578</v>
      </c>
      <c r="K479" s="181">
        <v>33</v>
      </c>
      <c r="L479" s="314"/>
      <c r="M479" s="314"/>
      <c r="N479" s="314">
        <f>ROUND(L479*K479,2)</f>
        <v>0</v>
      </c>
      <c r="O479" s="294"/>
      <c r="P479" s="294"/>
      <c r="Q479" s="294"/>
      <c r="R479" s="146"/>
      <c r="T479" s="147" t="s">
        <v>5</v>
      </c>
      <c r="U479" s="44" t="s">
        <v>43</v>
      </c>
      <c r="V479" s="148">
        <v>0</v>
      </c>
      <c r="W479" s="148">
        <f>V479*K479</f>
        <v>0</v>
      </c>
      <c r="X479" s="148">
        <v>0.196</v>
      </c>
      <c r="Y479" s="148">
        <f>X479*K479</f>
        <v>6.468</v>
      </c>
      <c r="Z479" s="148">
        <v>0</v>
      </c>
      <c r="AA479" s="149">
        <f>Z479*K479</f>
        <v>0</v>
      </c>
      <c r="AR479" s="21" t="s">
        <v>213</v>
      </c>
      <c r="AT479" s="21" t="s">
        <v>317</v>
      </c>
      <c r="AU479" s="21" t="s">
        <v>135</v>
      </c>
      <c r="AY479" s="21" t="s">
        <v>167</v>
      </c>
      <c r="BE479" s="150">
        <f>IF(U479="základní",N479,0)</f>
        <v>0</v>
      </c>
      <c r="BF479" s="150">
        <f>IF(U479="snížená",N479,0)</f>
        <v>0</v>
      </c>
      <c r="BG479" s="150">
        <f>IF(U479="zákl. přenesená",N479,0)</f>
        <v>0</v>
      </c>
      <c r="BH479" s="150">
        <f>IF(U479="sníž. přenesená",N479,0)</f>
        <v>0</v>
      </c>
      <c r="BI479" s="150">
        <f>IF(U479="nulová",N479,0)</f>
        <v>0</v>
      </c>
      <c r="BJ479" s="21" t="s">
        <v>21</v>
      </c>
      <c r="BK479" s="150">
        <f>ROUND(L479*K479,2)</f>
        <v>0</v>
      </c>
      <c r="BL479" s="21" t="s">
        <v>172</v>
      </c>
      <c r="BM479" s="21" t="s">
        <v>1591</v>
      </c>
    </row>
    <row r="480" spans="2:65" s="1" customFormat="1" ht="31.5" customHeight="1">
      <c r="B480" s="141"/>
      <c r="C480" s="178" t="s">
        <v>939</v>
      </c>
      <c r="D480" s="178" t="s">
        <v>317</v>
      </c>
      <c r="E480" s="179" t="s">
        <v>1889</v>
      </c>
      <c r="F480" s="313" t="s">
        <v>2085</v>
      </c>
      <c r="G480" s="313"/>
      <c r="H480" s="313"/>
      <c r="I480" s="313"/>
      <c r="J480" s="180" t="s">
        <v>578</v>
      </c>
      <c r="K480" s="181">
        <v>5</v>
      </c>
      <c r="L480" s="314"/>
      <c r="M480" s="314"/>
      <c r="N480" s="314">
        <f>ROUND(L480*K480,2)</f>
        <v>0</v>
      </c>
      <c r="O480" s="294"/>
      <c r="P480" s="294"/>
      <c r="Q480" s="294"/>
      <c r="R480" s="146"/>
      <c r="T480" s="147" t="s">
        <v>5</v>
      </c>
      <c r="U480" s="44" t="s">
        <v>43</v>
      </c>
      <c r="V480" s="148">
        <v>0</v>
      </c>
      <c r="W480" s="148">
        <f>V480*K480</f>
        <v>0</v>
      </c>
      <c r="X480" s="148">
        <v>0.196</v>
      </c>
      <c r="Y480" s="148">
        <f>X480*K480</f>
        <v>0.98</v>
      </c>
      <c r="Z480" s="148">
        <v>0</v>
      </c>
      <c r="AA480" s="149">
        <f>Z480*K480</f>
        <v>0</v>
      </c>
      <c r="AR480" s="21" t="s">
        <v>213</v>
      </c>
      <c r="AT480" s="21" t="s">
        <v>317</v>
      </c>
      <c r="AU480" s="21" t="s">
        <v>135</v>
      </c>
      <c r="AY480" s="21" t="s">
        <v>167</v>
      </c>
      <c r="BE480" s="150">
        <f>IF(U480="základní",N480,0)</f>
        <v>0</v>
      </c>
      <c r="BF480" s="150">
        <f>IF(U480="snížená",N480,0)</f>
        <v>0</v>
      </c>
      <c r="BG480" s="150">
        <f>IF(U480="zákl. přenesená",N480,0)</f>
        <v>0</v>
      </c>
      <c r="BH480" s="150">
        <f>IF(U480="sníž. přenesená",N480,0)</f>
        <v>0</v>
      </c>
      <c r="BI480" s="150">
        <f>IF(U480="nulová",N480,0)</f>
        <v>0</v>
      </c>
      <c r="BJ480" s="21" t="s">
        <v>21</v>
      </c>
      <c r="BK480" s="150">
        <f>ROUND(L480*K480,2)</f>
        <v>0</v>
      </c>
      <c r="BL480" s="21" t="s">
        <v>172</v>
      </c>
      <c r="BM480" s="21" t="s">
        <v>2086</v>
      </c>
    </row>
    <row r="481" spans="2:65" s="1" customFormat="1" ht="31.5" customHeight="1">
      <c r="B481" s="141"/>
      <c r="C481" s="142" t="s">
        <v>943</v>
      </c>
      <c r="D481" s="142" t="s">
        <v>168</v>
      </c>
      <c r="E481" s="143" t="s">
        <v>1592</v>
      </c>
      <c r="F481" s="293" t="s">
        <v>1593</v>
      </c>
      <c r="G481" s="293"/>
      <c r="H481" s="293"/>
      <c r="I481" s="293"/>
      <c r="J481" s="144" t="s">
        <v>578</v>
      </c>
      <c r="K481" s="145">
        <v>33</v>
      </c>
      <c r="L481" s="294"/>
      <c r="M481" s="294"/>
      <c r="N481" s="294">
        <f>ROUND(L481*K481,2)</f>
        <v>0</v>
      </c>
      <c r="O481" s="294"/>
      <c r="P481" s="294"/>
      <c r="Q481" s="294"/>
      <c r="R481" s="146"/>
      <c r="T481" s="147" t="s">
        <v>5</v>
      </c>
      <c r="U481" s="44" t="s">
        <v>43</v>
      </c>
      <c r="V481" s="148">
        <v>25.283</v>
      </c>
      <c r="W481" s="148">
        <f>V481*K481</f>
        <v>834.339</v>
      </c>
      <c r="X481" s="148">
        <v>2.72625</v>
      </c>
      <c r="Y481" s="148">
        <f>X481*K481</f>
        <v>89.96624999999999</v>
      </c>
      <c r="Z481" s="148">
        <v>0</v>
      </c>
      <c r="AA481" s="149">
        <f>Z481*K481</f>
        <v>0</v>
      </c>
      <c r="AR481" s="21" t="s">
        <v>172</v>
      </c>
      <c r="AT481" s="21" t="s">
        <v>168</v>
      </c>
      <c r="AU481" s="21" t="s">
        <v>135</v>
      </c>
      <c r="AY481" s="21" t="s">
        <v>167</v>
      </c>
      <c r="BE481" s="150">
        <f>IF(U481="základní",N481,0)</f>
        <v>0</v>
      </c>
      <c r="BF481" s="150">
        <f>IF(U481="snížená",N481,0)</f>
        <v>0</v>
      </c>
      <c r="BG481" s="150">
        <f>IF(U481="zákl. přenesená",N481,0)</f>
        <v>0</v>
      </c>
      <c r="BH481" s="150">
        <f>IF(U481="sníž. přenesená",N481,0)</f>
        <v>0</v>
      </c>
      <c r="BI481" s="150">
        <f>IF(U481="nulová",N481,0)</f>
        <v>0</v>
      </c>
      <c r="BJ481" s="21" t="s">
        <v>21</v>
      </c>
      <c r="BK481" s="150">
        <f>ROUND(L481*K481,2)</f>
        <v>0</v>
      </c>
      <c r="BL481" s="21" t="s">
        <v>172</v>
      </c>
      <c r="BM481" s="21" t="s">
        <v>1594</v>
      </c>
    </row>
    <row r="482" spans="2:51" s="11" customFormat="1" ht="22.5" customHeight="1">
      <c r="B482" s="159"/>
      <c r="C482" s="160"/>
      <c r="D482" s="160"/>
      <c r="E482" s="161" t="s">
        <v>5</v>
      </c>
      <c r="F482" s="308" t="s">
        <v>2087</v>
      </c>
      <c r="G482" s="309"/>
      <c r="H482" s="309"/>
      <c r="I482" s="309"/>
      <c r="J482" s="160"/>
      <c r="K482" s="162">
        <v>11</v>
      </c>
      <c r="L482" s="160"/>
      <c r="M482" s="160"/>
      <c r="N482" s="160"/>
      <c r="O482" s="160"/>
      <c r="P482" s="160"/>
      <c r="Q482" s="160"/>
      <c r="R482" s="163"/>
      <c r="T482" s="164"/>
      <c r="U482" s="160"/>
      <c r="V482" s="160"/>
      <c r="W482" s="160"/>
      <c r="X482" s="160"/>
      <c r="Y482" s="160"/>
      <c r="Z482" s="160"/>
      <c r="AA482" s="165"/>
      <c r="AT482" s="166" t="s">
        <v>179</v>
      </c>
      <c r="AU482" s="166" t="s">
        <v>135</v>
      </c>
      <c r="AV482" s="11" t="s">
        <v>135</v>
      </c>
      <c r="AW482" s="11" t="s">
        <v>35</v>
      </c>
      <c r="AX482" s="11" t="s">
        <v>78</v>
      </c>
      <c r="AY482" s="166" t="s">
        <v>167</v>
      </c>
    </row>
    <row r="483" spans="2:51" s="11" customFormat="1" ht="22.5" customHeight="1">
      <c r="B483" s="159"/>
      <c r="C483" s="160"/>
      <c r="D483" s="160"/>
      <c r="E483" s="161" t="s">
        <v>5</v>
      </c>
      <c r="F483" s="302" t="s">
        <v>1979</v>
      </c>
      <c r="G483" s="303"/>
      <c r="H483" s="303"/>
      <c r="I483" s="303"/>
      <c r="J483" s="160"/>
      <c r="K483" s="162">
        <v>7</v>
      </c>
      <c r="L483" s="160"/>
      <c r="M483" s="160"/>
      <c r="N483" s="160"/>
      <c r="O483" s="160"/>
      <c r="P483" s="160"/>
      <c r="Q483" s="160"/>
      <c r="R483" s="163"/>
      <c r="T483" s="164"/>
      <c r="U483" s="160"/>
      <c r="V483" s="160"/>
      <c r="W483" s="160"/>
      <c r="X483" s="160"/>
      <c r="Y483" s="160"/>
      <c r="Z483" s="160"/>
      <c r="AA483" s="165"/>
      <c r="AT483" s="166" t="s">
        <v>179</v>
      </c>
      <c r="AU483" s="166" t="s">
        <v>135</v>
      </c>
      <c r="AV483" s="11" t="s">
        <v>135</v>
      </c>
      <c r="AW483" s="11" t="s">
        <v>35</v>
      </c>
      <c r="AX483" s="11" t="s">
        <v>78</v>
      </c>
      <c r="AY483" s="166" t="s">
        <v>167</v>
      </c>
    </row>
    <row r="484" spans="2:51" s="11" customFormat="1" ht="22.5" customHeight="1">
      <c r="B484" s="159"/>
      <c r="C484" s="160"/>
      <c r="D484" s="160"/>
      <c r="E484" s="161" t="s">
        <v>5</v>
      </c>
      <c r="F484" s="302" t="s">
        <v>1980</v>
      </c>
      <c r="G484" s="303"/>
      <c r="H484" s="303"/>
      <c r="I484" s="303"/>
      <c r="J484" s="160"/>
      <c r="K484" s="162">
        <v>10</v>
      </c>
      <c r="L484" s="160"/>
      <c r="M484" s="160"/>
      <c r="N484" s="160"/>
      <c r="O484" s="160"/>
      <c r="P484" s="160"/>
      <c r="Q484" s="160"/>
      <c r="R484" s="163"/>
      <c r="T484" s="164"/>
      <c r="U484" s="160"/>
      <c r="V484" s="160"/>
      <c r="W484" s="160"/>
      <c r="X484" s="160"/>
      <c r="Y484" s="160"/>
      <c r="Z484" s="160"/>
      <c r="AA484" s="165"/>
      <c r="AT484" s="166" t="s">
        <v>179</v>
      </c>
      <c r="AU484" s="166" t="s">
        <v>135</v>
      </c>
      <c r="AV484" s="11" t="s">
        <v>135</v>
      </c>
      <c r="AW484" s="11" t="s">
        <v>35</v>
      </c>
      <c r="AX484" s="11" t="s">
        <v>78</v>
      </c>
      <c r="AY484" s="166" t="s">
        <v>167</v>
      </c>
    </row>
    <row r="485" spans="2:51" s="11" customFormat="1" ht="22.5" customHeight="1">
      <c r="B485" s="159"/>
      <c r="C485" s="160"/>
      <c r="D485" s="160"/>
      <c r="E485" s="161" t="s">
        <v>5</v>
      </c>
      <c r="F485" s="302" t="s">
        <v>1981</v>
      </c>
      <c r="G485" s="303"/>
      <c r="H485" s="303"/>
      <c r="I485" s="303"/>
      <c r="J485" s="160"/>
      <c r="K485" s="162">
        <v>2</v>
      </c>
      <c r="L485" s="160"/>
      <c r="M485" s="160"/>
      <c r="N485" s="160"/>
      <c r="O485" s="160"/>
      <c r="P485" s="160"/>
      <c r="Q485" s="160"/>
      <c r="R485" s="163"/>
      <c r="T485" s="164"/>
      <c r="U485" s="160"/>
      <c r="V485" s="160"/>
      <c r="W485" s="160"/>
      <c r="X485" s="160"/>
      <c r="Y485" s="160"/>
      <c r="Z485" s="160"/>
      <c r="AA485" s="165"/>
      <c r="AT485" s="166" t="s">
        <v>179</v>
      </c>
      <c r="AU485" s="166" t="s">
        <v>135</v>
      </c>
      <c r="AV485" s="11" t="s">
        <v>135</v>
      </c>
      <c r="AW485" s="11" t="s">
        <v>35</v>
      </c>
      <c r="AX485" s="11" t="s">
        <v>78</v>
      </c>
      <c r="AY485" s="166" t="s">
        <v>167</v>
      </c>
    </row>
    <row r="486" spans="2:51" s="11" customFormat="1" ht="22.5" customHeight="1">
      <c r="B486" s="159"/>
      <c r="C486" s="160"/>
      <c r="D486" s="160"/>
      <c r="E486" s="161" t="s">
        <v>5</v>
      </c>
      <c r="F486" s="302" t="s">
        <v>1982</v>
      </c>
      <c r="G486" s="303"/>
      <c r="H486" s="303"/>
      <c r="I486" s="303"/>
      <c r="J486" s="160"/>
      <c r="K486" s="162">
        <v>3</v>
      </c>
      <c r="L486" s="160"/>
      <c r="M486" s="160"/>
      <c r="N486" s="160"/>
      <c r="O486" s="160"/>
      <c r="P486" s="160"/>
      <c r="Q486" s="160"/>
      <c r="R486" s="163"/>
      <c r="T486" s="164"/>
      <c r="U486" s="160"/>
      <c r="V486" s="160"/>
      <c r="W486" s="160"/>
      <c r="X486" s="160"/>
      <c r="Y486" s="160"/>
      <c r="Z486" s="160"/>
      <c r="AA486" s="165"/>
      <c r="AT486" s="166" t="s">
        <v>179</v>
      </c>
      <c r="AU486" s="166" t="s">
        <v>135</v>
      </c>
      <c r="AV486" s="11" t="s">
        <v>135</v>
      </c>
      <c r="AW486" s="11" t="s">
        <v>35</v>
      </c>
      <c r="AX486" s="11" t="s">
        <v>78</v>
      </c>
      <c r="AY486" s="166" t="s">
        <v>167</v>
      </c>
    </row>
    <row r="487" spans="2:51" s="12" customFormat="1" ht="22.5" customHeight="1">
      <c r="B487" s="167"/>
      <c r="C487" s="168"/>
      <c r="D487" s="168"/>
      <c r="E487" s="169" t="s">
        <v>5</v>
      </c>
      <c r="F487" s="306" t="s">
        <v>183</v>
      </c>
      <c r="G487" s="307"/>
      <c r="H487" s="307"/>
      <c r="I487" s="307"/>
      <c r="J487" s="168"/>
      <c r="K487" s="170">
        <v>33</v>
      </c>
      <c r="L487" s="168"/>
      <c r="M487" s="168"/>
      <c r="N487" s="168"/>
      <c r="O487" s="168"/>
      <c r="P487" s="168"/>
      <c r="Q487" s="168"/>
      <c r="R487" s="171"/>
      <c r="T487" s="172"/>
      <c r="U487" s="168"/>
      <c r="V487" s="168"/>
      <c r="W487" s="168"/>
      <c r="X487" s="168"/>
      <c r="Y487" s="168"/>
      <c r="Z487" s="168"/>
      <c r="AA487" s="173"/>
      <c r="AT487" s="174" t="s">
        <v>179</v>
      </c>
      <c r="AU487" s="174" t="s">
        <v>135</v>
      </c>
      <c r="AV487" s="12" t="s">
        <v>172</v>
      </c>
      <c r="AW487" s="12" t="s">
        <v>35</v>
      </c>
      <c r="AX487" s="12" t="s">
        <v>21</v>
      </c>
      <c r="AY487" s="174" t="s">
        <v>167</v>
      </c>
    </row>
    <row r="488" spans="2:65" s="1" customFormat="1" ht="31.5" customHeight="1">
      <c r="B488" s="141"/>
      <c r="C488" s="142" t="s">
        <v>947</v>
      </c>
      <c r="D488" s="142" t="s">
        <v>168</v>
      </c>
      <c r="E488" s="143" t="s">
        <v>1893</v>
      </c>
      <c r="F488" s="293" t="s">
        <v>2088</v>
      </c>
      <c r="G488" s="293"/>
      <c r="H488" s="293"/>
      <c r="I488" s="293"/>
      <c r="J488" s="144" t="s">
        <v>578</v>
      </c>
      <c r="K488" s="145">
        <v>2</v>
      </c>
      <c r="L488" s="294"/>
      <c r="M488" s="294"/>
      <c r="N488" s="294">
        <f>ROUND(L488*K488,2)</f>
        <v>0</v>
      </c>
      <c r="O488" s="294"/>
      <c r="P488" s="294"/>
      <c r="Q488" s="294"/>
      <c r="R488" s="146"/>
      <c r="T488" s="147" t="s">
        <v>5</v>
      </c>
      <c r="U488" s="44" t="s">
        <v>43</v>
      </c>
      <c r="V488" s="148">
        <v>25.283</v>
      </c>
      <c r="W488" s="148">
        <f>V488*K488</f>
        <v>50.566</v>
      </c>
      <c r="X488" s="148">
        <v>2.72625</v>
      </c>
      <c r="Y488" s="148">
        <f>X488*K488</f>
        <v>5.4525</v>
      </c>
      <c r="Z488" s="148">
        <v>0</v>
      </c>
      <c r="AA488" s="149">
        <f>Z488*K488</f>
        <v>0</v>
      </c>
      <c r="AR488" s="21" t="s">
        <v>172</v>
      </c>
      <c r="AT488" s="21" t="s">
        <v>168</v>
      </c>
      <c r="AU488" s="21" t="s">
        <v>135</v>
      </c>
      <c r="AY488" s="21" t="s">
        <v>167</v>
      </c>
      <c r="BE488" s="150">
        <f>IF(U488="základní",N488,0)</f>
        <v>0</v>
      </c>
      <c r="BF488" s="150">
        <f>IF(U488="snížená",N488,0)</f>
        <v>0</v>
      </c>
      <c r="BG488" s="150">
        <f>IF(U488="zákl. přenesená",N488,0)</f>
        <v>0</v>
      </c>
      <c r="BH488" s="150">
        <f>IF(U488="sníž. přenesená",N488,0)</f>
        <v>0</v>
      </c>
      <c r="BI488" s="150">
        <f>IF(U488="nulová",N488,0)</f>
        <v>0</v>
      </c>
      <c r="BJ488" s="21" t="s">
        <v>21</v>
      </c>
      <c r="BK488" s="150">
        <f>ROUND(L488*K488,2)</f>
        <v>0</v>
      </c>
      <c r="BL488" s="21" t="s">
        <v>172</v>
      </c>
      <c r="BM488" s="21" t="s">
        <v>2089</v>
      </c>
    </row>
    <row r="489" spans="2:51" s="11" customFormat="1" ht="22.5" customHeight="1">
      <c r="B489" s="159"/>
      <c r="C489" s="160"/>
      <c r="D489" s="160"/>
      <c r="E489" s="161" t="s">
        <v>5</v>
      </c>
      <c r="F489" s="308" t="s">
        <v>2090</v>
      </c>
      <c r="G489" s="309"/>
      <c r="H489" s="309"/>
      <c r="I489" s="309"/>
      <c r="J489" s="160"/>
      <c r="K489" s="162">
        <v>2</v>
      </c>
      <c r="L489" s="160"/>
      <c r="M489" s="160"/>
      <c r="N489" s="160"/>
      <c r="O489" s="160"/>
      <c r="P489" s="160"/>
      <c r="Q489" s="160"/>
      <c r="R489" s="163"/>
      <c r="T489" s="164"/>
      <c r="U489" s="160"/>
      <c r="V489" s="160"/>
      <c r="W489" s="160"/>
      <c r="X489" s="160"/>
      <c r="Y489" s="160"/>
      <c r="Z489" s="160"/>
      <c r="AA489" s="165"/>
      <c r="AT489" s="166" t="s">
        <v>179</v>
      </c>
      <c r="AU489" s="166" t="s">
        <v>135</v>
      </c>
      <c r="AV489" s="11" t="s">
        <v>135</v>
      </c>
      <c r="AW489" s="11" t="s">
        <v>35</v>
      </c>
      <c r="AX489" s="11" t="s">
        <v>21</v>
      </c>
      <c r="AY489" s="166" t="s">
        <v>167</v>
      </c>
    </row>
    <row r="490" spans="2:65" s="1" customFormat="1" ht="31.5" customHeight="1">
      <c r="B490" s="141"/>
      <c r="C490" s="142" t="s">
        <v>951</v>
      </c>
      <c r="D490" s="142" t="s">
        <v>168</v>
      </c>
      <c r="E490" s="143" t="s">
        <v>2091</v>
      </c>
      <c r="F490" s="293" t="s">
        <v>2092</v>
      </c>
      <c r="G490" s="293"/>
      <c r="H490" s="293"/>
      <c r="I490" s="293"/>
      <c r="J490" s="144" t="s">
        <v>578</v>
      </c>
      <c r="K490" s="145">
        <v>1</v>
      </c>
      <c r="L490" s="294"/>
      <c r="M490" s="294"/>
      <c r="N490" s="294">
        <f aca="true" t="shared" si="10" ref="N490:N510">ROUND(L490*K490,2)</f>
        <v>0</v>
      </c>
      <c r="O490" s="294"/>
      <c r="P490" s="294"/>
      <c r="Q490" s="294"/>
      <c r="R490" s="146"/>
      <c r="T490" s="147" t="s">
        <v>5</v>
      </c>
      <c r="U490" s="44" t="s">
        <v>43</v>
      </c>
      <c r="V490" s="148">
        <v>25.283</v>
      </c>
      <c r="W490" s="148">
        <f aca="true" t="shared" si="11" ref="W490:W510">V490*K490</f>
        <v>25.283</v>
      </c>
      <c r="X490" s="148">
        <v>2.72625</v>
      </c>
      <c r="Y490" s="148">
        <f aca="true" t="shared" si="12" ref="Y490:Y510">X490*K490</f>
        <v>2.72625</v>
      </c>
      <c r="Z490" s="148">
        <v>0</v>
      </c>
      <c r="AA490" s="149">
        <f aca="true" t="shared" si="13" ref="AA490:AA510">Z490*K490</f>
        <v>0</v>
      </c>
      <c r="AR490" s="21" t="s">
        <v>172</v>
      </c>
      <c r="AT490" s="21" t="s">
        <v>168</v>
      </c>
      <c r="AU490" s="21" t="s">
        <v>135</v>
      </c>
      <c r="AY490" s="21" t="s">
        <v>167</v>
      </c>
      <c r="BE490" s="150">
        <f aca="true" t="shared" si="14" ref="BE490:BE510">IF(U490="základní",N490,0)</f>
        <v>0</v>
      </c>
      <c r="BF490" s="150">
        <f aca="true" t="shared" si="15" ref="BF490:BF510">IF(U490="snížená",N490,0)</f>
        <v>0</v>
      </c>
      <c r="BG490" s="150">
        <f aca="true" t="shared" si="16" ref="BG490:BG510">IF(U490="zákl. přenesená",N490,0)</f>
        <v>0</v>
      </c>
      <c r="BH490" s="150">
        <f aca="true" t="shared" si="17" ref="BH490:BH510">IF(U490="sníž. přenesená",N490,0)</f>
        <v>0</v>
      </c>
      <c r="BI490" s="150">
        <f aca="true" t="shared" si="18" ref="BI490:BI510">IF(U490="nulová",N490,0)</f>
        <v>0</v>
      </c>
      <c r="BJ490" s="21" t="s">
        <v>21</v>
      </c>
      <c r="BK490" s="150">
        <f aca="true" t="shared" si="19" ref="BK490:BK510">ROUND(L490*K490,2)</f>
        <v>0</v>
      </c>
      <c r="BL490" s="21" t="s">
        <v>172</v>
      </c>
      <c r="BM490" s="21" t="s">
        <v>2093</v>
      </c>
    </row>
    <row r="491" spans="2:65" s="1" customFormat="1" ht="31.5" customHeight="1">
      <c r="B491" s="141"/>
      <c r="C491" s="142" t="s">
        <v>955</v>
      </c>
      <c r="D491" s="142" t="s">
        <v>168</v>
      </c>
      <c r="E491" s="143" t="s">
        <v>2094</v>
      </c>
      <c r="F491" s="293" t="s">
        <v>2095</v>
      </c>
      <c r="G491" s="293"/>
      <c r="H491" s="293"/>
      <c r="I491" s="293"/>
      <c r="J491" s="144" t="s">
        <v>578</v>
      </c>
      <c r="K491" s="145">
        <v>2</v>
      </c>
      <c r="L491" s="294"/>
      <c r="M491" s="294"/>
      <c r="N491" s="294">
        <f t="shared" si="10"/>
        <v>0</v>
      </c>
      <c r="O491" s="294"/>
      <c r="P491" s="294"/>
      <c r="Q491" s="294"/>
      <c r="R491" s="146"/>
      <c r="T491" s="147" t="s">
        <v>5</v>
      </c>
      <c r="U491" s="44" t="s">
        <v>43</v>
      </c>
      <c r="V491" s="148">
        <v>25.283</v>
      </c>
      <c r="W491" s="148">
        <f t="shared" si="11"/>
        <v>50.566</v>
      </c>
      <c r="X491" s="148">
        <v>2.72625</v>
      </c>
      <c r="Y491" s="148">
        <f t="shared" si="12"/>
        <v>5.4525</v>
      </c>
      <c r="Z491" s="148">
        <v>0</v>
      </c>
      <c r="AA491" s="149">
        <f t="shared" si="13"/>
        <v>0</v>
      </c>
      <c r="AR491" s="21" t="s">
        <v>172</v>
      </c>
      <c r="AT491" s="21" t="s">
        <v>168</v>
      </c>
      <c r="AU491" s="21" t="s">
        <v>135</v>
      </c>
      <c r="AY491" s="21" t="s">
        <v>167</v>
      </c>
      <c r="BE491" s="150">
        <f t="shared" si="14"/>
        <v>0</v>
      </c>
      <c r="BF491" s="150">
        <f t="shared" si="15"/>
        <v>0</v>
      </c>
      <c r="BG491" s="150">
        <f t="shared" si="16"/>
        <v>0</v>
      </c>
      <c r="BH491" s="150">
        <f t="shared" si="17"/>
        <v>0</v>
      </c>
      <c r="BI491" s="150">
        <f t="shared" si="18"/>
        <v>0</v>
      </c>
      <c r="BJ491" s="21" t="s">
        <v>21</v>
      </c>
      <c r="BK491" s="150">
        <f t="shared" si="19"/>
        <v>0</v>
      </c>
      <c r="BL491" s="21" t="s">
        <v>172</v>
      </c>
      <c r="BM491" s="21" t="s">
        <v>2096</v>
      </c>
    </row>
    <row r="492" spans="2:65" s="1" customFormat="1" ht="22.5" customHeight="1">
      <c r="B492" s="141"/>
      <c r="C492" s="142" t="s">
        <v>959</v>
      </c>
      <c r="D492" s="142" t="s">
        <v>168</v>
      </c>
      <c r="E492" s="143" t="s">
        <v>1595</v>
      </c>
      <c r="F492" s="293" t="s">
        <v>1596</v>
      </c>
      <c r="G492" s="293"/>
      <c r="H492" s="293"/>
      <c r="I492" s="293"/>
      <c r="J492" s="144" t="s">
        <v>578</v>
      </c>
      <c r="K492" s="145">
        <v>39</v>
      </c>
      <c r="L492" s="294"/>
      <c r="M492" s="294"/>
      <c r="N492" s="294">
        <f t="shared" si="10"/>
        <v>0</v>
      </c>
      <c r="O492" s="294"/>
      <c r="P492" s="294"/>
      <c r="Q492" s="294"/>
      <c r="R492" s="146"/>
      <c r="T492" s="147" t="s">
        <v>5</v>
      </c>
      <c r="U492" s="44" t="s">
        <v>43</v>
      </c>
      <c r="V492" s="148">
        <v>25.283</v>
      </c>
      <c r="W492" s="148">
        <f t="shared" si="11"/>
        <v>986.037</v>
      </c>
      <c r="X492" s="148">
        <v>2.72625</v>
      </c>
      <c r="Y492" s="148">
        <f t="shared" si="12"/>
        <v>106.32374999999999</v>
      </c>
      <c r="Z492" s="148">
        <v>0</v>
      </c>
      <c r="AA492" s="149">
        <f t="shared" si="13"/>
        <v>0</v>
      </c>
      <c r="AR492" s="21" t="s">
        <v>172</v>
      </c>
      <c r="AT492" s="21" t="s">
        <v>168</v>
      </c>
      <c r="AU492" s="21" t="s">
        <v>135</v>
      </c>
      <c r="AY492" s="21" t="s">
        <v>167</v>
      </c>
      <c r="BE492" s="150">
        <f t="shared" si="14"/>
        <v>0</v>
      </c>
      <c r="BF492" s="150">
        <f t="shared" si="15"/>
        <v>0</v>
      </c>
      <c r="BG492" s="150">
        <f t="shared" si="16"/>
        <v>0</v>
      </c>
      <c r="BH492" s="150">
        <f t="shared" si="17"/>
        <v>0</v>
      </c>
      <c r="BI492" s="150">
        <f t="shared" si="18"/>
        <v>0</v>
      </c>
      <c r="BJ492" s="21" t="s">
        <v>21</v>
      </c>
      <c r="BK492" s="150">
        <f t="shared" si="19"/>
        <v>0</v>
      </c>
      <c r="BL492" s="21" t="s">
        <v>172</v>
      </c>
      <c r="BM492" s="21" t="s">
        <v>1597</v>
      </c>
    </row>
    <row r="493" spans="2:65" s="1" customFormat="1" ht="22.5" customHeight="1">
      <c r="B493" s="141"/>
      <c r="C493" s="142" t="s">
        <v>963</v>
      </c>
      <c r="D493" s="142" t="s">
        <v>168</v>
      </c>
      <c r="E493" s="143" t="s">
        <v>1598</v>
      </c>
      <c r="F493" s="293" t="s">
        <v>1599</v>
      </c>
      <c r="G493" s="293"/>
      <c r="H493" s="293"/>
      <c r="I493" s="293"/>
      <c r="J493" s="144" t="s">
        <v>578</v>
      </c>
      <c r="K493" s="145">
        <v>39</v>
      </c>
      <c r="L493" s="294"/>
      <c r="M493" s="294"/>
      <c r="N493" s="294">
        <f t="shared" si="10"/>
        <v>0</v>
      </c>
      <c r="O493" s="294"/>
      <c r="P493" s="294"/>
      <c r="Q493" s="294"/>
      <c r="R493" s="146"/>
      <c r="T493" s="147" t="s">
        <v>5</v>
      </c>
      <c r="U493" s="44" t="s">
        <v>43</v>
      </c>
      <c r="V493" s="148">
        <v>25.283</v>
      </c>
      <c r="W493" s="148">
        <f t="shared" si="11"/>
        <v>986.037</v>
      </c>
      <c r="X493" s="148">
        <v>2.72625</v>
      </c>
      <c r="Y493" s="148">
        <f t="shared" si="12"/>
        <v>106.32374999999999</v>
      </c>
      <c r="Z493" s="148">
        <v>0</v>
      </c>
      <c r="AA493" s="149">
        <f t="shared" si="13"/>
        <v>0</v>
      </c>
      <c r="AR493" s="21" t="s">
        <v>172</v>
      </c>
      <c r="AT493" s="21" t="s">
        <v>168</v>
      </c>
      <c r="AU493" s="21" t="s">
        <v>135</v>
      </c>
      <c r="AY493" s="21" t="s">
        <v>167</v>
      </c>
      <c r="BE493" s="150">
        <f t="shared" si="14"/>
        <v>0</v>
      </c>
      <c r="BF493" s="150">
        <f t="shared" si="15"/>
        <v>0</v>
      </c>
      <c r="BG493" s="150">
        <f t="shared" si="16"/>
        <v>0</v>
      </c>
      <c r="BH493" s="150">
        <f t="shared" si="17"/>
        <v>0</v>
      </c>
      <c r="BI493" s="150">
        <f t="shared" si="18"/>
        <v>0</v>
      </c>
      <c r="BJ493" s="21" t="s">
        <v>21</v>
      </c>
      <c r="BK493" s="150">
        <f t="shared" si="19"/>
        <v>0</v>
      </c>
      <c r="BL493" s="21" t="s">
        <v>172</v>
      </c>
      <c r="BM493" s="21" t="s">
        <v>1600</v>
      </c>
    </row>
    <row r="494" spans="2:65" s="1" customFormat="1" ht="22.5" customHeight="1">
      <c r="B494" s="141"/>
      <c r="C494" s="142" t="s">
        <v>967</v>
      </c>
      <c r="D494" s="142" t="s">
        <v>168</v>
      </c>
      <c r="E494" s="143" t="s">
        <v>1897</v>
      </c>
      <c r="F494" s="293" t="s">
        <v>1898</v>
      </c>
      <c r="G494" s="293"/>
      <c r="H494" s="293"/>
      <c r="I494" s="293"/>
      <c r="J494" s="144" t="s">
        <v>578</v>
      </c>
      <c r="K494" s="145">
        <v>1</v>
      </c>
      <c r="L494" s="294"/>
      <c r="M494" s="294"/>
      <c r="N494" s="294">
        <f t="shared" si="10"/>
        <v>0</v>
      </c>
      <c r="O494" s="294"/>
      <c r="P494" s="294"/>
      <c r="Q494" s="294"/>
      <c r="R494" s="146"/>
      <c r="T494" s="147" t="s">
        <v>5</v>
      </c>
      <c r="U494" s="44" t="s">
        <v>43</v>
      </c>
      <c r="V494" s="148">
        <v>25.283</v>
      </c>
      <c r="W494" s="148">
        <f t="shared" si="11"/>
        <v>25.283</v>
      </c>
      <c r="X494" s="148">
        <v>2.72625</v>
      </c>
      <c r="Y494" s="148">
        <f t="shared" si="12"/>
        <v>2.72625</v>
      </c>
      <c r="Z494" s="148">
        <v>0</v>
      </c>
      <c r="AA494" s="149">
        <f t="shared" si="13"/>
        <v>0</v>
      </c>
      <c r="AR494" s="21" t="s">
        <v>172</v>
      </c>
      <c r="AT494" s="21" t="s">
        <v>168</v>
      </c>
      <c r="AU494" s="21" t="s">
        <v>135</v>
      </c>
      <c r="AY494" s="21" t="s">
        <v>167</v>
      </c>
      <c r="BE494" s="150">
        <f t="shared" si="14"/>
        <v>0</v>
      </c>
      <c r="BF494" s="150">
        <f t="shared" si="15"/>
        <v>0</v>
      </c>
      <c r="BG494" s="150">
        <f t="shared" si="16"/>
        <v>0</v>
      </c>
      <c r="BH494" s="150">
        <f t="shared" si="17"/>
        <v>0</v>
      </c>
      <c r="BI494" s="150">
        <f t="shared" si="18"/>
        <v>0</v>
      </c>
      <c r="BJ494" s="21" t="s">
        <v>21</v>
      </c>
      <c r="BK494" s="150">
        <f t="shared" si="19"/>
        <v>0</v>
      </c>
      <c r="BL494" s="21" t="s">
        <v>172</v>
      </c>
      <c r="BM494" s="21" t="s">
        <v>2097</v>
      </c>
    </row>
    <row r="495" spans="2:65" s="1" customFormat="1" ht="22.5" customHeight="1">
      <c r="B495" s="141"/>
      <c r="C495" s="142" t="s">
        <v>971</v>
      </c>
      <c r="D495" s="142" t="s">
        <v>168</v>
      </c>
      <c r="E495" s="143" t="s">
        <v>2098</v>
      </c>
      <c r="F495" s="293" t="s">
        <v>1901</v>
      </c>
      <c r="G495" s="293"/>
      <c r="H495" s="293"/>
      <c r="I495" s="293"/>
      <c r="J495" s="144" t="s">
        <v>578</v>
      </c>
      <c r="K495" s="145">
        <v>1</v>
      </c>
      <c r="L495" s="294"/>
      <c r="M495" s="294"/>
      <c r="N495" s="294">
        <f t="shared" si="10"/>
        <v>0</v>
      </c>
      <c r="O495" s="294"/>
      <c r="P495" s="294"/>
      <c r="Q495" s="294"/>
      <c r="R495" s="146"/>
      <c r="T495" s="147" t="s">
        <v>5</v>
      </c>
      <c r="U495" s="44" t="s">
        <v>43</v>
      </c>
      <c r="V495" s="148">
        <v>25.283</v>
      </c>
      <c r="W495" s="148">
        <f t="shared" si="11"/>
        <v>25.283</v>
      </c>
      <c r="X495" s="148">
        <v>2.72625</v>
      </c>
      <c r="Y495" s="148">
        <f t="shared" si="12"/>
        <v>2.72625</v>
      </c>
      <c r="Z495" s="148">
        <v>0</v>
      </c>
      <c r="AA495" s="149">
        <f t="shared" si="13"/>
        <v>0</v>
      </c>
      <c r="AR495" s="21" t="s">
        <v>172</v>
      </c>
      <c r="AT495" s="21" t="s">
        <v>168</v>
      </c>
      <c r="AU495" s="21" t="s">
        <v>135</v>
      </c>
      <c r="AY495" s="21" t="s">
        <v>167</v>
      </c>
      <c r="BE495" s="150">
        <f t="shared" si="14"/>
        <v>0</v>
      </c>
      <c r="BF495" s="150">
        <f t="shared" si="15"/>
        <v>0</v>
      </c>
      <c r="BG495" s="150">
        <f t="shared" si="16"/>
        <v>0</v>
      </c>
      <c r="BH495" s="150">
        <f t="shared" si="17"/>
        <v>0</v>
      </c>
      <c r="BI495" s="150">
        <f t="shared" si="18"/>
        <v>0</v>
      </c>
      <c r="BJ495" s="21" t="s">
        <v>21</v>
      </c>
      <c r="BK495" s="150">
        <f t="shared" si="19"/>
        <v>0</v>
      </c>
      <c r="BL495" s="21" t="s">
        <v>172</v>
      </c>
      <c r="BM495" s="21" t="s">
        <v>2099</v>
      </c>
    </row>
    <row r="496" spans="2:65" s="1" customFormat="1" ht="31.5" customHeight="1">
      <c r="B496" s="141"/>
      <c r="C496" s="142" t="s">
        <v>975</v>
      </c>
      <c r="D496" s="142" t="s">
        <v>168</v>
      </c>
      <c r="E496" s="143" t="s">
        <v>2100</v>
      </c>
      <c r="F496" s="293" t="s">
        <v>2101</v>
      </c>
      <c r="G496" s="293"/>
      <c r="H496" s="293"/>
      <c r="I496" s="293"/>
      <c r="J496" s="144" t="s">
        <v>578</v>
      </c>
      <c r="K496" s="145">
        <v>1</v>
      </c>
      <c r="L496" s="294"/>
      <c r="M496" s="294"/>
      <c r="N496" s="294">
        <f t="shared" si="10"/>
        <v>0</v>
      </c>
      <c r="O496" s="294"/>
      <c r="P496" s="294"/>
      <c r="Q496" s="294"/>
      <c r="R496" s="146"/>
      <c r="T496" s="147" t="s">
        <v>5</v>
      </c>
      <c r="U496" s="44" t="s">
        <v>43</v>
      </c>
      <c r="V496" s="148">
        <v>25.283</v>
      </c>
      <c r="W496" s="148">
        <f t="shared" si="11"/>
        <v>25.283</v>
      </c>
      <c r="X496" s="148">
        <v>2.72625</v>
      </c>
      <c r="Y496" s="148">
        <f t="shared" si="12"/>
        <v>2.72625</v>
      </c>
      <c r="Z496" s="148">
        <v>0</v>
      </c>
      <c r="AA496" s="149">
        <f t="shared" si="13"/>
        <v>0</v>
      </c>
      <c r="AR496" s="21" t="s">
        <v>172</v>
      </c>
      <c r="AT496" s="21" t="s">
        <v>168</v>
      </c>
      <c r="AU496" s="21" t="s">
        <v>135</v>
      </c>
      <c r="AY496" s="21" t="s">
        <v>167</v>
      </c>
      <c r="BE496" s="150">
        <f t="shared" si="14"/>
        <v>0</v>
      </c>
      <c r="BF496" s="150">
        <f t="shared" si="15"/>
        <v>0</v>
      </c>
      <c r="BG496" s="150">
        <f t="shared" si="16"/>
        <v>0</v>
      </c>
      <c r="BH496" s="150">
        <f t="shared" si="17"/>
        <v>0</v>
      </c>
      <c r="BI496" s="150">
        <f t="shared" si="18"/>
        <v>0</v>
      </c>
      <c r="BJ496" s="21" t="s">
        <v>21</v>
      </c>
      <c r="BK496" s="150">
        <f t="shared" si="19"/>
        <v>0</v>
      </c>
      <c r="BL496" s="21" t="s">
        <v>172</v>
      </c>
      <c r="BM496" s="21" t="s">
        <v>2102</v>
      </c>
    </row>
    <row r="497" spans="2:65" s="1" customFormat="1" ht="22.5" customHeight="1">
      <c r="B497" s="141"/>
      <c r="C497" s="142" t="s">
        <v>979</v>
      </c>
      <c r="D497" s="142" t="s">
        <v>168</v>
      </c>
      <c r="E497" s="143" t="s">
        <v>2103</v>
      </c>
      <c r="F497" s="293" t="s">
        <v>2104</v>
      </c>
      <c r="G497" s="293"/>
      <c r="H497" s="293"/>
      <c r="I497" s="293"/>
      <c r="J497" s="144" t="s">
        <v>578</v>
      </c>
      <c r="K497" s="145">
        <v>1</v>
      </c>
      <c r="L497" s="294"/>
      <c r="M497" s="294"/>
      <c r="N497" s="294">
        <f t="shared" si="10"/>
        <v>0</v>
      </c>
      <c r="O497" s="294"/>
      <c r="P497" s="294"/>
      <c r="Q497" s="294"/>
      <c r="R497" s="146"/>
      <c r="T497" s="147" t="s">
        <v>5</v>
      </c>
      <c r="U497" s="44" t="s">
        <v>43</v>
      </c>
      <c r="V497" s="148">
        <v>25.283</v>
      </c>
      <c r="W497" s="148">
        <f t="shared" si="11"/>
        <v>25.283</v>
      </c>
      <c r="X497" s="148">
        <v>2.72625</v>
      </c>
      <c r="Y497" s="148">
        <f t="shared" si="12"/>
        <v>2.72625</v>
      </c>
      <c r="Z497" s="148">
        <v>0</v>
      </c>
      <c r="AA497" s="149">
        <f t="shared" si="13"/>
        <v>0</v>
      </c>
      <c r="AR497" s="21" t="s">
        <v>172</v>
      </c>
      <c r="AT497" s="21" t="s">
        <v>168</v>
      </c>
      <c r="AU497" s="21" t="s">
        <v>135</v>
      </c>
      <c r="AY497" s="21" t="s">
        <v>167</v>
      </c>
      <c r="BE497" s="150">
        <f t="shared" si="14"/>
        <v>0</v>
      </c>
      <c r="BF497" s="150">
        <f t="shared" si="15"/>
        <v>0</v>
      </c>
      <c r="BG497" s="150">
        <f t="shared" si="16"/>
        <v>0</v>
      </c>
      <c r="BH497" s="150">
        <f t="shared" si="17"/>
        <v>0</v>
      </c>
      <c r="BI497" s="150">
        <f t="shared" si="18"/>
        <v>0</v>
      </c>
      <c r="BJ497" s="21" t="s">
        <v>21</v>
      </c>
      <c r="BK497" s="150">
        <f t="shared" si="19"/>
        <v>0</v>
      </c>
      <c r="BL497" s="21" t="s">
        <v>172</v>
      </c>
      <c r="BM497" s="21" t="s">
        <v>2105</v>
      </c>
    </row>
    <row r="498" spans="2:65" s="1" customFormat="1" ht="22.5" customHeight="1">
      <c r="B498" s="141"/>
      <c r="C498" s="142" t="s">
        <v>980</v>
      </c>
      <c r="D498" s="142" t="s">
        <v>168</v>
      </c>
      <c r="E498" s="143" t="s">
        <v>2106</v>
      </c>
      <c r="F498" s="293" t="s">
        <v>2107</v>
      </c>
      <c r="G498" s="293"/>
      <c r="H498" s="293"/>
      <c r="I498" s="293"/>
      <c r="J498" s="144" t="s">
        <v>578</v>
      </c>
      <c r="K498" s="145">
        <v>1</v>
      </c>
      <c r="L498" s="294"/>
      <c r="M498" s="294"/>
      <c r="N498" s="294">
        <f t="shared" si="10"/>
        <v>0</v>
      </c>
      <c r="O498" s="294"/>
      <c r="P498" s="294"/>
      <c r="Q498" s="294"/>
      <c r="R498" s="146"/>
      <c r="T498" s="147" t="s">
        <v>5</v>
      </c>
      <c r="U498" s="44" t="s">
        <v>43</v>
      </c>
      <c r="V498" s="148">
        <v>25.283</v>
      </c>
      <c r="W498" s="148">
        <f t="shared" si="11"/>
        <v>25.283</v>
      </c>
      <c r="X498" s="148">
        <v>2.72625</v>
      </c>
      <c r="Y498" s="148">
        <f t="shared" si="12"/>
        <v>2.72625</v>
      </c>
      <c r="Z498" s="148">
        <v>0</v>
      </c>
      <c r="AA498" s="149">
        <f t="shared" si="13"/>
        <v>0</v>
      </c>
      <c r="AR498" s="21" t="s">
        <v>172</v>
      </c>
      <c r="AT498" s="21" t="s">
        <v>168</v>
      </c>
      <c r="AU498" s="21" t="s">
        <v>135</v>
      </c>
      <c r="AY498" s="21" t="s">
        <v>167</v>
      </c>
      <c r="BE498" s="150">
        <f t="shared" si="14"/>
        <v>0</v>
      </c>
      <c r="BF498" s="150">
        <f t="shared" si="15"/>
        <v>0</v>
      </c>
      <c r="BG498" s="150">
        <f t="shared" si="16"/>
        <v>0</v>
      </c>
      <c r="BH498" s="150">
        <f t="shared" si="17"/>
        <v>0</v>
      </c>
      <c r="BI498" s="150">
        <f t="shared" si="18"/>
        <v>0</v>
      </c>
      <c r="BJ498" s="21" t="s">
        <v>21</v>
      </c>
      <c r="BK498" s="150">
        <f t="shared" si="19"/>
        <v>0</v>
      </c>
      <c r="BL498" s="21" t="s">
        <v>172</v>
      </c>
      <c r="BM498" s="21" t="s">
        <v>2108</v>
      </c>
    </row>
    <row r="499" spans="2:65" s="1" customFormat="1" ht="22.5" customHeight="1">
      <c r="B499" s="141"/>
      <c r="C499" s="142" t="s">
        <v>987</v>
      </c>
      <c r="D499" s="142" t="s">
        <v>168</v>
      </c>
      <c r="E499" s="143" t="s">
        <v>2109</v>
      </c>
      <c r="F499" s="293" t="s">
        <v>2110</v>
      </c>
      <c r="G499" s="293"/>
      <c r="H499" s="293"/>
      <c r="I499" s="293"/>
      <c r="J499" s="144" t="s">
        <v>578</v>
      </c>
      <c r="K499" s="145">
        <v>1</v>
      </c>
      <c r="L499" s="294"/>
      <c r="M499" s="294"/>
      <c r="N499" s="294">
        <f t="shared" si="10"/>
        <v>0</v>
      </c>
      <c r="O499" s="294"/>
      <c r="P499" s="294"/>
      <c r="Q499" s="294"/>
      <c r="R499" s="146"/>
      <c r="T499" s="147" t="s">
        <v>5</v>
      </c>
      <c r="U499" s="44" t="s">
        <v>43</v>
      </c>
      <c r="V499" s="148">
        <v>25.283</v>
      </c>
      <c r="W499" s="148">
        <f t="shared" si="11"/>
        <v>25.283</v>
      </c>
      <c r="X499" s="148">
        <v>2.72625</v>
      </c>
      <c r="Y499" s="148">
        <f t="shared" si="12"/>
        <v>2.72625</v>
      </c>
      <c r="Z499" s="148">
        <v>0</v>
      </c>
      <c r="AA499" s="149">
        <f t="shared" si="13"/>
        <v>0</v>
      </c>
      <c r="AR499" s="21" t="s">
        <v>172</v>
      </c>
      <c r="AT499" s="21" t="s">
        <v>168</v>
      </c>
      <c r="AU499" s="21" t="s">
        <v>135</v>
      </c>
      <c r="AY499" s="21" t="s">
        <v>167</v>
      </c>
      <c r="BE499" s="150">
        <f t="shared" si="14"/>
        <v>0</v>
      </c>
      <c r="BF499" s="150">
        <f t="shared" si="15"/>
        <v>0</v>
      </c>
      <c r="BG499" s="150">
        <f t="shared" si="16"/>
        <v>0</v>
      </c>
      <c r="BH499" s="150">
        <f t="shared" si="17"/>
        <v>0</v>
      </c>
      <c r="BI499" s="150">
        <f t="shared" si="18"/>
        <v>0</v>
      </c>
      <c r="BJ499" s="21" t="s">
        <v>21</v>
      </c>
      <c r="BK499" s="150">
        <f t="shared" si="19"/>
        <v>0</v>
      </c>
      <c r="BL499" s="21" t="s">
        <v>172</v>
      </c>
      <c r="BM499" s="21" t="s">
        <v>2111</v>
      </c>
    </row>
    <row r="500" spans="2:65" s="1" customFormat="1" ht="31.5" customHeight="1">
      <c r="B500" s="141"/>
      <c r="C500" s="142" t="s">
        <v>992</v>
      </c>
      <c r="D500" s="142" t="s">
        <v>168</v>
      </c>
      <c r="E500" s="143" t="s">
        <v>2112</v>
      </c>
      <c r="F500" s="293" t="s">
        <v>2113</v>
      </c>
      <c r="G500" s="293"/>
      <c r="H500" s="293"/>
      <c r="I500" s="293"/>
      <c r="J500" s="144" t="s">
        <v>578</v>
      </c>
      <c r="K500" s="145">
        <v>1</v>
      </c>
      <c r="L500" s="294"/>
      <c r="M500" s="294"/>
      <c r="N500" s="294">
        <f t="shared" si="10"/>
        <v>0</v>
      </c>
      <c r="O500" s="294"/>
      <c r="P500" s="294"/>
      <c r="Q500" s="294"/>
      <c r="R500" s="146"/>
      <c r="T500" s="147" t="s">
        <v>5</v>
      </c>
      <c r="U500" s="44" t="s">
        <v>43</v>
      </c>
      <c r="V500" s="148">
        <v>25.283</v>
      </c>
      <c r="W500" s="148">
        <f t="shared" si="11"/>
        <v>25.283</v>
      </c>
      <c r="X500" s="148">
        <v>2.72625</v>
      </c>
      <c r="Y500" s="148">
        <f t="shared" si="12"/>
        <v>2.72625</v>
      </c>
      <c r="Z500" s="148">
        <v>0</v>
      </c>
      <c r="AA500" s="149">
        <f t="shared" si="13"/>
        <v>0</v>
      </c>
      <c r="AR500" s="21" t="s">
        <v>172</v>
      </c>
      <c r="AT500" s="21" t="s">
        <v>168</v>
      </c>
      <c r="AU500" s="21" t="s">
        <v>135</v>
      </c>
      <c r="AY500" s="21" t="s">
        <v>167</v>
      </c>
      <c r="BE500" s="150">
        <f t="shared" si="14"/>
        <v>0</v>
      </c>
      <c r="BF500" s="150">
        <f t="shared" si="15"/>
        <v>0</v>
      </c>
      <c r="BG500" s="150">
        <f t="shared" si="16"/>
        <v>0</v>
      </c>
      <c r="BH500" s="150">
        <f t="shared" si="17"/>
        <v>0</v>
      </c>
      <c r="BI500" s="150">
        <f t="shared" si="18"/>
        <v>0</v>
      </c>
      <c r="BJ500" s="21" t="s">
        <v>21</v>
      </c>
      <c r="BK500" s="150">
        <f t="shared" si="19"/>
        <v>0</v>
      </c>
      <c r="BL500" s="21" t="s">
        <v>172</v>
      </c>
      <c r="BM500" s="21" t="s">
        <v>2114</v>
      </c>
    </row>
    <row r="501" spans="2:65" s="1" customFormat="1" ht="31.5" customHeight="1">
      <c r="B501" s="141"/>
      <c r="C501" s="142" t="s">
        <v>997</v>
      </c>
      <c r="D501" s="142" t="s">
        <v>168</v>
      </c>
      <c r="E501" s="143" t="s">
        <v>2115</v>
      </c>
      <c r="F501" s="293" t="s">
        <v>2116</v>
      </c>
      <c r="G501" s="293"/>
      <c r="H501" s="293"/>
      <c r="I501" s="293"/>
      <c r="J501" s="144" t="s">
        <v>578</v>
      </c>
      <c r="K501" s="145">
        <v>1</v>
      </c>
      <c r="L501" s="294"/>
      <c r="M501" s="294"/>
      <c r="N501" s="294">
        <f t="shared" si="10"/>
        <v>0</v>
      </c>
      <c r="O501" s="294"/>
      <c r="P501" s="294"/>
      <c r="Q501" s="294"/>
      <c r="R501" s="146"/>
      <c r="T501" s="147" t="s">
        <v>5</v>
      </c>
      <c r="U501" s="44" t="s">
        <v>43</v>
      </c>
      <c r="V501" s="148">
        <v>25.283</v>
      </c>
      <c r="W501" s="148">
        <f t="shared" si="11"/>
        <v>25.283</v>
      </c>
      <c r="X501" s="148">
        <v>2.72625</v>
      </c>
      <c r="Y501" s="148">
        <f t="shared" si="12"/>
        <v>2.72625</v>
      </c>
      <c r="Z501" s="148">
        <v>0</v>
      </c>
      <c r="AA501" s="149">
        <f t="shared" si="13"/>
        <v>0</v>
      </c>
      <c r="AR501" s="21" t="s">
        <v>172</v>
      </c>
      <c r="AT501" s="21" t="s">
        <v>168</v>
      </c>
      <c r="AU501" s="21" t="s">
        <v>135</v>
      </c>
      <c r="AY501" s="21" t="s">
        <v>167</v>
      </c>
      <c r="BE501" s="150">
        <f t="shared" si="14"/>
        <v>0</v>
      </c>
      <c r="BF501" s="150">
        <f t="shared" si="15"/>
        <v>0</v>
      </c>
      <c r="BG501" s="150">
        <f t="shared" si="16"/>
        <v>0</v>
      </c>
      <c r="BH501" s="150">
        <f t="shared" si="17"/>
        <v>0</v>
      </c>
      <c r="BI501" s="150">
        <f t="shared" si="18"/>
        <v>0</v>
      </c>
      <c r="BJ501" s="21" t="s">
        <v>21</v>
      </c>
      <c r="BK501" s="150">
        <f t="shared" si="19"/>
        <v>0</v>
      </c>
      <c r="BL501" s="21" t="s">
        <v>172</v>
      </c>
      <c r="BM501" s="21" t="s">
        <v>2117</v>
      </c>
    </row>
    <row r="502" spans="2:65" s="1" customFormat="1" ht="22.5" customHeight="1">
      <c r="B502" s="141"/>
      <c r="C502" s="142" t="s">
        <v>1001</v>
      </c>
      <c r="D502" s="142" t="s">
        <v>168</v>
      </c>
      <c r="E502" s="143" t="s">
        <v>2118</v>
      </c>
      <c r="F502" s="293" t="s">
        <v>2119</v>
      </c>
      <c r="G502" s="293"/>
      <c r="H502" s="293"/>
      <c r="I502" s="293"/>
      <c r="J502" s="144" t="s">
        <v>578</v>
      </c>
      <c r="K502" s="145">
        <v>1</v>
      </c>
      <c r="L502" s="294"/>
      <c r="M502" s="294"/>
      <c r="N502" s="294">
        <f t="shared" si="10"/>
        <v>0</v>
      </c>
      <c r="O502" s="294"/>
      <c r="P502" s="294"/>
      <c r="Q502" s="294"/>
      <c r="R502" s="146"/>
      <c r="T502" s="147" t="s">
        <v>5</v>
      </c>
      <c r="U502" s="44" t="s">
        <v>43</v>
      </c>
      <c r="V502" s="148">
        <v>25.283</v>
      </c>
      <c r="W502" s="148">
        <f t="shared" si="11"/>
        <v>25.283</v>
      </c>
      <c r="X502" s="148">
        <v>2.72625</v>
      </c>
      <c r="Y502" s="148">
        <f t="shared" si="12"/>
        <v>2.72625</v>
      </c>
      <c r="Z502" s="148">
        <v>0</v>
      </c>
      <c r="AA502" s="149">
        <f t="shared" si="13"/>
        <v>0</v>
      </c>
      <c r="AR502" s="21" t="s">
        <v>172</v>
      </c>
      <c r="AT502" s="21" t="s">
        <v>168</v>
      </c>
      <c r="AU502" s="21" t="s">
        <v>135</v>
      </c>
      <c r="AY502" s="21" t="s">
        <v>167</v>
      </c>
      <c r="BE502" s="150">
        <f t="shared" si="14"/>
        <v>0</v>
      </c>
      <c r="BF502" s="150">
        <f t="shared" si="15"/>
        <v>0</v>
      </c>
      <c r="BG502" s="150">
        <f t="shared" si="16"/>
        <v>0</v>
      </c>
      <c r="BH502" s="150">
        <f t="shared" si="17"/>
        <v>0</v>
      </c>
      <c r="BI502" s="150">
        <f t="shared" si="18"/>
        <v>0</v>
      </c>
      <c r="BJ502" s="21" t="s">
        <v>21</v>
      </c>
      <c r="BK502" s="150">
        <f t="shared" si="19"/>
        <v>0</v>
      </c>
      <c r="BL502" s="21" t="s">
        <v>172</v>
      </c>
      <c r="BM502" s="21" t="s">
        <v>2120</v>
      </c>
    </row>
    <row r="503" spans="2:65" s="1" customFormat="1" ht="22.5" customHeight="1">
      <c r="B503" s="141"/>
      <c r="C503" s="142" t="s">
        <v>1005</v>
      </c>
      <c r="D503" s="142" t="s">
        <v>168</v>
      </c>
      <c r="E503" s="143" t="s">
        <v>2121</v>
      </c>
      <c r="F503" s="293" t="s">
        <v>2122</v>
      </c>
      <c r="G503" s="293"/>
      <c r="H503" s="293"/>
      <c r="I503" s="293"/>
      <c r="J503" s="144" t="s">
        <v>578</v>
      </c>
      <c r="K503" s="145">
        <v>1</v>
      </c>
      <c r="L503" s="294"/>
      <c r="M503" s="294"/>
      <c r="N503" s="294">
        <f t="shared" si="10"/>
        <v>0</v>
      </c>
      <c r="O503" s="294"/>
      <c r="P503" s="294"/>
      <c r="Q503" s="294"/>
      <c r="R503" s="146"/>
      <c r="T503" s="147" t="s">
        <v>5</v>
      </c>
      <c r="U503" s="44" t="s">
        <v>43</v>
      </c>
      <c r="V503" s="148">
        <v>25.283</v>
      </c>
      <c r="W503" s="148">
        <f t="shared" si="11"/>
        <v>25.283</v>
      </c>
      <c r="X503" s="148">
        <v>2.72625</v>
      </c>
      <c r="Y503" s="148">
        <f t="shared" si="12"/>
        <v>2.72625</v>
      </c>
      <c r="Z503" s="148">
        <v>0</v>
      </c>
      <c r="AA503" s="149">
        <f t="shared" si="13"/>
        <v>0</v>
      </c>
      <c r="AR503" s="21" t="s">
        <v>172</v>
      </c>
      <c r="AT503" s="21" t="s">
        <v>168</v>
      </c>
      <c r="AU503" s="21" t="s">
        <v>135</v>
      </c>
      <c r="AY503" s="21" t="s">
        <v>167</v>
      </c>
      <c r="BE503" s="150">
        <f t="shared" si="14"/>
        <v>0</v>
      </c>
      <c r="BF503" s="150">
        <f t="shared" si="15"/>
        <v>0</v>
      </c>
      <c r="BG503" s="150">
        <f t="shared" si="16"/>
        <v>0</v>
      </c>
      <c r="BH503" s="150">
        <f t="shared" si="17"/>
        <v>0</v>
      </c>
      <c r="BI503" s="150">
        <f t="shared" si="18"/>
        <v>0</v>
      </c>
      <c r="BJ503" s="21" t="s">
        <v>21</v>
      </c>
      <c r="BK503" s="150">
        <f t="shared" si="19"/>
        <v>0</v>
      </c>
      <c r="BL503" s="21" t="s">
        <v>172</v>
      </c>
      <c r="BM503" s="21" t="s">
        <v>2123</v>
      </c>
    </row>
    <row r="504" spans="2:65" s="1" customFormat="1" ht="22.5" customHeight="1">
      <c r="B504" s="141"/>
      <c r="C504" s="142" t="s">
        <v>1010</v>
      </c>
      <c r="D504" s="142" t="s">
        <v>168</v>
      </c>
      <c r="E504" s="143" t="s">
        <v>2124</v>
      </c>
      <c r="F504" s="293" t="s">
        <v>2125</v>
      </c>
      <c r="G504" s="293"/>
      <c r="H504" s="293"/>
      <c r="I504" s="293"/>
      <c r="J504" s="144" t="s">
        <v>578</v>
      </c>
      <c r="K504" s="145">
        <v>1</v>
      </c>
      <c r="L504" s="294"/>
      <c r="M504" s="294"/>
      <c r="N504" s="294">
        <f t="shared" si="10"/>
        <v>0</v>
      </c>
      <c r="O504" s="294"/>
      <c r="P504" s="294"/>
      <c r="Q504" s="294"/>
      <c r="R504" s="146"/>
      <c r="T504" s="147" t="s">
        <v>5</v>
      </c>
      <c r="U504" s="44" t="s">
        <v>43</v>
      </c>
      <c r="V504" s="148">
        <v>25.283</v>
      </c>
      <c r="W504" s="148">
        <f t="shared" si="11"/>
        <v>25.283</v>
      </c>
      <c r="X504" s="148">
        <v>2.72625</v>
      </c>
      <c r="Y504" s="148">
        <f t="shared" si="12"/>
        <v>2.72625</v>
      </c>
      <c r="Z504" s="148">
        <v>0</v>
      </c>
      <c r="AA504" s="149">
        <f t="shared" si="13"/>
        <v>0</v>
      </c>
      <c r="AR504" s="21" t="s">
        <v>172</v>
      </c>
      <c r="AT504" s="21" t="s">
        <v>168</v>
      </c>
      <c r="AU504" s="21" t="s">
        <v>135</v>
      </c>
      <c r="AY504" s="21" t="s">
        <v>167</v>
      </c>
      <c r="BE504" s="150">
        <f t="shared" si="14"/>
        <v>0</v>
      </c>
      <c r="BF504" s="150">
        <f t="shared" si="15"/>
        <v>0</v>
      </c>
      <c r="BG504" s="150">
        <f t="shared" si="16"/>
        <v>0</v>
      </c>
      <c r="BH504" s="150">
        <f t="shared" si="17"/>
        <v>0</v>
      </c>
      <c r="BI504" s="150">
        <f t="shared" si="18"/>
        <v>0</v>
      </c>
      <c r="BJ504" s="21" t="s">
        <v>21</v>
      </c>
      <c r="BK504" s="150">
        <f t="shared" si="19"/>
        <v>0</v>
      </c>
      <c r="BL504" s="21" t="s">
        <v>172</v>
      </c>
      <c r="BM504" s="21" t="s">
        <v>2126</v>
      </c>
    </row>
    <row r="505" spans="2:65" s="1" customFormat="1" ht="22.5" customHeight="1">
      <c r="B505" s="141"/>
      <c r="C505" s="142" t="s">
        <v>1014</v>
      </c>
      <c r="D505" s="142" t="s">
        <v>168</v>
      </c>
      <c r="E505" s="143" t="s">
        <v>2127</v>
      </c>
      <c r="F505" s="293" t="s">
        <v>2128</v>
      </c>
      <c r="G505" s="293"/>
      <c r="H505" s="293"/>
      <c r="I505" s="293"/>
      <c r="J505" s="144" t="s">
        <v>578</v>
      </c>
      <c r="K505" s="145">
        <v>1</v>
      </c>
      <c r="L505" s="294"/>
      <c r="M505" s="294"/>
      <c r="N505" s="294">
        <f t="shared" si="10"/>
        <v>0</v>
      </c>
      <c r="O505" s="294"/>
      <c r="P505" s="294"/>
      <c r="Q505" s="294"/>
      <c r="R505" s="146"/>
      <c r="T505" s="147" t="s">
        <v>5</v>
      </c>
      <c r="U505" s="44" t="s">
        <v>43</v>
      </c>
      <c r="V505" s="148">
        <v>25.283</v>
      </c>
      <c r="W505" s="148">
        <f t="shared" si="11"/>
        <v>25.283</v>
      </c>
      <c r="X505" s="148">
        <v>2.72625</v>
      </c>
      <c r="Y505" s="148">
        <f t="shared" si="12"/>
        <v>2.72625</v>
      </c>
      <c r="Z505" s="148">
        <v>0</v>
      </c>
      <c r="AA505" s="149">
        <f t="shared" si="13"/>
        <v>0</v>
      </c>
      <c r="AR505" s="21" t="s">
        <v>172</v>
      </c>
      <c r="AT505" s="21" t="s">
        <v>168</v>
      </c>
      <c r="AU505" s="21" t="s">
        <v>135</v>
      </c>
      <c r="AY505" s="21" t="s">
        <v>167</v>
      </c>
      <c r="BE505" s="150">
        <f t="shared" si="14"/>
        <v>0</v>
      </c>
      <c r="BF505" s="150">
        <f t="shared" si="15"/>
        <v>0</v>
      </c>
      <c r="BG505" s="150">
        <f t="shared" si="16"/>
        <v>0</v>
      </c>
      <c r="BH505" s="150">
        <f t="shared" si="17"/>
        <v>0</v>
      </c>
      <c r="BI505" s="150">
        <f t="shared" si="18"/>
        <v>0</v>
      </c>
      <c r="BJ505" s="21" t="s">
        <v>21</v>
      </c>
      <c r="BK505" s="150">
        <f t="shared" si="19"/>
        <v>0</v>
      </c>
      <c r="BL505" s="21" t="s">
        <v>172</v>
      </c>
      <c r="BM505" s="21" t="s">
        <v>2129</v>
      </c>
    </row>
    <row r="506" spans="2:65" s="1" customFormat="1" ht="22.5" customHeight="1">
      <c r="B506" s="141"/>
      <c r="C506" s="142" t="s">
        <v>1019</v>
      </c>
      <c r="D506" s="142" t="s">
        <v>168</v>
      </c>
      <c r="E506" s="143" t="s">
        <v>2130</v>
      </c>
      <c r="F506" s="293" t="s">
        <v>2104</v>
      </c>
      <c r="G506" s="293"/>
      <c r="H506" s="293"/>
      <c r="I506" s="293"/>
      <c r="J506" s="144" t="s">
        <v>578</v>
      </c>
      <c r="K506" s="145">
        <v>1</v>
      </c>
      <c r="L506" s="294"/>
      <c r="M506" s="294"/>
      <c r="N506" s="294">
        <f t="shared" si="10"/>
        <v>0</v>
      </c>
      <c r="O506" s="294"/>
      <c r="P506" s="294"/>
      <c r="Q506" s="294"/>
      <c r="R506" s="146"/>
      <c r="T506" s="147" t="s">
        <v>5</v>
      </c>
      <c r="U506" s="44" t="s">
        <v>43</v>
      </c>
      <c r="V506" s="148">
        <v>25.283</v>
      </c>
      <c r="W506" s="148">
        <f t="shared" si="11"/>
        <v>25.283</v>
      </c>
      <c r="X506" s="148">
        <v>2.72625</v>
      </c>
      <c r="Y506" s="148">
        <f t="shared" si="12"/>
        <v>2.72625</v>
      </c>
      <c r="Z506" s="148">
        <v>0</v>
      </c>
      <c r="AA506" s="149">
        <f t="shared" si="13"/>
        <v>0</v>
      </c>
      <c r="AR506" s="21" t="s">
        <v>172</v>
      </c>
      <c r="AT506" s="21" t="s">
        <v>168</v>
      </c>
      <c r="AU506" s="21" t="s">
        <v>135</v>
      </c>
      <c r="AY506" s="21" t="s">
        <v>167</v>
      </c>
      <c r="BE506" s="150">
        <f t="shared" si="14"/>
        <v>0</v>
      </c>
      <c r="BF506" s="150">
        <f t="shared" si="15"/>
        <v>0</v>
      </c>
      <c r="BG506" s="150">
        <f t="shared" si="16"/>
        <v>0</v>
      </c>
      <c r="BH506" s="150">
        <f t="shared" si="17"/>
        <v>0</v>
      </c>
      <c r="BI506" s="150">
        <f t="shared" si="18"/>
        <v>0</v>
      </c>
      <c r="BJ506" s="21" t="s">
        <v>21</v>
      </c>
      <c r="BK506" s="150">
        <f t="shared" si="19"/>
        <v>0</v>
      </c>
      <c r="BL506" s="21" t="s">
        <v>172</v>
      </c>
      <c r="BM506" s="21" t="s">
        <v>2131</v>
      </c>
    </row>
    <row r="507" spans="2:65" s="1" customFormat="1" ht="31.5" customHeight="1">
      <c r="B507" s="141"/>
      <c r="C507" s="142" t="s">
        <v>1023</v>
      </c>
      <c r="D507" s="142" t="s">
        <v>168</v>
      </c>
      <c r="E507" s="143" t="s">
        <v>2132</v>
      </c>
      <c r="F507" s="293" t="s">
        <v>2133</v>
      </c>
      <c r="G507" s="293"/>
      <c r="H507" s="293"/>
      <c r="I507" s="293"/>
      <c r="J507" s="144" t="s">
        <v>578</v>
      </c>
      <c r="K507" s="145">
        <v>1</v>
      </c>
      <c r="L507" s="294"/>
      <c r="M507" s="294"/>
      <c r="N507" s="294">
        <f t="shared" si="10"/>
        <v>0</v>
      </c>
      <c r="O507" s="294"/>
      <c r="P507" s="294"/>
      <c r="Q507" s="294"/>
      <c r="R507" s="146"/>
      <c r="T507" s="147" t="s">
        <v>5</v>
      </c>
      <c r="U507" s="44" t="s">
        <v>43</v>
      </c>
      <c r="V507" s="148">
        <v>25.283</v>
      </c>
      <c r="W507" s="148">
        <f t="shared" si="11"/>
        <v>25.283</v>
      </c>
      <c r="X507" s="148">
        <v>2.72625</v>
      </c>
      <c r="Y507" s="148">
        <f t="shared" si="12"/>
        <v>2.72625</v>
      </c>
      <c r="Z507" s="148">
        <v>0</v>
      </c>
      <c r="AA507" s="149">
        <f t="shared" si="13"/>
        <v>0</v>
      </c>
      <c r="AR507" s="21" t="s">
        <v>172</v>
      </c>
      <c r="AT507" s="21" t="s">
        <v>168</v>
      </c>
      <c r="AU507" s="21" t="s">
        <v>135</v>
      </c>
      <c r="AY507" s="21" t="s">
        <v>167</v>
      </c>
      <c r="BE507" s="150">
        <f t="shared" si="14"/>
        <v>0</v>
      </c>
      <c r="BF507" s="150">
        <f t="shared" si="15"/>
        <v>0</v>
      </c>
      <c r="BG507" s="150">
        <f t="shared" si="16"/>
        <v>0</v>
      </c>
      <c r="BH507" s="150">
        <f t="shared" si="17"/>
        <v>0</v>
      </c>
      <c r="BI507" s="150">
        <f t="shared" si="18"/>
        <v>0</v>
      </c>
      <c r="BJ507" s="21" t="s">
        <v>21</v>
      </c>
      <c r="BK507" s="150">
        <f t="shared" si="19"/>
        <v>0</v>
      </c>
      <c r="BL507" s="21" t="s">
        <v>172</v>
      </c>
      <c r="BM507" s="21" t="s">
        <v>2134</v>
      </c>
    </row>
    <row r="508" spans="2:65" s="1" customFormat="1" ht="31.5" customHeight="1">
      <c r="B508" s="141"/>
      <c r="C508" s="142" t="s">
        <v>1027</v>
      </c>
      <c r="D508" s="142" t="s">
        <v>168</v>
      </c>
      <c r="E508" s="143" t="s">
        <v>2135</v>
      </c>
      <c r="F508" s="293" t="s">
        <v>2136</v>
      </c>
      <c r="G508" s="293"/>
      <c r="H508" s="293"/>
      <c r="I508" s="293"/>
      <c r="J508" s="144" t="s">
        <v>578</v>
      </c>
      <c r="K508" s="145">
        <v>1</v>
      </c>
      <c r="L508" s="294"/>
      <c r="M508" s="294"/>
      <c r="N508" s="294">
        <f t="shared" si="10"/>
        <v>0</v>
      </c>
      <c r="O508" s="294"/>
      <c r="P508" s="294"/>
      <c r="Q508" s="294"/>
      <c r="R508" s="146"/>
      <c r="T508" s="147" t="s">
        <v>5</v>
      </c>
      <c r="U508" s="44" t="s">
        <v>43</v>
      </c>
      <c r="V508" s="148">
        <v>25.283</v>
      </c>
      <c r="W508" s="148">
        <f t="shared" si="11"/>
        <v>25.283</v>
      </c>
      <c r="X508" s="148">
        <v>2.72625</v>
      </c>
      <c r="Y508" s="148">
        <f t="shared" si="12"/>
        <v>2.72625</v>
      </c>
      <c r="Z508" s="148">
        <v>0</v>
      </c>
      <c r="AA508" s="149">
        <f t="shared" si="13"/>
        <v>0</v>
      </c>
      <c r="AR508" s="21" t="s">
        <v>172</v>
      </c>
      <c r="AT508" s="21" t="s">
        <v>168</v>
      </c>
      <c r="AU508" s="21" t="s">
        <v>135</v>
      </c>
      <c r="AY508" s="21" t="s">
        <v>167</v>
      </c>
      <c r="BE508" s="150">
        <f t="shared" si="14"/>
        <v>0</v>
      </c>
      <c r="BF508" s="150">
        <f t="shared" si="15"/>
        <v>0</v>
      </c>
      <c r="BG508" s="150">
        <f t="shared" si="16"/>
        <v>0</v>
      </c>
      <c r="BH508" s="150">
        <f t="shared" si="17"/>
        <v>0</v>
      </c>
      <c r="BI508" s="150">
        <f t="shared" si="18"/>
        <v>0</v>
      </c>
      <c r="BJ508" s="21" t="s">
        <v>21</v>
      </c>
      <c r="BK508" s="150">
        <f t="shared" si="19"/>
        <v>0</v>
      </c>
      <c r="BL508" s="21" t="s">
        <v>172</v>
      </c>
      <c r="BM508" s="21" t="s">
        <v>2137</v>
      </c>
    </row>
    <row r="509" spans="2:65" s="1" customFormat="1" ht="22.5" customHeight="1">
      <c r="B509" s="141"/>
      <c r="C509" s="142" t="s">
        <v>26</v>
      </c>
      <c r="D509" s="142" t="s">
        <v>168</v>
      </c>
      <c r="E509" s="143" t="s">
        <v>2138</v>
      </c>
      <c r="F509" s="293" t="s">
        <v>2139</v>
      </c>
      <c r="G509" s="293"/>
      <c r="H509" s="293"/>
      <c r="I509" s="293"/>
      <c r="J509" s="144" t="s">
        <v>578</v>
      </c>
      <c r="K509" s="145">
        <v>1</v>
      </c>
      <c r="L509" s="294"/>
      <c r="M509" s="294"/>
      <c r="N509" s="294">
        <f t="shared" si="10"/>
        <v>0</v>
      </c>
      <c r="O509" s="294"/>
      <c r="P509" s="294"/>
      <c r="Q509" s="294"/>
      <c r="R509" s="146"/>
      <c r="T509" s="147" t="s">
        <v>5</v>
      </c>
      <c r="U509" s="44" t="s">
        <v>43</v>
      </c>
      <c r="V509" s="148">
        <v>25.283</v>
      </c>
      <c r="W509" s="148">
        <f t="shared" si="11"/>
        <v>25.283</v>
      </c>
      <c r="X509" s="148">
        <v>2.72625</v>
      </c>
      <c r="Y509" s="148">
        <f t="shared" si="12"/>
        <v>2.72625</v>
      </c>
      <c r="Z509" s="148">
        <v>0</v>
      </c>
      <c r="AA509" s="149">
        <f t="shared" si="13"/>
        <v>0</v>
      </c>
      <c r="AR509" s="21" t="s">
        <v>172</v>
      </c>
      <c r="AT509" s="21" t="s">
        <v>168</v>
      </c>
      <c r="AU509" s="21" t="s">
        <v>135</v>
      </c>
      <c r="AY509" s="21" t="s">
        <v>167</v>
      </c>
      <c r="BE509" s="150">
        <f t="shared" si="14"/>
        <v>0</v>
      </c>
      <c r="BF509" s="150">
        <f t="shared" si="15"/>
        <v>0</v>
      </c>
      <c r="BG509" s="150">
        <f t="shared" si="16"/>
        <v>0</v>
      </c>
      <c r="BH509" s="150">
        <f t="shared" si="17"/>
        <v>0</v>
      </c>
      <c r="BI509" s="150">
        <f t="shared" si="18"/>
        <v>0</v>
      </c>
      <c r="BJ509" s="21" t="s">
        <v>21</v>
      </c>
      <c r="BK509" s="150">
        <f t="shared" si="19"/>
        <v>0</v>
      </c>
      <c r="BL509" s="21" t="s">
        <v>172</v>
      </c>
      <c r="BM509" s="21" t="s">
        <v>2140</v>
      </c>
    </row>
    <row r="510" spans="2:65" s="1" customFormat="1" ht="22.5" customHeight="1">
      <c r="B510" s="141"/>
      <c r="C510" s="142" t="s">
        <v>1035</v>
      </c>
      <c r="D510" s="142" t="s">
        <v>168</v>
      </c>
      <c r="E510" s="143" t="s">
        <v>2141</v>
      </c>
      <c r="F510" s="293" t="s">
        <v>2142</v>
      </c>
      <c r="G510" s="293"/>
      <c r="H510" s="293"/>
      <c r="I510" s="293"/>
      <c r="J510" s="144" t="s">
        <v>578</v>
      </c>
      <c r="K510" s="145">
        <v>1</v>
      </c>
      <c r="L510" s="294"/>
      <c r="M510" s="294"/>
      <c r="N510" s="294">
        <f t="shared" si="10"/>
        <v>0</v>
      </c>
      <c r="O510" s="294"/>
      <c r="P510" s="294"/>
      <c r="Q510" s="294"/>
      <c r="R510" s="146"/>
      <c r="T510" s="147" t="s">
        <v>5</v>
      </c>
      <c r="U510" s="44" t="s">
        <v>43</v>
      </c>
      <c r="V510" s="148">
        <v>25.283</v>
      </c>
      <c r="W510" s="148">
        <f t="shared" si="11"/>
        <v>25.283</v>
      </c>
      <c r="X510" s="148">
        <v>2.72625</v>
      </c>
      <c r="Y510" s="148">
        <f t="shared" si="12"/>
        <v>2.72625</v>
      </c>
      <c r="Z510" s="148">
        <v>0</v>
      </c>
      <c r="AA510" s="149">
        <f t="shared" si="13"/>
        <v>0</v>
      </c>
      <c r="AR510" s="21" t="s">
        <v>172</v>
      </c>
      <c r="AT510" s="21" t="s">
        <v>168</v>
      </c>
      <c r="AU510" s="21" t="s">
        <v>135</v>
      </c>
      <c r="AY510" s="21" t="s">
        <v>167</v>
      </c>
      <c r="BE510" s="150">
        <f t="shared" si="14"/>
        <v>0</v>
      </c>
      <c r="BF510" s="150">
        <f t="shared" si="15"/>
        <v>0</v>
      </c>
      <c r="BG510" s="150">
        <f t="shared" si="16"/>
        <v>0</v>
      </c>
      <c r="BH510" s="150">
        <f t="shared" si="17"/>
        <v>0</v>
      </c>
      <c r="BI510" s="150">
        <f t="shared" si="18"/>
        <v>0</v>
      </c>
      <c r="BJ510" s="21" t="s">
        <v>21</v>
      </c>
      <c r="BK510" s="150">
        <f t="shared" si="19"/>
        <v>0</v>
      </c>
      <c r="BL510" s="21" t="s">
        <v>172</v>
      </c>
      <c r="BM510" s="21" t="s">
        <v>2143</v>
      </c>
    </row>
    <row r="511" spans="2:63" s="9" customFormat="1" ht="29.85" customHeight="1">
      <c r="B511" s="130"/>
      <c r="C511" s="131"/>
      <c r="D511" s="140" t="s">
        <v>1269</v>
      </c>
      <c r="E511" s="140"/>
      <c r="F511" s="140"/>
      <c r="G511" s="140"/>
      <c r="H511" s="140"/>
      <c r="I511" s="140"/>
      <c r="J511" s="140"/>
      <c r="K511" s="140"/>
      <c r="L511" s="140"/>
      <c r="M511" s="140"/>
      <c r="N511" s="310">
        <f>BK511</f>
        <v>0</v>
      </c>
      <c r="O511" s="311"/>
      <c r="P511" s="311"/>
      <c r="Q511" s="311"/>
      <c r="R511" s="133"/>
      <c r="T511" s="134"/>
      <c r="U511" s="131"/>
      <c r="V511" s="131"/>
      <c r="W511" s="135">
        <f>SUM(W512:W539)</f>
        <v>96.96989999999997</v>
      </c>
      <c r="X511" s="131"/>
      <c r="Y511" s="135">
        <f>SUM(Y512:Y539)</f>
        <v>5.0034600000000005</v>
      </c>
      <c r="Z511" s="131"/>
      <c r="AA511" s="136">
        <f>SUM(AA512:AA539)</f>
        <v>0</v>
      </c>
      <c r="AR511" s="137" t="s">
        <v>21</v>
      </c>
      <c r="AT511" s="138" t="s">
        <v>77</v>
      </c>
      <c r="AU511" s="138" t="s">
        <v>21</v>
      </c>
      <c r="AY511" s="137" t="s">
        <v>167</v>
      </c>
      <c r="BK511" s="139">
        <f>SUM(BK512:BK539)</f>
        <v>0</v>
      </c>
    </row>
    <row r="512" spans="2:65" s="1" customFormat="1" ht="44.25" customHeight="1">
      <c r="B512" s="141"/>
      <c r="C512" s="142" t="s">
        <v>1039</v>
      </c>
      <c r="D512" s="142" t="s">
        <v>168</v>
      </c>
      <c r="E512" s="143" t="s">
        <v>2144</v>
      </c>
      <c r="F512" s="293" t="s">
        <v>2145</v>
      </c>
      <c r="G512" s="293"/>
      <c r="H512" s="293"/>
      <c r="I512" s="293"/>
      <c r="J512" s="144" t="s">
        <v>578</v>
      </c>
      <c r="K512" s="145">
        <v>1</v>
      </c>
      <c r="L512" s="294"/>
      <c r="M512" s="294"/>
      <c r="N512" s="294">
        <f>ROUND(L512*K512,2)</f>
        <v>0</v>
      </c>
      <c r="O512" s="294"/>
      <c r="P512" s="294"/>
      <c r="Q512" s="294"/>
      <c r="R512" s="146"/>
      <c r="T512" s="147" t="s">
        <v>5</v>
      </c>
      <c r="U512" s="44" t="s">
        <v>43</v>
      </c>
      <c r="V512" s="148">
        <v>21.292</v>
      </c>
      <c r="W512" s="148">
        <f>V512*K512</f>
        <v>21.292</v>
      </c>
      <c r="X512" s="148">
        <v>2.11676</v>
      </c>
      <c r="Y512" s="148">
        <f>X512*K512</f>
        <v>2.11676</v>
      </c>
      <c r="Z512" s="148">
        <v>0</v>
      </c>
      <c r="AA512" s="149">
        <f>Z512*K512</f>
        <v>0</v>
      </c>
      <c r="AR512" s="21" t="s">
        <v>172</v>
      </c>
      <c r="AT512" s="21" t="s">
        <v>168</v>
      </c>
      <c r="AU512" s="21" t="s">
        <v>135</v>
      </c>
      <c r="AY512" s="21" t="s">
        <v>167</v>
      </c>
      <c r="BE512" s="150">
        <f>IF(U512="základní",N512,0)</f>
        <v>0</v>
      </c>
      <c r="BF512" s="150">
        <f>IF(U512="snížená",N512,0)</f>
        <v>0</v>
      </c>
      <c r="BG512" s="150">
        <f>IF(U512="zákl. přenesená",N512,0)</f>
        <v>0</v>
      </c>
      <c r="BH512" s="150">
        <f>IF(U512="sníž. přenesená",N512,0)</f>
        <v>0</v>
      </c>
      <c r="BI512" s="150">
        <f>IF(U512="nulová",N512,0)</f>
        <v>0</v>
      </c>
      <c r="BJ512" s="21" t="s">
        <v>21</v>
      </c>
      <c r="BK512" s="150">
        <f>ROUND(L512*K512,2)</f>
        <v>0</v>
      </c>
      <c r="BL512" s="21" t="s">
        <v>172</v>
      </c>
      <c r="BM512" s="21" t="s">
        <v>2146</v>
      </c>
    </row>
    <row r="513" spans="2:65" s="1" customFormat="1" ht="22.5" customHeight="1">
      <c r="B513" s="141"/>
      <c r="C513" s="142" t="s">
        <v>1043</v>
      </c>
      <c r="D513" s="142" t="s">
        <v>168</v>
      </c>
      <c r="E513" s="143" t="s">
        <v>1604</v>
      </c>
      <c r="F513" s="293" t="s">
        <v>1605</v>
      </c>
      <c r="G513" s="293"/>
      <c r="H513" s="293"/>
      <c r="I513" s="293"/>
      <c r="J513" s="144" t="s">
        <v>578</v>
      </c>
      <c r="K513" s="145">
        <v>1</v>
      </c>
      <c r="L513" s="294"/>
      <c r="M513" s="294"/>
      <c r="N513" s="294">
        <f>ROUND(L513*K513,2)</f>
        <v>0</v>
      </c>
      <c r="O513" s="294"/>
      <c r="P513" s="294"/>
      <c r="Q513" s="294"/>
      <c r="R513" s="146"/>
      <c r="T513" s="147" t="s">
        <v>5</v>
      </c>
      <c r="U513" s="44" t="s">
        <v>43</v>
      </c>
      <c r="V513" s="148">
        <v>21.292</v>
      </c>
      <c r="W513" s="148">
        <f>V513*K513</f>
        <v>21.292</v>
      </c>
      <c r="X513" s="148">
        <v>2.11676</v>
      </c>
      <c r="Y513" s="148">
        <f>X513*K513</f>
        <v>2.11676</v>
      </c>
      <c r="Z513" s="148">
        <v>0</v>
      </c>
      <c r="AA513" s="149">
        <f>Z513*K513</f>
        <v>0</v>
      </c>
      <c r="AR513" s="21" t="s">
        <v>172</v>
      </c>
      <c r="AT513" s="21" t="s">
        <v>168</v>
      </c>
      <c r="AU513" s="21" t="s">
        <v>135</v>
      </c>
      <c r="AY513" s="21" t="s">
        <v>167</v>
      </c>
      <c r="BE513" s="150">
        <f>IF(U513="základní",N513,0)</f>
        <v>0</v>
      </c>
      <c r="BF513" s="150">
        <f>IF(U513="snížená",N513,0)</f>
        <v>0</v>
      </c>
      <c r="BG513" s="150">
        <f>IF(U513="zákl. přenesená",N513,0)</f>
        <v>0</v>
      </c>
      <c r="BH513" s="150">
        <f>IF(U513="sníž. přenesená",N513,0)</f>
        <v>0</v>
      </c>
      <c r="BI513" s="150">
        <f>IF(U513="nulová",N513,0)</f>
        <v>0</v>
      </c>
      <c r="BJ513" s="21" t="s">
        <v>21</v>
      </c>
      <c r="BK513" s="150">
        <f>ROUND(L513*K513,2)</f>
        <v>0</v>
      </c>
      <c r="BL513" s="21" t="s">
        <v>172</v>
      </c>
      <c r="BM513" s="21" t="s">
        <v>1606</v>
      </c>
    </row>
    <row r="514" spans="2:65" s="1" customFormat="1" ht="22.5" customHeight="1">
      <c r="B514" s="141"/>
      <c r="C514" s="142" t="s">
        <v>1047</v>
      </c>
      <c r="D514" s="142" t="s">
        <v>168</v>
      </c>
      <c r="E514" s="143" t="s">
        <v>1586</v>
      </c>
      <c r="F514" s="293" t="s">
        <v>1587</v>
      </c>
      <c r="G514" s="293"/>
      <c r="H514" s="293"/>
      <c r="I514" s="293"/>
      <c r="J514" s="144" t="s">
        <v>578</v>
      </c>
      <c r="K514" s="145">
        <v>3</v>
      </c>
      <c r="L514" s="294"/>
      <c r="M514" s="294"/>
      <c r="N514" s="294">
        <f>ROUND(L514*K514,2)</f>
        <v>0</v>
      </c>
      <c r="O514" s="294"/>
      <c r="P514" s="294"/>
      <c r="Q514" s="294"/>
      <c r="R514" s="146"/>
      <c r="T514" s="147" t="s">
        <v>5</v>
      </c>
      <c r="U514" s="44" t="s">
        <v>43</v>
      </c>
      <c r="V514" s="148">
        <v>1.562</v>
      </c>
      <c r="W514" s="148">
        <f>V514*K514</f>
        <v>4.686</v>
      </c>
      <c r="X514" s="148">
        <v>0.00918</v>
      </c>
      <c r="Y514" s="148">
        <f>X514*K514</f>
        <v>0.027540000000000002</v>
      </c>
      <c r="Z514" s="148">
        <v>0</v>
      </c>
      <c r="AA514" s="149">
        <f>Z514*K514</f>
        <v>0</v>
      </c>
      <c r="AR514" s="21" t="s">
        <v>172</v>
      </c>
      <c r="AT514" s="21" t="s">
        <v>168</v>
      </c>
      <c r="AU514" s="21" t="s">
        <v>135</v>
      </c>
      <c r="AY514" s="21" t="s">
        <v>167</v>
      </c>
      <c r="BE514" s="150">
        <f>IF(U514="základní",N514,0)</f>
        <v>0</v>
      </c>
      <c r="BF514" s="150">
        <f>IF(U514="snížená",N514,0)</f>
        <v>0</v>
      </c>
      <c r="BG514" s="150">
        <f>IF(U514="zákl. přenesená",N514,0)</f>
        <v>0</v>
      </c>
      <c r="BH514" s="150">
        <f>IF(U514="sníž. přenesená",N514,0)</f>
        <v>0</v>
      </c>
      <c r="BI514" s="150">
        <f>IF(U514="nulová",N514,0)</f>
        <v>0</v>
      </c>
      <c r="BJ514" s="21" t="s">
        <v>21</v>
      </c>
      <c r="BK514" s="150">
        <f>ROUND(L514*K514,2)</f>
        <v>0</v>
      </c>
      <c r="BL514" s="21" t="s">
        <v>172</v>
      </c>
      <c r="BM514" s="21" t="s">
        <v>1607</v>
      </c>
    </row>
    <row r="515" spans="2:65" s="1" customFormat="1" ht="31.5" customHeight="1">
      <c r="B515" s="141"/>
      <c r="C515" s="178" t="s">
        <v>2147</v>
      </c>
      <c r="D515" s="178" t="s">
        <v>317</v>
      </c>
      <c r="E515" s="179" t="s">
        <v>1608</v>
      </c>
      <c r="F515" s="313" t="s">
        <v>1609</v>
      </c>
      <c r="G515" s="313"/>
      <c r="H515" s="313"/>
      <c r="I515" s="313"/>
      <c r="J515" s="180" t="s">
        <v>578</v>
      </c>
      <c r="K515" s="181">
        <v>3</v>
      </c>
      <c r="L515" s="314"/>
      <c r="M515" s="314"/>
      <c r="N515" s="314">
        <f>ROUND(L515*K515,2)</f>
        <v>0</v>
      </c>
      <c r="O515" s="294"/>
      <c r="P515" s="294"/>
      <c r="Q515" s="294"/>
      <c r="R515" s="146"/>
      <c r="T515" s="147" t="s">
        <v>5</v>
      </c>
      <c r="U515" s="44" t="s">
        <v>43</v>
      </c>
      <c r="V515" s="148">
        <v>0</v>
      </c>
      <c r="W515" s="148">
        <f>V515*K515</f>
        <v>0</v>
      </c>
      <c r="X515" s="148">
        <v>0.196</v>
      </c>
      <c r="Y515" s="148">
        <f>X515*K515</f>
        <v>0.5880000000000001</v>
      </c>
      <c r="Z515" s="148">
        <v>0</v>
      </c>
      <c r="AA515" s="149">
        <f>Z515*K515</f>
        <v>0</v>
      </c>
      <c r="AR515" s="21" t="s">
        <v>213</v>
      </c>
      <c r="AT515" s="21" t="s">
        <v>317</v>
      </c>
      <c r="AU515" s="21" t="s">
        <v>135</v>
      </c>
      <c r="AY515" s="21" t="s">
        <v>167</v>
      </c>
      <c r="BE515" s="150">
        <f>IF(U515="základní",N515,0)</f>
        <v>0</v>
      </c>
      <c r="BF515" s="150">
        <f>IF(U515="snížená",N515,0)</f>
        <v>0</v>
      </c>
      <c r="BG515" s="150">
        <f>IF(U515="zákl. přenesená",N515,0)</f>
        <v>0</v>
      </c>
      <c r="BH515" s="150">
        <f>IF(U515="sníž. přenesená",N515,0)</f>
        <v>0</v>
      </c>
      <c r="BI515" s="150">
        <f>IF(U515="nulová",N515,0)</f>
        <v>0</v>
      </c>
      <c r="BJ515" s="21" t="s">
        <v>21</v>
      </c>
      <c r="BK515" s="150">
        <f>ROUND(L515*K515,2)</f>
        <v>0</v>
      </c>
      <c r="BL515" s="21" t="s">
        <v>172</v>
      </c>
      <c r="BM515" s="21" t="s">
        <v>1610</v>
      </c>
    </row>
    <row r="516" spans="2:65" s="1" customFormat="1" ht="31.5" customHeight="1">
      <c r="B516" s="141"/>
      <c r="C516" s="142" t="s">
        <v>2148</v>
      </c>
      <c r="D516" s="142" t="s">
        <v>168</v>
      </c>
      <c r="E516" s="143" t="s">
        <v>1611</v>
      </c>
      <c r="F516" s="293" t="s">
        <v>1612</v>
      </c>
      <c r="G516" s="293"/>
      <c r="H516" s="293"/>
      <c r="I516" s="293"/>
      <c r="J516" s="144" t="s">
        <v>176</v>
      </c>
      <c r="K516" s="145">
        <v>11.9</v>
      </c>
      <c r="L516" s="294"/>
      <c r="M516" s="294"/>
      <c r="N516" s="294">
        <f>ROUND(L516*K516,2)</f>
        <v>0</v>
      </c>
      <c r="O516" s="294"/>
      <c r="P516" s="294"/>
      <c r="Q516" s="294"/>
      <c r="R516" s="146"/>
      <c r="T516" s="147" t="s">
        <v>5</v>
      </c>
      <c r="U516" s="44" t="s">
        <v>43</v>
      </c>
      <c r="V516" s="148">
        <v>1.319</v>
      </c>
      <c r="W516" s="148">
        <f>V516*K516</f>
        <v>15.6961</v>
      </c>
      <c r="X516" s="148">
        <v>0</v>
      </c>
      <c r="Y516" s="148">
        <f>X516*K516</f>
        <v>0</v>
      </c>
      <c r="Z516" s="148">
        <v>0</v>
      </c>
      <c r="AA516" s="149">
        <f>Z516*K516</f>
        <v>0</v>
      </c>
      <c r="AR516" s="21" t="s">
        <v>172</v>
      </c>
      <c r="AT516" s="21" t="s">
        <v>168</v>
      </c>
      <c r="AU516" s="21" t="s">
        <v>135</v>
      </c>
      <c r="AY516" s="21" t="s">
        <v>167</v>
      </c>
      <c r="BE516" s="150">
        <f>IF(U516="základní",N516,0)</f>
        <v>0</v>
      </c>
      <c r="BF516" s="150">
        <f>IF(U516="snížená",N516,0)</f>
        <v>0</v>
      </c>
      <c r="BG516" s="150">
        <f>IF(U516="zákl. přenesená",N516,0)</f>
        <v>0</v>
      </c>
      <c r="BH516" s="150">
        <f>IF(U516="sníž. přenesená",N516,0)</f>
        <v>0</v>
      </c>
      <c r="BI516" s="150">
        <f>IF(U516="nulová",N516,0)</f>
        <v>0</v>
      </c>
      <c r="BJ516" s="21" t="s">
        <v>21</v>
      </c>
      <c r="BK516" s="150">
        <f>ROUND(L516*K516,2)</f>
        <v>0</v>
      </c>
      <c r="BL516" s="21" t="s">
        <v>172</v>
      </c>
      <c r="BM516" s="21" t="s">
        <v>1613</v>
      </c>
    </row>
    <row r="517" spans="2:51" s="10" customFormat="1" ht="22.5" customHeight="1">
      <c r="B517" s="151"/>
      <c r="C517" s="152"/>
      <c r="D517" s="152"/>
      <c r="E517" s="153" t="s">
        <v>5</v>
      </c>
      <c r="F517" s="300" t="s">
        <v>2149</v>
      </c>
      <c r="G517" s="301"/>
      <c r="H517" s="301"/>
      <c r="I517" s="301"/>
      <c r="J517" s="152"/>
      <c r="K517" s="154" t="s">
        <v>5</v>
      </c>
      <c r="L517" s="152"/>
      <c r="M517" s="152"/>
      <c r="N517" s="152"/>
      <c r="O517" s="152"/>
      <c r="P517" s="152"/>
      <c r="Q517" s="152"/>
      <c r="R517" s="155"/>
      <c r="T517" s="156"/>
      <c r="U517" s="152"/>
      <c r="V517" s="152"/>
      <c r="W517" s="152"/>
      <c r="X517" s="152"/>
      <c r="Y517" s="152"/>
      <c r="Z517" s="152"/>
      <c r="AA517" s="157"/>
      <c r="AT517" s="158" t="s">
        <v>179</v>
      </c>
      <c r="AU517" s="158" t="s">
        <v>135</v>
      </c>
      <c r="AV517" s="10" t="s">
        <v>21</v>
      </c>
      <c r="AW517" s="10" t="s">
        <v>35</v>
      </c>
      <c r="AX517" s="10" t="s">
        <v>78</v>
      </c>
      <c r="AY517" s="158" t="s">
        <v>167</v>
      </c>
    </row>
    <row r="518" spans="2:51" s="11" customFormat="1" ht="22.5" customHeight="1">
      <c r="B518" s="159"/>
      <c r="C518" s="160"/>
      <c r="D518" s="160"/>
      <c r="E518" s="161" t="s">
        <v>5</v>
      </c>
      <c r="F518" s="302" t="s">
        <v>1615</v>
      </c>
      <c r="G518" s="303"/>
      <c r="H518" s="303"/>
      <c r="I518" s="303"/>
      <c r="J518" s="160"/>
      <c r="K518" s="162">
        <v>7.973</v>
      </c>
      <c r="L518" s="160"/>
      <c r="M518" s="160"/>
      <c r="N518" s="160"/>
      <c r="O518" s="160"/>
      <c r="P518" s="160"/>
      <c r="Q518" s="160"/>
      <c r="R518" s="163"/>
      <c r="T518" s="164"/>
      <c r="U518" s="160"/>
      <c r="V518" s="160"/>
      <c r="W518" s="160"/>
      <c r="X518" s="160"/>
      <c r="Y518" s="160"/>
      <c r="Z518" s="160"/>
      <c r="AA518" s="165"/>
      <c r="AT518" s="166" t="s">
        <v>179</v>
      </c>
      <c r="AU518" s="166" t="s">
        <v>135</v>
      </c>
      <c r="AV518" s="11" t="s">
        <v>135</v>
      </c>
      <c r="AW518" s="11" t="s">
        <v>35</v>
      </c>
      <c r="AX518" s="11" t="s">
        <v>78</v>
      </c>
      <c r="AY518" s="166" t="s">
        <v>167</v>
      </c>
    </row>
    <row r="519" spans="2:51" s="10" customFormat="1" ht="22.5" customHeight="1">
      <c r="B519" s="151"/>
      <c r="C519" s="152"/>
      <c r="D519" s="152"/>
      <c r="E519" s="153" t="s">
        <v>5</v>
      </c>
      <c r="F519" s="304" t="s">
        <v>2150</v>
      </c>
      <c r="G519" s="305"/>
      <c r="H519" s="305"/>
      <c r="I519" s="305"/>
      <c r="J519" s="152"/>
      <c r="K519" s="154" t="s">
        <v>5</v>
      </c>
      <c r="L519" s="152"/>
      <c r="M519" s="152"/>
      <c r="N519" s="152"/>
      <c r="O519" s="152"/>
      <c r="P519" s="152"/>
      <c r="Q519" s="152"/>
      <c r="R519" s="155"/>
      <c r="T519" s="156"/>
      <c r="U519" s="152"/>
      <c r="V519" s="152"/>
      <c r="W519" s="152"/>
      <c r="X519" s="152"/>
      <c r="Y519" s="152"/>
      <c r="Z519" s="152"/>
      <c r="AA519" s="157"/>
      <c r="AT519" s="158" t="s">
        <v>179</v>
      </c>
      <c r="AU519" s="158" t="s">
        <v>135</v>
      </c>
      <c r="AV519" s="10" t="s">
        <v>21</v>
      </c>
      <c r="AW519" s="10" t="s">
        <v>35</v>
      </c>
      <c r="AX519" s="10" t="s">
        <v>78</v>
      </c>
      <c r="AY519" s="158" t="s">
        <v>167</v>
      </c>
    </row>
    <row r="520" spans="2:51" s="11" customFormat="1" ht="22.5" customHeight="1">
      <c r="B520" s="159"/>
      <c r="C520" s="160"/>
      <c r="D520" s="160"/>
      <c r="E520" s="161" t="s">
        <v>5</v>
      </c>
      <c r="F520" s="302" t="s">
        <v>1617</v>
      </c>
      <c r="G520" s="303"/>
      <c r="H520" s="303"/>
      <c r="I520" s="303"/>
      <c r="J520" s="160"/>
      <c r="K520" s="162">
        <v>3.927</v>
      </c>
      <c r="L520" s="160"/>
      <c r="M520" s="160"/>
      <c r="N520" s="160"/>
      <c r="O520" s="160"/>
      <c r="P520" s="160"/>
      <c r="Q520" s="160"/>
      <c r="R520" s="163"/>
      <c r="T520" s="164"/>
      <c r="U520" s="160"/>
      <c r="V520" s="160"/>
      <c r="W520" s="160"/>
      <c r="X520" s="160"/>
      <c r="Y520" s="160"/>
      <c r="Z520" s="160"/>
      <c r="AA520" s="165"/>
      <c r="AT520" s="166" t="s">
        <v>179</v>
      </c>
      <c r="AU520" s="166" t="s">
        <v>135</v>
      </c>
      <c r="AV520" s="11" t="s">
        <v>135</v>
      </c>
      <c r="AW520" s="11" t="s">
        <v>35</v>
      </c>
      <c r="AX520" s="11" t="s">
        <v>78</v>
      </c>
      <c r="AY520" s="166" t="s">
        <v>167</v>
      </c>
    </row>
    <row r="521" spans="2:51" s="12" customFormat="1" ht="22.5" customHeight="1">
      <c r="B521" s="167"/>
      <c r="C521" s="168"/>
      <c r="D521" s="168"/>
      <c r="E521" s="169" t="s">
        <v>5</v>
      </c>
      <c r="F521" s="306" t="s">
        <v>183</v>
      </c>
      <c r="G521" s="307"/>
      <c r="H521" s="307"/>
      <c r="I521" s="307"/>
      <c r="J521" s="168"/>
      <c r="K521" s="170">
        <v>11.9</v>
      </c>
      <c r="L521" s="168"/>
      <c r="M521" s="168"/>
      <c r="N521" s="168"/>
      <c r="O521" s="168"/>
      <c r="P521" s="168"/>
      <c r="Q521" s="168"/>
      <c r="R521" s="171"/>
      <c r="T521" s="172"/>
      <c r="U521" s="168"/>
      <c r="V521" s="168"/>
      <c r="W521" s="168"/>
      <c r="X521" s="168"/>
      <c r="Y521" s="168"/>
      <c r="Z521" s="168"/>
      <c r="AA521" s="173"/>
      <c r="AT521" s="174" t="s">
        <v>179</v>
      </c>
      <c r="AU521" s="174" t="s">
        <v>135</v>
      </c>
      <c r="AV521" s="12" t="s">
        <v>172</v>
      </c>
      <c r="AW521" s="12" t="s">
        <v>35</v>
      </c>
      <c r="AX521" s="12" t="s">
        <v>21</v>
      </c>
      <c r="AY521" s="174" t="s">
        <v>167</v>
      </c>
    </row>
    <row r="522" spans="2:65" s="1" customFormat="1" ht="22.5" customHeight="1">
      <c r="B522" s="141"/>
      <c r="C522" s="142" t="s">
        <v>2151</v>
      </c>
      <c r="D522" s="142" t="s">
        <v>168</v>
      </c>
      <c r="E522" s="143" t="s">
        <v>1618</v>
      </c>
      <c r="F522" s="293" t="s">
        <v>1619</v>
      </c>
      <c r="G522" s="293"/>
      <c r="H522" s="293"/>
      <c r="I522" s="293"/>
      <c r="J522" s="144" t="s">
        <v>176</v>
      </c>
      <c r="K522" s="145">
        <v>4.2</v>
      </c>
      <c r="L522" s="294"/>
      <c r="M522" s="294"/>
      <c r="N522" s="294">
        <f>ROUND(L522*K522,2)</f>
        <v>0</v>
      </c>
      <c r="O522" s="294"/>
      <c r="P522" s="294"/>
      <c r="Q522" s="294"/>
      <c r="R522" s="146"/>
      <c r="T522" s="147" t="s">
        <v>5</v>
      </c>
      <c r="U522" s="44" t="s">
        <v>43</v>
      </c>
      <c r="V522" s="148">
        <v>1.319</v>
      </c>
      <c r="W522" s="148">
        <f>V522*K522</f>
        <v>5.5398</v>
      </c>
      <c r="X522" s="148">
        <v>0</v>
      </c>
      <c r="Y522" s="148">
        <f>X522*K522</f>
        <v>0</v>
      </c>
      <c r="Z522" s="148">
        <v>0</v>
      </c>
      <c r="AA522" s="149">
        <f>Z522*K522</f>
        <v>0</v>
      </c>
      <c r="AR522" s="21" t="s">
        <v>172</v>
      </c>
      <c r="AT522" s="21" t="s">
        <v>168</v>
      </c>
      <c r="AU522" s="21" t="s">
        <v>135</v>
      </c>
      <c r="AY522" s="21" t="s">
        <v>167</v>
      </c>
      <c r="BE522" s="150">
        <f>IF(U522="základní",N522,0)</f>
        <v>0</v>
      </c>
      <c r="BF522" s="150">
        <f>IF(U522="snížená",N522,0)</f>
        <v>0</v>
      </c>
      <c r="BG522" s="150">
        <f>IF(U522="zákl. přenesená",N522,0)</f>
        <v>0</v>
      </c>
      <c r="BH522" s="150">
        <f>IF(U522="sníž. přenesená",N522,0)</f>
        <v>0</v>
      </c>
      <c r="BI522" s="150">
        <f>IF(U522="nulová",N522,0)</f>
        <v>0</v>
      </c>
      <c r="BJ522" s="21" t="s">
        <v>21</v>
      </c>
      <c r="BK522" s="150">
        <f>ROUND(L522*K522,2)</f>
        <v>0</v>
      </c>
      <c r="BL522" s="21" t="s">
        <v>172</v>
      </c>
      <c r="BM522" s="21" t="s">
        <v>1620</v>
      </c>
    </row>
    <row r="523" spans="2:51" s="10" customFormat="1" ht="22.5" customHeight="1">
      <c r="B523" s="151"/>
      <c r="C523" s="152"/>
      <c r="D523" s="152"/>
      <c r="E523" s="153" t="s">
        <v>5</v>
      </c>
      <c r="F523" s="300" t="s">
        <v>2152</v>
      </c>
      <c r="G523" s="301"/>
      <c r="H523" s="301"/>
      <c r="I523" s="301"/>
      <c r="J523" s="152"/>
      <c r="K523" s="154" t="s">
        <v>5</v>
      </c>
      <c r="L523" s="152"/>
      <c r="M523" s="152"/>
      <c r="N523" s="152"/>
      <c r="O523" s="152"/>
      <c r="P523" s="152"/>
      <c r="Q523" s="152"/>
      <c r="R523" s="155"/>
      <c r="T523" s="156"/>
      <c r="U523" s="152"/>
      <c r="V523" s="152"/>
      <c r="W523" s="152"/>
      <c r="X523" s="152"/>
      <c r="Y523" s="152"/>
      <c r="Z523" s="152"/>
      <c r="AA523" s="157"/>
      <c r="AT523" s="158" t="s">
        <v>179</v>
      </c>
      <c r="AU523" s="158" t="s">
        <v>135</v>
      </c>
      <c r="AV523" s="10" t="s">
        <v>21</v>
      </c>
      <c r="AW523" s="10" t="s">
        <v>35</v>
      </c>
      <c r="AX523" s="10" t="s">
        <v>78</v>
      </c>
      <c r="AY523" s="158" t="s">
        <v>167</v>
      </c>
    </row>
    <row r="524" spans="2:51" s="11" customFormat="1" ht="22.5" customHeight="1">
      <c r="B524" s="159"/>
      <c r="C524" s="160"/>
      <c r="D524" s="160"/>
      <c r="E524" s="161" t="s">
        <v>5</v>
      </c>
      <c r="F524" s="302" t="s">
        <v>1622</v>
      </c>
      <c r="G524" s="303"/>
      <c r="H524" s="303"/>
      <c r="I524" s="303"/>
      <c r="J524" s="160"/>
      <c r="K524" s="162">
        <v>4.2</v>
      </c>
      <c r="L524" s="160"/>
      <c r="M524" s="160"/>
      <c r="N524" s="160"/>
      <c r="O524" s="160"/>
      <c r="P524" s="160"/>
      <c r="Q524" s="160"/>
      <c r="R524" s="163"/>
      <c r="T524" s="164"/>
      <c r="U524" s="160"/>
      <c r="V524" s="160"/>
      <c r="W524" s="160"/>
      <c r="X524" s="160"/>
      <c r="Y524" s="160"/>
      <c r="Z524" s="160"/>
      <c r="AA524" s="165"/>
      <c r="AT524" s="166" t="s">
        <v>179</v>
      </c>
      <c r="AU524" s="166" t="s">
        <v>135</v>
      </c>
      <c r="AV524" s="11" t="s">
        <v>135</v>
      </c>
      <c r="AW524" s="11" t="s">
        <v>35</v>
      </c>
      <c r="AX524" s="11" t="s">
        <v>21</v>
      </c>
      <c r="AY524" s="166" t="s">
        <v>167</v>
      </c>
    </row>
    <row r="525" spans="2:65" s="1" customFormat="1" ht="22.5" customHeight="1">
      <c r="B525" s="141"/>
      <c r="C525" s="142" t="s">
        <v>2153</v>
      </c>
      <c r="D525" s="142" t="s">
        <v>168</v>
      </c>
      <c r="E525" s="143" t="s">
        <v>1623</v>
      </c>
      <c r="F525" s="293" t="s">
        <v>1624</v>
      </c>
      <c r="G525" s="293"/>
      <c r="H525" s="293"/>
      <c r="I525" s="293"/>
      <c r="J525" s="144" t="s">
        <v>578</v>
      </c>
      <c r="K525" s="145">
        <v>2</v>
      </c>
      <c r="L525" s="294"/>
      <c r="M525" s="294"/>
      <c r="N525" s="294">
        <f aca="true" t="shared" si="20" ref="N525:N539">ROUND(L525*K525,2)</f>
        <v>0</v>
      </c>
      <c r="O525" s="294"/>
      <c r="P525" s="294"/>
      <c r="Q525" s="294"/>
      <c r="R525" s="146"/>
      <c r="T525" s="147" t="s">
        <v>5</v>
      </c>
      <c r="U525" s="44" t="s">
        <v>43</v>
      </c>
      <c r="V525" s="148">
        <v>1.281</v>
      </c>
      <c r="W525" s="148">
        <f aca="true" t="shared" si="21" ref="W525:W539">V525*K525</f>
        <v>2.562</v>
      </c>
      <c r="X525" s="148">
        <v>0.00035</v>
      </c>
      <c r="Y525" s="148">
        <f aca="true" t="shared" si="22" ref="Y525:Y539">X525*K525</f>
        <v>0.0007</v>
      </c>
      <c r="Z525" s="148">
        <v>0</v>
      </c>
      <c r="AA525" s="149">
        <f aca="true" t="shared" si="23" ref="AA525:AA539">Z525*K525</f>
        <v>0</v>
      </c>
      <c r="AR525" s="21" t="s">
        <v>585</v>
      </c>
      <c r="AT525" s="21" t="s">
        <v>168</v>
      </c>
      <c r="AU525" s="21" t="s">
        <v>135</v>
      </c>
      <c r="AY525" s="21" t="s">
        <v>167</v>
      </c>
      <c r="BE525" s="150">
        <f aca="true" t="shared" si="24" ref="BE525:BE539">IF(U525="základní",N525,0)</f>
        <v>0</v>
      </c>
      <c r="BF525" s="150">
        <f aca="true" t="shared" si="25" ref="BF525:BF539">IF(U525="snížená",N525,0)</f>
        <v>0</v>
      </c>
      <c r="BG525" s="150">
        <f aca="true" t="shared" si="26" ref="BG525:BG539">IF(U525="zákl. přenesená",N525,0)</f>
        <v>0</v>
      </c>
      <c r="BH525" s="150">
        <f aca="true" t="shared" si="27" ref="BH525:BH539">IF(U525="sníž. přenesená",N525,0)</f>
        <v>0</v>
      </c>
      <c r="BI525" s="150">
        <f aca="true" t="shared" si="28" ref="BI525:BI539">IF(U525="nulová",N525,0)</f>
        <v>0</v>
      </c>
      <c r="BJ525" s="21" t="s">
        <v>21</v>
      </c>
      <c r="BK525" s="150">
        <f aca="true" t="shared" si="29" ref="BK525:BK539">ROUND(L525*K525,2)</f>
        <v>0</v>
      </c>
      <c r="BL525" s="21" t="s">
        <v>585</v>
      </c>
      <c r="BM525" s="21" t="s">
        <v>1625</v>
      </c>
    </row>
    <row r="526" spans="2:65" s="1" customFormat="1" ht="44.25" customHeight="1">
      <c r="B526" s="141"/>
      <c r="C526" s="178" t="s">
        <v>2154</v>
      </c>
      <c r="D526" s="178" t="s">
        <v>317</v>
      </c>
      <c r="E526" s="179" t="s">
        <v>1626</v>
      </c>
      <c r="F526" s="313" t="s">
        <v>1627</v>
      </c>
      <c r="G526" s="313"/>
      <c r="H526" s="313"/>
      <c r="I526" s="313"/>
      <c r="J526" s="180" t="s">
        <v>578</v>
      </c>
      <c r="K526" s="181">
        <v>2</v>
      </c>
      <c r="L526" s="314"/>
      <c r="M526" s="314"/>
      <c r="N526" s="314">
        <f t="shared" si="20"/>
        <v>0</v>
      </c>
      <c r="O526" s="294"/>
      <c r="P526" s="294"/>
      <c r="Q526" s="294"/>
      <c r="R526" s="146"/>
      <c r="T526" s="147" t="s">
        <v>5</v>
      </c>
      <c r="U526" s="44" t="s">
        <v>43</v>
      </c>
      <c r="V526" s="148">
        <v>0</v>
      </c>
      <c r="W526" s="148">
        <f t="shared" si="21"/>
        <v>0</v>
      </c>
      <c r="X526" s="148">
        <v>0.032</v>
      </c>
      <c r="Y526" s="148">
        <f t="shared" si="22"/>
        <v>0.064</v>
      </c>
      <c r="Z526" s="148">
        <v>0</v>
      </c>
      <c r="AA526" s="149">
        <f t="shared" si="23"/>
        <v>0</v>
      </c>
      <c r="AR526" s="21" t="s">
        <v>213</v>
      </c>
      <c r="AT526" s="21" t="s">
        <v>317</v>
      </c>
      <c r="AU526" s="21" t="s">
        <v>135</v>
      </c>
      <c r="AY526" s="21" t="s">
        <v>167</v>
      </c>
      <c r="BE526" s="150">
        <f t="shared" si="24"/>
        <v>0</v>
      </c>
      <c r="BF526" s="150">
        <f t="shared" si="25"/>
        <v>0</v>
      </c>
      <c r="BG526" s="150">
        <f t="shared" si="26"/>
        <v>0</v>
      </c>
      <c r="BH526" s="150">
        <f t="shared" si="27"/>
        <v>0</v>
      </c>
      <c r="BI526" s="150">
        <f t="shared" si="28"/>
        <v>0</v>
      </c>
      <c r="BJ526" s="21" t="s">
        <v>21</v>
      </c>
      <c r="BK526" s="150">
        <f t="shared" si="29"/>
        <v>0</v>
      </c>
      <c r="BL526" s="21" t="s">
        <v>172</v>
      </c>
      <c r="BM526" s="21" t="s">
        <v>1628</v>
      </c>
    </row>
    <row r="527" spans="2:65" s="1" customFormat="1" ht="22.5" customHeight="1">
      <c r="B527" s="141"/>
      <c r="C527" s="142" t="s">
        <v>2155</v>
      </c>
      <c r="D527" s="142" t="s">
        <v>168</v>
      </c>
      <c r="E527" s="143" t="s">
        <v>1629</v>
      </c>
      <c r="F527" s="293" t="s">
        <v>1630</v>
      </c>
      <c r="G527" s="293"/>
      <c r="H527" s="293"/>
      <c r="I527" s="293"/>
      <c r="J527" s="144" t="s">
        <v>171</v>
      </c>
      <c r="K527" s="145">
        <v>2</v>
      </c>
      <c r="L527" s="294"/>
      <c r="M527" s="294"/>
      <c r="N527" s="294">
        <f t="shared" si="20"/>
        <v>0</v>
      </c>
      <c r="O527" s="294"/>
      <c r="P527" s="294"/>
      <c r="Q527" s="294"/>
      <c r="R527" s="146"/>
      <c r="T527" s="147" t="s">
        <v>5</v>
      </c>
      <c r="U527" s="44" t="s">
        <v>43</v>
      </c>
      <c r="V527" s="148">
        <v>1.281</v>
      </c>
      <c r="W527" s="148">
        <f t="shared" si="21"/>
        <v>2.562</v>
      </c>
      <c r="X527" s="148">
        <v>0.00035</v>
      </c>
      <c r="Y527" s="148">
        <f t="shared" si="22"/>
        <v>0.0007</v>
      </c>
      <c r="Z527" s="148">
        <v>0</v>
      </c>
      <c r="AA527" s="149">
        <f t="shared" si="23"/>
        <v>0</v>
      </c>
      <c r="AR527" s="21" t="s">
        <v>585</v>
      </c>
      <c r="AT527" s="21" t="s">
        <v>168</v>
      </c>
      <c r="AU527" s="21" t="s">
        <v>135</v>
      </c>
      <c r="AY527" s="21" t="s">
        <v>167</v>
      </c>
      <c r="BE527" s="150">
        <f t="shared" si="24"/>
        <v>0</v>
      </c>
      <c r="BF527" s="150">
        <f t="shared" si="25"/>
        <v>0</v>
      </c>
      <c r="BG527" s="150">
        <f t="shared" si="26"/>
        <v>0</v>
      </c>
      <c r="BH527" s="150">
        <f t="shared" si="27"/>
        <v>0</v>
      </c>
      <c r="BI527" s="150">
        <f t="shared" si="28"/>
        <v>0</v>
      </c>
      <c r="BJ527" s="21" t="s">
        <v>21</v>
      </c>
      <c r="BK527" s="150">
        <f t="shared" si="29"/>
        <v>0</v>
      </c>
      <c r="BL527" s="21" t="s">
        <v>585</v>
      </c>
      <c r="BM527" s="21" t="s">
        <v>1631</v>
      </c>
    </row>
    <row r="528" spans="2:65" s="1" customFormat="1" ht="22.5" customHeight="1">
      <c r="B528" s="141"/>
      <c r="C528" s="142" t="s">
        <v>2156</v>
      </c>
      <c r="D528" s="142" t="s">
        <v>168</v>
      </c>
      <c r="E528" s="143" t="s">
        <v>1632</v>
      </c>
      <c r="F528" s="293" t="s">
        <v>1633</v>
      </c>
      <c r="G528" s="293"/>
      <c r="H528" s="293"/>
      <c r="I528" s="293"/>
      <c r="J528" s="144" t="s">
        <v>259</v>
      </c>
      <c r="K528" s="145">
        <v>12</v>
      </c>
      <c r="L528" s="294"/>
      <c r="M528" s="294"/>
      <c r="N528" s="294">
        <f t="shared" si="20"/>
        <v>0</v>
      </c>
      <c r="O528" s="294"/>
      <c r="P528" s="294"/>
      <c r="Q528" s="294"/>
      <c r="R528" s="146"/>
      <c r="T528" s="147" t="s">
        <v>5</v>
      </c>
      <c r="U528" s="44" t="s">
        <v>43</v>
      </c>
      <c r="V528" s="148">
        <v>1.281</v>
      </c>
      <c r="W528" s="148">
        <f t="shared" si="21"/>
        <v>15.372</v>
      </c>
      <c r="X528" s="148">
        <v>0.00035</v>
      </c>
      <c r="Y528" s="148">
        <f t="shared" si="22"/>
        <v>0.0042</v>
      </c>
      <c r="Z528" s="148">
        <v>0</v>
      </c>
      <c r="AA528" s="149">
        <f t="shared" si="23"/>
        <v>0</v>
      </c>
      <c r="AR528" s="21" t="s">
        <v>585</v>
      </c>
      <c r="AT528" s="21" t="s">
        <v>168</v>
      </c>
      <c r="AU528" s="21" t="s">
        <v>135</v>
      </c>
      <c r="AY528" s="21" t="s">
        <v>167</v>
      </c>
      <c r="BE528" s="150">
        <f t="shared" si="24"/>
        <v>0</v>
      </c>
      <c r="BF528" s="150">
        <f t="shared" si="25"/>
        <v>0</v>
      </c>
      <c r="BG528" s="150">
        <f t="shared" si="26"/>
        <v>0</v>
      </c>
      <c r="BH528" s="150">
        <f t="shared" si="27"/>
        <v>0</v>
      </c>
      <c r="BI528" s="150">
        <f t="shared" si="28"/>
        <v>0</v>
      </c>
      <c r="BJ528" s="21" t="s">
        <v>21</v>
      </c>
      <c r="BK528" s="150">
        <f t="shared" si="29"/>
        <v>0</v>
      </c>
      <c r="BL528" s="21" t="s">
        <v>585</v>
      </c>
      <c r="BM528" s="21" t="s">
        <v>1634</v>
      </c>
    </row>
    <row r="529" spans="2:65" s="1" customFormat="1" ht="44.25" customHeight="1">
      <c r="B529" s="141"/>
      <c r="C529" s="142" t="s">
        <v>2157</v>
      </c>
      <c r="D529" s="142" t="s">
        <v>168</v>
      </c>
      <c r="E529" s="143" t="s">
        <v>1635</v>
      </c>
      <c r="F529" s="293" t="s">
        <v>1636</v>
      </c>
      <c r="G529" s="293"/>
      <c r="H529" s="293"/>
      <c r="I529" s="293"/>
      <c r="J529" s="144" t="s">
        <v>259</v>
      </c>
      <c r="K529" s="145">
        <v>10</v>
      </c>
      <c r="L529" s="294"/>
      <c r="M529" s="294"/>
      <c r="N529" s="294">
        <f t="shared" si="20"/>
        <v>0</v>
      </c>
      <c r="O529" s="294"/>
      <c r="P529" s="294"/>
      <c r="Q529" s="294"/>
      <c r="R529" s="146"/>
      <c r="T529" s="147" t="s">
        <v>5</v>
      </c>
      <c r="U529" s="44" t="s">
        <v>43</v>
      </c>
      <c r="V529" s="148">
        <v>0.135</v>
      </c>
      <c r="W529" s="148">
        <f t="shared" si="21"/>
        <v>1.35</v>
      </c>
      <c r="X529" s="148">
        <v>0</v>
      </c>
      <c r="Y529" s="148">
        <f t="shared" si="22"/>
        <v>0</v>
      </c>
      <c r="Z529" s="148">
        <v>0</v>
      </c>
      <c r="AA529" s="149">
        <f t="shared" si="23"/>
        <v>0</v>
      </c>
      <c r="AR529" s="21" t="s">
        <v>172</v>
      </c>
      <c r="AT529" s="21" t="s">
        <v>168</v>
      </c>
      <c r="AU529" s="21" t="s">
        <v>135</v>
      </c>
      <c r="AY529" s="21" t="s">
        <v>167</v>
      </c>
      <c r="BE529" s="150">
        <f t="shared" si="24"/>
        <v>0</v>
      </c>
      <c r="BF529" s="150">
        <f t="shared" si="25"/>
        <v>0</v>
      </c>
      <c r="BG529" s="150">
        <f t="shared" si="26"/>
        <v>0</v>
      </c>
      <c r="BH529" s="150">
        <f t="shared" si="27"/>
        <v>0</v>
      </c>
      <c r="BI529" s="150">
        <f t="shared" si="28"/>
        <v>0</v>
      </c>
      <c r="BJ529" s="21" t="s">
        <v>21</v>
      </c>
      <c r="BK529" s="150">
        <f t="shared" si="29"/>
        <v>0</v>
      </c>
      <c r="BL529" s="21" t="s">
        <v>172</v>
      </c>
      <c r="BM529" s="21" t="s">
        <v>1637</v>
      </c>
    </row>
    <row r="530" spans="2:65" s="1" customFormat="1" ht="31.5" customHeight="1">
      <c r="B530" s="141"/>
      <c r="C530" s="178" t="s">
        <v>2158</v>
      </c>
      <c r="D530" s="178" t="s">
        <v>317</v>
      </c>
      <c r="E530" s="179" t="s">
        <v>1638</v>
      </c>
      <c r="F530" s="313" t="s">
        <v>1639</v>
      </c>
      <c r="G530" s="313"/>
      <c r="H530" s="313"/>
      <c r="I530" s="313"/>
      <c r="J530" s="180" t="s">
        <v>259</v>
      </c>
      <c r="K530" s="181">
        <v>10</v>
      </c>
      <c r="L530" s="314"/>
      <c r="M530" s="314"/>
      <c r="N530" s="314">
        <f t="shared" si="20"/>
        <v>0</v>
      </c>
      <c r="O530" s="294"/>
      <c r="P530" s="294"/>
      <c r="Q530" s="294"/>
      <c r="R530" s="146"/>
      <c r="T530" s="147" t="s">
        <v>5</v>
      </c>
      <c r="U530" s="44" t="s">
        <v>43</v>
      </c>
      <c r="V530" s="148">
        <v>0</v>
      </c>
      <c r="W530" s="148">
        <f t="shared" si="21"/>
        <v>0</v>
      </c>
      <c r="X530" s="148">
        <v>0.00146</v>
      </c>
      <c r="Y530" s="148">
        <f t="shared" si="22"/>
        <v>0.014599999999999998</v>
      </c>
      <c r="Z530" s="148">
        <v>0</v>
      </c>
      <c r="AA530" s="149">
        <f t="shared" si="23"/>
        <v>0</v>
      </c>
      <c r="AR530" s="21" t="s">
        <v>213</v>
      </c>
      <c r="AT530" s="21" t="s">
        <v>317</v>
      </c>
      <c r="AU530" s="21" t="s">
        <v>135</v>
      </c>
      <c r="AY530" s="21" t="s">
        <v>167</v>
      </c>
      <c r="BE530" s="150">
        <f t="shared" si="24"/>
        <v>0</v>
      </c>
      <c r="BF530" s="150">
        <f t="shared" si="25"/>
        <v>0</v>
      </c>
      <c r="BG530" s="150">
        <f t="shared" si="26"/>
        <v>0</v>
      </c>
      <c r="BH530" s="150">
        <f t="shared" si="27"/>
        <v>0</v>
      </c>
      <c r="BI530" s="150">
        <f t="shared" si="28"/>
        <v>0</v>
      </c>
      <c r="BJ530" s="21" t="s">
        <v>21</v>
      </c>
      <c r="BK530" s="150">
        <f t="shared" si="29"/>
        <v>0</v>
      </c>
      <c r="BL530" s="21" t="s">
        <v>172</v>
      </c>
      <c r="BM530" s="21" t="s">
        <v>1640</v>
      </c>
    </row>
    <row r="531" spans="2:65" s="1" customFormat="1" ht="44.25" customHeight="1">
      <c r="B531" s="141"/>
      <c r="C531" s="142" t="s">
        <v>2159</v>
      </c>
      <c r="D531" s="142" t="s">
        <v>168</v>
      </c>
      <c r="E531" s="143" t="s">
        <v>1641</v>
      </c>
      <c r="F531" s="293" t="s">
        <v>1642</v>
      </c>
      <c r="G531" s="293"/>
      <c r="H531" s="293"/>
      <c r="I531" s="293"/>
      <c r="J531" s="144" t="s">
        <v>259</v>
      </c>
      <c r="K531" s="145">
        <v>5</v>
      </c>
      <c r="L531" s="294"/>
      <c r="M531" s="294"/>
      <c r="N531" s="294">
        <f t="shared" si="20"/>
        <v>0</v>
      </c>
      <c r="O531" s="294"/>
      <c r="P531" s="294"/>
      <c r="Q531" s="294"/>
      <c r="R531" s="146"/>
      <c r="T531" s="147" t="s">
        <v>5</v>
      </c>
      <c r="U531" s="44" t="s">
        <v>43</v>
      </c>
      <c r="V531" s="148">
        <v>0.142</v>
      </c>
      <c r="W531" s="148">
        <f t="shared" si="21"/>
        <v>0.71</v>
      </c>
      <c r="X531" s="148">
        <v>0</v>
      </c>
      <c r="Y531" s="148">
        <f t="shared" si="22"/>
        <v>0</v>
      </c>
      <c r="Z531" s="148">
        <v>0</v>
      </c>
      <c r="AA531" s="149">
        <f t="shared" si="23"/>
        <v>0</v>
      </c>
      <c r="AR531" s="21" t="s">
        <v>172</v>
      </c>
      <c r="AT531" s="21" t="s">
        <v>168</v>
      </c>
      <c r="AU531" s="21" t="s">
        <v>135</v>
      </c>
      <c r="AY531" s="21" t="s">
        <v>167</v>
      </c>
      <c r="BE531" s="150">
        <f t="shared" si="24"/>
        <v>0</v>
      </c>
      <c r="BF531" s="150">
        <f t="shared" si="25"/>
        <v>0</v>
      </c>
      <c r="BG531" s="150">
        <f t="shared" si="26"/>
        <v>0</v>
      </c>
      <c r="BH531" s="150">
        <f t="shared" si="27"/>
        <v>0</v>
      </c>
      <c r="BI531" s="150">
        <f t="shared" si="28"/>
        <v>0</v>
      </c>
      <c r="BJ531" s="21" t="s">
        <v>21</v>
      </c>
      <c r="BK531" s="150">
        <f t="shared" si="29"/>
        <v>0</v>
      </c>
      <c r="BL531" s="21" t="s">
        <v>172</v>
      </c>
      <c r="BM531" s="21" t="s">
        <v>1643</v>
      </c>
    </row>
    <row r="532" spans="2:65" s="1" customFormat="1" ht="31.5" customHeight="1">
      <c r="B532" s="141"/>
      <c r="C532" s="178" t="s">
        <v>1067</v>
      </c>
      <c r="D532" s="178" t="s">
        <v>317</v>
      </c>
      <c r="E532" s="179" t="s">
        <v>1644</v>
      </c>
      <c r="F532" s="313" t="s">
        <v>1645</v>
      </c>
      <c r="G532" s="313"/>
      <c r="H532" s="313"/>
      <c r="I532" s="313"/>
      <c r="J532" s="180" t="s">
        <v>259</v>
      </c>
      <c r="K532" s="181">
        <v>5</v>
      </c>
      <c r="L532" s="314"/>
      <c r="M532" s="314"/>
      <c r="N532" s="314">
        <f t="shared" si="20"/>
        <v>0</v>
      </c>
      <c r="O532" s="294"/>
      <c r="P532" s="294"/>
      <c r="Q532" s="294"/>
      <c r="R532" s="146"/>
      <c r="T532" s="147" t="s">
        <v>5</v>
      </c>
      <c r="U532" s="44" t="s">
        <v>43</v>
      </c>
      <c r="V532" s="148">
        <v>0</v>
      </c>
      <c r="W532" s="148">
        <f t="shared" si="21"/>
        <v>0</v>
      </c>
      <c r="X532" s="148">
        <v>0.00211</v>
      </c>
      <c r="Y532" s="148">
        <f t="shared" si="22"/>
        <v>0.01055</v>
      </c>
      <c r="Z532" s="148">
        <v>0</v>
      </c>
      <c r="AA532" s="149">
        <f t="shared" si="23"/>
        <v>0</v>
      </c>
      <c r="AR532" s="21" t="s">
        <v>213</v>
      </c>
      <c r="AT532" s="21" t="s">
        <v>317</v>
      </c>
      <c r="AU532" s="21" t="s">
        <v>135</v>
      </c>
      <c r="AY532" s="21" t="s">
        <v>167</v>
      </c>
      <c r="BE532" s="150">
        <f t="shared" si="24"/>
        <v>0</v>
      </c>
      <c r="BF532" s="150">
        <f t="shared" si="25"/>
        <v>0</v>
      </c>
      <c r="BG532" s="150">
        <f t="shared" si="26"/>
        <v>0</v>
      </c>
      <c r="BH532" s="150">
        <f t="shared" si="27"/>
        <v>0</v>
      </c>
      <c r="BI532" s="150">
        <f t="shared" si="28"/>
        <v>0</v>
      </c>
      <c r="BJ532" s="21" t="s">
        <v>21</v>
      </c>
      <c r="BK532" s="150">
        <f t="shared" si="29"/>
        <v>0</v>
      </c>
      <c r="BL532" s="21" t="s">
        <v>172</v>
      </c>
      <c r="BM532" s="21" t="s">
        <v>1646</v>
      </c>
    </row>
    <row r="533" spans="2:65" s="1" customFormat="1" ht="22.5" customHeight="1">
      <c r="B533" s="141"/>
      <c r="C533" s="142" t="s">
        <v>2160</v>
      </c>
      <c r="D533" s="142" t="s">
        <v>168</v>
      </c>
      <c r="E533" s="143" t="s">
        <v>1647</v>
      </c>
      <c r="F533" s="293" t="s">
        <v>1648</v>
      </c>
      <c r="G533" s="293"/>
      <c r="H533" s="293"/>
      <c r="I533" s="293"/>
      <c r="J533" s="144" t="s">
        <v>578</v>
      </c>
      <c r="K533" s="145">
        <v>2</v>
      </c>
      <c r="L533" s="294"/>
      <c r="M533" s="294"/>
      <c r="N533" s="294">
        <f t="shared" si="20"/>
        <v>0</v>
      </c>
      <c r="O533" s="294"/>
      <c r="P533" s="294"/>
      <c r="Q533" s="294"/>
      <c r="R533" s="146"/>
      <c r="T533" s="147" t="s">
        <v>5</v>
      </c>
      <c r="U533" s="44" t="s">
        <v>43</v>
      </c>
      <c r="V533" s="148">
        <v>0.65</v>
      </c>
      <c r="W533" s="148">
        <f t="shared" si="21"/>
        <v>1.3</v>
      </c>
      <c r="X533" s="148">
        <v>0.00069</v>
      </c>
      <c r="Y533" s="148">
        <f t="shared" si="22"/>
        <v>0.00138</v>
      </c>
      <c r="Z533" s="148">
        <v>0</v>
      </c>
      <c r="AA533" s="149">
        <f t="shared" si="23"/>
        <v>0</v>
      </c>
      <c r="AR533" s="21" t="s">
        <v>172</v>
      </c>
      <c r="AT533" s="21" t="s">
        <v>168</v>
      </c>
      <c r="AU533" s="21" t="s">
        <v>135</v>
      </c>
      <c r="AY533" s="21" t="s">
        <v>167</v>
      </c>
      <c r="BE533" s="150">
        <f t="shared" si="24"/>
        <v>0</v>
      </c>
      <c r="BF533" s="150">
        <f t="shared" si="25"/>
        <v>0</v>
      </c>
      <c r="BG533" s="150">
        <f t="shared" si="26"/>
        <v>0</v>
      </c>
      <c r="BH533" s="150">
        <f t="shared" si="27"/>
        <v>0</v>
      </c>
      <c r="BI533" s="150">
        <f t="shared" si="28"/>
        <v>0</v>
      </c>
      <c r="BJ533" s="21" t="s">
        <v>21</v>
      </c>
      <c r="BK533" s="150">
        <f t="shared" si="29"/>
        <v>0</v>
      </c>
      <c r="BL533" s="21" t="s">
        <v>172</v>
      </c>
      <c r="BM533" s="21" t="s">
        <v>1649</v>
      </c>
    </row>
    <row r="534" spans="2:65" s="1" customFormat="1" ht="22.5" customHeight="1">
      <c r="B534" s="141"/>
      <c r="C534" s="178" t="s">
        <v>2161</v>
      </c>
      <c r="D534" s="178" t="s">
        <v>317</v>
      </c>
      <c r="E534" s="179" t="s">
        <v>1650</v>
      </c>
      <c r="F534" s="313" t="s">
        <v>1651</v>
      </c>
      <c r="G534" s="313"/>
      <c r="H534" s="313"/>
      <c r="I534" s="313"/>
      <c r="J534" s="180" t="s">
        <v>578</v>
      </c>
      <c r="K534" s="181">
        <v>2</v>
      </c>
      <c r="L534" s="314"/>
      <c r="M534" s="314"/>
      <c r="N534" s="314">
        <f t="shared" si="20"/>
        <v>0</v>
      </c>
      <c r="O534" s="294"/>
      <c r="P534" s="294"/>
      <c r="Q534" s="294"/>
      <c r="R534" s="146"/>
      <c r="T534" s="147" t="s">
        <v>5</v>
      </c>
      <c r="U534" s="44" t="s">
        <v>43</v>
      </c>
      <c r="V534" s="148">
        <v>0</v>
      </c>
      <c r="W534" s="148">
        <f t="shared" si="21"/>
        <v>0</v>
      </c>
      <c r="X534" s="148">
        <v>0.0195</v>
      </c>
      <c r="Y534" s="148">
        <f t="shared" si="22"/>
        <v>0.039</v>
      </c>
      <c r="Z534" s="148">
        <v>0</v>
      </c>
      <c r="AA534" s="149">
        <f t="shared" si="23"/>
        <v>0</v>
      </c>
      <c r="AR534" s="21" t="s">
        <v>213</v>
      </c>
      <c r="AT534" s="21" t="s">
        <v>317</v>
      </c>
      <c r="AU534" s="21" t="s">
        <v>135</v>
      </c>
      <c r="AY534" s="21" t="s">
        <v>167</v>
      </c>
      <c r="BE534" s="150">
        <f t="shared" si="24"/>
        <v>0</v>
      </c>
      <c r="BF534" s="150">
        <f t="shared" si="25"/>
        <v>0</v>
      </c>
      <c r="BG534" s="150">
        <f t="shared" si="26"/>
        <v>0</v>
      </c>
      <c r="BH534" s="150">
        <f t="shared" si="27"/>
        <v>0</v>
      </c>
      <c r="BI534" s="150">
        <f t="shared" si="28"/>
        <v>0</v>
      </c>
      <c r="BJ534" s="21" t="s">
        <v>21</v>
      </c>
      <c r="BK534" s="150">
        <f t="shared" si="29"/>
        <v>0</v>
      </c>
      <c r="BL534" s="21" t="s">
        <v>172</v>
      </c>
      <c r="BM534" s="21" t="s">
        <v>1652</v>
      </c>
    </row>
    <row r="535" spans="2:65" s="1" customFormat="1" ht="22.5" customHeight="1">
      <c r="B535" s="141"/>
      <c r="C535" s="142" t="s">
        <v>2162</v>
      </c>
      <c r="D535" s="142" t="s">
        <v>168</v>
      </c>
      <c r="E535" s="143" t="s">
        <v>1653</v>
      </c>
      <c r="F535" s="293" t="s">
        <v>1654</v>
      </c>
      <c r="G535" s="293"/>
      <c r="H535" s="293"/>
      <c r="I535" s="293"/>
      <c r="J535" s="144" t="s">
        <v>578</v>
      </c>
      <c r="K535" s="145">
        <v>2</v>
      </c>
      <c r="L535" s="294"/>
      <c r="M535" s="294"/>
      <c r="N535" s="294">
        <f t="shared" si="20"/>
        <v>0</v>
      </c>
      <c r="O535" s="294"/>
      <c r="P535" s="294"/>
      <c r="Q535" s="294"/>
      <c r="R535" s="146"/>
      <c r="T535" s="147" t="s">
        <v>5</v>
      </c>
      <c r="U535" s="44" t="s">
        <v>43</v>
      </c>
      <c r="V535" s="148">
        <v>1.004</v>
      </c>
      <c r="W535" s="148">
        <f t="shared" si="21"/>
        <v>2.008</v>
      </c>
      <c r="X535" s="148">
        <v>0.00176</v>
      </c>
      <c r="Y535" s="148">
        <f t="shared" si="22"/>
        <v>0.00352</v>
      </c>
      <c r="Z535" s="148">
        <v>0</v>
      </c>
      <c r="AA535" s="149">
        <f t="shared" si="23"/>
        <v>0</v>
      </c>
      <c r="AR535" s="21" t="s">
        <v>281</v>
      </c>
      <c r="AT535" s="21" t="s">
        <v>168</v>
      </c>
      <c r="AU535" s="21" t="s">
        <v>135</v>
      </c>
      <c r="AY535" s="21" t="s">
        <v>167</v>
      </c>
      <c r="BE535" s="150">
        <f t="shared" si="24"/>
        <v>0</v>
      </c>
      <c r="BF535" s="150">
        <f t="shared" si="25"/>
        <v>0</v>
      </c>
      <c r="BG535" s="150">
        <f t="shared" si="26"/>
        <v>0</v>
      </c>
      <c r="BH535" s="150">
        <f t="shared" si="27"/>
        <v>0</v>
      </c>
      <c r="BI535" s="150">
        <f t="shared" si="28"/>
        <v>0</v>
      </c>
      <c r="BJ535" s="21" t="s">
        <v>21</v>
      </c>
      <c r="BK535" s="150">
        <f t="shared" si="29"/>
        <v>0</v>
      </c>
      <c r="BL535" s="21" t="s">
        <v>281</v>
      </c>
      <c r="BM535" s="21" t="s">
        <v>1655</v>
      </c>
    </row>
    <row r="536" spans="2:65" s="1" customFormat="1" ht="31.5" customHeight="1">
      <c r="B536" s="141"/>
      <c r="C536" s="142" t="s">
        <v>2163</v>
      </c>
      <c r="D536" s="142" t="s">
        <v>168</v>
      </c>
      <c r="E536" s="143" t="s">
        <v>1656</v>
      </c>
      <c r="F536" s="293" t="s">
        <v>1657</v>
      </c>
      <c r="G536" s="293"/>
      <c r="H536" s="293"/>
      <c r="I536" s="293"/>
      <c r="J536" s="144" t="s">
        <v>578</v>
      </c>
      <c r="K536" s="145">
        <v>2</v>
      </c>
      <c r="L536" s="294"/>
      <c r="M536" s="294"/>
      <c r="N536" s="294">
        <f t="shared" si="20"/>
        <v>0</v>
      </c>
      <c r="O536" s="294"/>
      <c r="P536" s="294"/>
      <c r="Q536" s="294"/>
      <c r="R536" s="146"/>
      <c r="T536" s="147" t="s">
        <v>5</v>
      </c>
      <c r="U536" s="44" t="s">
        <v>43</v>
      </c>
      <c r="V536" s="148">
        <v>0.52</v>
      </c>
      <c r="W536" s="148">
        <f t="shared" si="21"/>
        <v>1.04</v>
      </c>
      <c r="X536" s="148">
        <v>0.00315</v>
      </c>
      <c r="Y536" s="148">
        <f t="shared" si="22"/>
        <v>0.0063</v>
      </c>
      <c r="Z536" s="148">
        <v>0</v>
      </c>
      <c r="AA536" s="149">
        <f t="shared" si="23"/>
        <v>0</v>
      </c>
      <c r="AR536" s="21" t="s">
        <v>281</v>
      </c>
      <c r="AT536" s="21" t="s">
        <v>168</v>
      </c>
      <c r="AU536" s="21" t="s">
        <v>135</v>
      </c>
      <c r="AY536" s="21" t="s">
        <v>167</v>
      </c>
      <c r="BE536" s="150">
        <f t="shared" si="24"/>
        <v>0</v>
      </c>
      <c r="BF536" s="150">
        <f t="shared" si="25"/>
        <v>0</v>
      </c>
      <c r="BG536" s="150">
        <f t="shared" si="26"/>
        <v>0</v>
      </c>
      <c r="BH536" s="150">
        <f t="shared" si="27"/>
        <v>0</v>
      </c>
      <c r="BI536" s="150">
        <f t="shared" si="28"/>
        <v>0</v>
      </c>
      <c r="BJ536" s="21" t="s">
        <v>21</v>
      </c>
      <c r="BK536" s="150">
        <f t="shared" si="29"/>
        <v>0</v>
      </c>
      <c r="BL536" s="21" t="s">
        <v>281</v>
      </c>
      <c r="BM536" s="21" t="s">
        <v>1658</v>
      </c>
    </row>
    <row r="537" spans="2:65" s="1" customFormat="1" ht="44.25" customHeight="1">
      <c r="B537" s="141"/>
      <c r="C537" s="142" t="s">
        <v>2164</v>
      </c>
      <c r="D537" s="142" t="s">
        <v>168</v>
      </c>
      <c r="E537" s="143" t="s">
        <v>1659</v>
      </c>
      <c r="F537" s="293" t="s">
        <v>1660</v>
      </c>
      <c r="G537" s="293"/>
      <c r="H537" s="293"/>
      <c r="I537" s="293"/>
      <c r="J537" s="144" t="s">
        <v>171</v>
      </c>
      <c r="K537" s="145">
        <v>1</v>
      </c>
      <c r="L537" s="294"/>
      <c r="M537" s="294"/>
      <c r="N537" s="294">
        <f t="shared" si="20"/>
        <v>0</v>
      </c>
      <c r="O537" s="294"/>
      <c r="P537" s="294"/>
      <c r="Q537" s="294"/>
      <c r="R537" s="146"/>
      <c r="T537" s="147" t="s">
        <v>5</v>
      </c>
      <c r="U537" s="44" t="s">
        <v>43</v>
      </c>
      <c r="V537" s="148">
        <v>0.52</v>
      </c>
      <c r="W537" s="148">
        <f t="shared" si="21"/>
        <v>0.52</v>
      </c>
      <c r="X537" s="148">
        <v>0.00315</v>
      </c>
      <c r="Y537" s="148">
        <f t="shared" si="22"/>
        <v>0.00315</v>
      </c>
      <c r="Z537" s="148">
        <v>0</v>
      </c>
      <c r="AA537" s="149">
        <f t="shared" si="23"/>
        <v>0</v>
      </c>
      <c r="AR537" s="21" t="s">
        <v>281</v>
      </c>
      <c r="AT537" s="21" t="s">
        <v>168</v>
      </c>
      <c r="AU537" s="21" t="s">
        <v>135</v>
      </c>
      <c r="AY537" s="21" t="s">
        <v>167</v>
      </c>
      <c r="BE537" s="150">
        <f t="shared" si="24"/>
        <v>0</v>
      </c>
      <c r="BF537" s="150">
        <f t="shared" si="25"/>
        <v>0</v>
      </c>
      <c r="BG537" s="150">
        <f t="shared" si="26"/>
        <v>0</v>
      </c>
      <c r="BH537" s="150">
        <f t="shared" si="27"/>
        <v>0</v>
      </c>
      <c r="BI537" s="150">
        <f t="shared" si="28"/>
        <v>0</v>
      </c>
      <c r="BJ537" s="21" t="s">
        <v>21</v>
      </c>
      <c r="BK537" s="150">
        <f t="shared" si="29"/>
        <v>0</v>
      </c>
      <c r="BL537" s="21" t="s">
        <v>281</v>
      </c>
      <c r="BM537" s="21" t="s">
        <v>1661</v>
      </c>
    </row>
    <row r="538" spans="2:65" s="1" customFormat="1" ht="22.5" customHeight="1">
      <c r="B538" s="141"/>
      <c r="C538" s="142" t="s">
        <v>2165</v>
      </c>
      <c r="D538" s="142" t="s">
        <v>168</v>
      </c>
      <c r="E538" s="143" t="s">
        <v>1662</v>
      </c>
      <c r="F538" s="293" t="s">
        <v>1663</v>
      </c>
      <c r="G538" s="293"/>
      <c r="H538" s="293"/>
      <c r="I538" s="293"/>
      <c r="J538" s="144" t="s">
        <v>171</v>
      </c>
      <c r="K538" s="145">
        <v>1</v>
      </c>
      <c r="L538" s="294"/>
      <c r="M538" s="294"/>
      <c r="N538" s="294">
        <f t="shared" si="20"/>
        <v>0</v>
      </c>
      <c r="O538" s="294"/>
      <c r="P538" s="294"/>
      <c r="Q538" s="294"/>
      <c r="R538" s="146"/>
      <c r="T538" s="147" t="s">
        <v>5</v>
      </c>
      <c r="U538" s="44" t="s">
        <v>43</v>
      </c>
      <c r="V538" s="148">
        <v>0.52</v>
      </c>
      <c r="W538" s="148">
        <f t="shared" si="21"/>
        <v>0.52</v>
      </c>
      <c r="X538" s="148">
        <v>0.00315</v>
      </c>
      <c r="Y538" s="148">
        <f t="shared" si="22"/>
        <v>0.00315</v>
      </c>
      <c r="Z538" s="148">
        <v>0</v>
      </c>
      <c r="AA538" s="149">
        <f t="shared" si="23"/>
        <v>0</v>
      </c>
      <c r="AR538" s="21" t="s">
        <v>281</v>
      </c>
      <c r="AT538" s="21" t="s">
        <v>168</v>
      </c>
      <c r="AU538" s="21" t="s">
        <v>135</v>
      </c>
      <c r="AY538" s="21" t="s">
        <v>167</v>
      </c>
      <c r="BE538" s="150">
        <f t="shared" si="24"/>
        <v>0</v>
      </c>
      <c r="BF538" s="150">
        <f t="shared" si="25"/>
        <v>0</v>
      </c>
      <c r="BG538" s="150">
        <f t="shared" si="26"/>
        <v>0</v>
      </c>
      <c r="BH538" s="150">
        <f t="shared" si="27"/>
        <v>0</v>
      </c>
      <c r="BI538" s="150">
        <f t="shared" si="28"/>
        <v>0</v>
      </c>
      <c r="BJ538" s="21" t="s">
        <v>21</v>
      </c>
      <c r="BK538" s="150">
        <f t="shared" si="29"/>
        <v>0</v>
      </c>
      <c r="BL538" s="21" t="s">
        <v>281</v>
      </c>
      <c r="BM538" s="21" t="s">
        <v>1664</v>
      </c>
    </row>
    <row r="539" spans="2:65" s="1" customFormat="1" ht="22.5" customHeight="1">
      <c r="B539" s="141"/>
      <c r="C539" s="142" t="s">
        <v>2166</v>
      </c>
      <c r="D539" s="142" t="s">
        <v>168</v>
      </c>
      <c r="E539" s="143" t="s">
        <v>1665</v>
      </c>
      <c r="F539" s="293" t="s">
        <v>1666</v>
      </c>
      <c r="G539" s="293"/>
      <c r="H539" s="293"/>
      <c r="I539" s="293"/>
      <c r="J539" s="144" t="s">
        <v>171</v>
      </c>
      <c r="K539" s="145">
        <v>1</v>
      </c>
      <c r="L539" s="294"/>
      <c r="M539" s="294"/>
      <c r="N539" s="294">
        <f t="shared" si="20"/>
        <v>0</v>
      </c>
      <c r="O539" s="294"/>
      <c r="P539" s="294"/>
      <c r="Q539" s="294"/>
      <c r="R539" s="146"/>
      <c r="T539" s="147" t="s">
        <v>5</v>
      </c>
      <c r="U539" s="44" t="s">
        <v>43</v>
      </c>
      <c r="V539" s="148">
        <v>0.52</v>
      </c>
      <c r="W539" s="148">
        <f t="shared" si="21"/>
        <v>0.52</v>
      </c>
      <c r="X539" s="148">
        <v>0.00315</v>
      </c>
      <c r="Y539" s="148">
        <f t="shared" si="22"/>
        <v>0.00315</v>
      </c>
      <c r="Z539" s="148">
        <v>0</v>
      </c>
      <c r="AA539" s="149">
        <f t="shared" si="23"/>
        <v>0</v>
      </c>
      <c r="AR539" s="21" t="s">
        <v>281</v>
      </c>
      <c r="AT539" s="21" t="s">
        <v>168</v>
      </c>
      <c r="AU539" s="21" t="s">
        <v>135</v>
      </c>
      <c r="AY539" s="21" t="s">
        <v>167</v>
      </c>
      <c r="BE539" s="150">
        <f t="shared" si="24"/>
        <v>0</v>
      </c>
      <c r="BF539" s="150">
        <f t="shared" si="25"/>
        <v>0</v>
      </c>
      <c r="BG539" s="150">
        <f t="shared" si="26"/>
        <v>0</v>
      </c>
      <c r="BH539" s="150">
        <f t="shared" si="27"/>
        <v>0</v>
      </c>
      <c r="BI539" s="150">
        <f t="shared" si="28"/>
        <v>0</v>
      </c>
      <c r="BJ539" s="21" t="s">
        <v>21</v>
      </c>
      <c r="BK539" s="150">
        <f t="shared" si="29"/>
        <v>0</v>
      </c>
      <c r="BL539" s="21" t="s">
        <v>281</v>
      </c>
      <c r="BM539" s="21" t="s">
        <v>1667</v>
      </c>
    </row>
    <row r="540" spans="2:63" s="9" customFormat="1" ht="29.85" customHeight="1">
      <c r="B540" s="130"/>
      <c r="C540" s="131"/>
      <c r="D540" s="140" t="s">
        <v>1270</v>
      </c>
      <c r="E540" s="140"/>
      <c r="F540" s="140"/>
      <c r="G540" s="140"/>
      <c r="H540" s="140"/>
      <c r="I540" s="140"/>
      <c r="J540" s="140"/>
      <c r="K540" s="140"/>
      <c r="L540" s="140"/>
      <c r="M540" s="140"/>
      <c r="N540" s="310">
        <f>BK540</f>
        <v>0</v>
      </c>
      <c r="O540" s="311"/>
      <c r="P540" s="311"/>
      <c r="Q540" s="311"/>
      <c r="R540" s="133"/>
      <c r="T540" s="134"/>
      <c r="U540" s="131"/>
      <c r="V540" s="131"/>
      <c r="W540" s="135">
        <f>SUM(W541:W544)</f>
        <v>180.64542</v>
      </c>
      <c r="X540" s="131"/>
      <c r="Y540" s="135">
        <f>SUM(Y541:Y544)</f>
        <v>0</v>
      </c>
      <c r="Z540" s="131"/>
      <c r="AA540" s="136">
        <f>SUM(AA541:AA544)</f>
        <v>0</v>
      </c>
      <c r="AR540" s="137" t="s">
        <v>21</v>
      </c>
      <c r="AT540" s="138" t="s">
        <v>77</v>
      </c>
      <c r="AU540" s="138" t="s">
        <v>21</v>
      </c>
      <c r="AY540" s="137" t="s">
        <v>167</v>
      </c>
      <c r="BK540" s="139">
        <f>SUM(BK541:BK544)</f>
        <v>0</v>
      </c>
    </row>
    <row r="541" spans="2:65" s="1" customFormat="1" ht="31.5" customHeight="1">
      <c r="B541" s="141"/>
      <c r="C541" s="142" t="s">
        <v>2167</v>
      </c>
      <c r="D541" s="142" t="s">
        <v>168</v>
      </c>
      <c r="E541" s="143" t="s">
        <v>1668</v>
      </c>
      <c r="F541" s="293" t="s">
        <v>1669</v>
      </c>
      <c r="G541" s="293"/>
      <c r="H541" s="293"/>
      <c r="I541" s="293"/>
      <c r="J541" s="144" t="s">
        <v>210</v>
      </c>
      <c r="K541" s="145">
        <v>966.732</v>
      </c>
      <c r="L541" s="294"/>
      <c r="M541" s="294"/>
      <c r="N541" s="294">
        <f>ROUND(L541*K541,2)</f>
        <v>0</v>
      </c>
      <c r="O541" s="294"/>
      <c r="P541" s="294"/>
      <c r="Q541" s="294"/>
      <c r="R541" s="146"/>
      <c r="T541" s="147" t="s">
        <v>5</v>
      </c>
      <c r="U541" s="44" t="s">
        <v>43</v>
      </c>
      <c r="V541" s="148">
        <v>0.125</v>
      </c>
      <c r="W541" s="148">
        <f>V541*K541</f>
        <v>120.8415</v>
      </c>
      <c r="X541" s="148">
        <v>0</v>
      </c>
      <c r="Y541" s="148">
        <f>X541*K541</f>
        <v>0</v>
      </c>
      <c r="Z541" s="148">
        <v>0</v>
      </c>
      <c r="AA541" s="149">
        <f>Z541*K541</f>
        <v>0</v>
      </c>
      <c r="AR541" s="21" t="s">
        <v>172</v>
      </c>
      <c r="AT541" s="21" t="s">
        <v>168</v>
      </c>
      <c r="AU541" s="21" t="s">
        <v>135</v>
      </c>
      <c r="AY541" s="21" t="s">
        <v>167</v>
      </c>
      <c r="BE541" s="150">
        <f>IF(U541="základní",N541,0)</f>
        <v>0</v>
      </c>
      <c r="BF541" s="150">
        <f>IF(U541="snížená",N541,0)</f>
        <v>0</v>
      </c>
      <c r="BG541" s="150">
        <f>IF(U541="zákl. přenesená",N541,0)</f>
        <v>0</v>
      </c>
      <c r="BH541" s="150">
        <f>IF(U541="sníž. přenesená",N541,0)</f>
        <v>0</v>
      </c>
      <c r="BI541" s="150">
        <f>IF(U541="nulová",N541,0)</f>
        <v>0</v>
      </c>
      <c r="BJ541" s="21" t="s">
        <v>21</v>
      </c>
      <c r="BK541" s="150">
        <f>ROUND(L541*K541,2)</f>
        <v>0</v>
      </c>
      <c r="BL541" s="21" t="s">
        <v>172</v>
      </c>
      <c r="BM541" s="21" t="s">
        <v>1670</v>
      </c>
    </row>
    <row r="542" spans="2:65" s="1" customFormat="1" ht="31.5" customHeight="1">
      <c r="B542" s="141"/>
      <c r="C542" s="142" t="s">
        <v>2168</v>
      </c>
      <c r="D542" s="142" t="s">
        <v>168</v>
      </c>
      <c r="E542" s="143" t="s">
        <v>1671</v>
      </c>
      <c r="F542" s="293" t="s">
        <v>1672</v>
      </c>
      <c r="G542" s="293"/>
      <c r="H542" s="293"/>
      <c r="I542" s="293"/>
      <c r="J542" s="144" t="s">
        <v>210</v>
      </c>
      <c r="K542" s="145">
        <v>9967.32</v>
      </c>
      <c r="L542" s="294"/>
      <c r="M542" s="294"/>
      <c r="N542" s="294">
        <f>ROUND(L542*K542,2)</f>
        <v>0</v>
      </c>
      <c r="O542" s="294"/>
      <c r="P542" s="294"/>
      <c r="Q542" s="294"/>
      <c r="R542" s="146"/>
      <c r="T542" s="147" t="s">
        <v>5</v>
      </c>
      <c r="U542" s="44" t="s">
        <v>43</v>
      </c>
      <c r="V542" s="148">
        <v>0.006</v>
      </c>
      <c r="W542" s="148">
        <f>V542*K542</f>
        <v>59.80392</v>
      </c>
      <c r="X542" s="148">
        <v>0</v>
      </c>
      <c r="Y542" s="148">
        <f>X542*K542</f>
        <v>0</v>
      </c>
      <c r="Z542" s="148">
        <v>0</v>
      </c>
      <c r="AA542" s="149">
        <f>Z542*K542</f>
        <v>0</v>
      </c>
      <c r="AR542" s="21" t="s">
        <v>172</v>
      </c>
      <c r="AT542" s="21" t="s">
        <v>168</v>
      </c>
      <c r="AU542" s="21" t="s">
        <v>135</v>
      </c>
      <c r="AY542" s="21" t="s">
        <v>167</v>
      </c>
      <c r="BE542" s="150">
        <f>IF(U542="základní",N542,0)</f>
        <v>0</v>
      </c>
      <c r="BF542" s="150">
        <f>IF(U542="snížená",N542,0)</f>
        <v>0</v>
      </c>
      <c r="BG542" s="150">
        <f>IF(U542="zákl. přenesená",N542,0)</f>
        <v>0</v>
      </c>
      <c r="BH542" s="150">
        <f>IF(U542="sníž. přenesená",N542,0)</f>
        <v>0</v>
      </c>
      <c r="BI542" s="150">
        <f>IF(U542="nulová",N542,0)</f>
        <v>0</v>
      </c>
      <c r="BJ542" s="21" t="s">
        <v>21</v>
      </c>
      <c r="BK542" s="150">
        <f>ROUND(L542*K542,2)</f>
        <v>0</v>
      </c>
      <c r="BL542" s="21" t="s">
        <v>172</v>
      </c>
      <c r="BM542" s="21" t="s">
        <v>1673</v>
      </c>
    </row>
    <row r="543" spans="2:65" s="1" customFormat="1" ht="31.5" customHeight="1">
      <c r="B543" s="141"/>
      <c r="C543" s="142" t="s">
        <v>348</v>
      </c>
      <c r="D543" s="142" t="s">
        <v>168</v>
      </c>
      <c r="E543" s="143" t="s">
        <v>1674</v>
      </c>
      <c r="F543" s="293" t="s">
        <v>1675</v>
      </c>
      <c r="G543" s="293"/>
      <c r="H543" s="293"/>
      <c r="I543" s="293"/>
      <c r="J543" s="144" t="s">
        <v>210</v>
      </c>
      <c r="K543" s="145">
        <v>173.941</v>
      </c>
      <c r="L543" s="294"/>
      <c r="M543" s="294"/>
      <c r="N543" s="294">
        <f>ROUND(L543*K543,2)</f>
        <v>0</v>
      </c>
      <c r="O543" s="294"/>
      <c r="P543" s="294"/>
      <c r="Q543" s="294"/>
      <c r="R543" s="146"/>
      <c r="T543" s="147" t="s">
        <v>5</v>
      </c>
      <c r="U543" s="44" t="s">
        <v>43</v>
      </c>
      <c r="V543" s="148">
        <v>0</v>
      </c>
      <c r="W543" s="148">
        <f>V543*K543</f>
        <v>0</v>
      </c>
      <c r="X543" s="148">
        <v>0</v>
      </c>
      <c r="Y543" s="148">
        <f>X543*K543</f>
        <v>0</v>
      </c>
      <c r="Z543" s="148">
        <v>0</v>
      </c>
      <c r="AA543" s="149">
        <f>Z543*K543</f>
        <v>0</v>
      </c>
      <c r="AR543" s="21" t="s">
        <v>172</v>
      </c>
      <c r="AT543" s="21" t="s">
        <v>168</v>
      </c>
      <c r="AU543" s="21" t="s">
        <v>135</v>
      </c>
      <c r="AY543" s="21" t="s">
        <v>167</v>
      </c>
      <c r="BE543" s="150">
        <f>IF(U543="základní",N543,0)</f>
        <v>0</v>
      </c>
      <c r="BF543" s="150">
        <f>IF(U543="snížená",N543,0)</f>
        <v>0</v>
      </c>
      <c r="BG543" s="150">
        <f>IF(U543="zákl. přenesená",N543,0)</f>
        <v>0</v>
      </c>
      <c r="BH543" s="150">
        <f>IF(U543="sníž. přenesená",N543,0)</f>
        <v>0</v>
      </c>
      <c r="BI543" s="150">
        <f>IF(U543="nulová",N543,0)</f>
        <v>0</v>
      </c>
      <c r="BJ543" s="21" t="s">
        <v>21</v>
      </c>
      <c r="BK543" s="150">
        <f>ROUND(L543*K543,2)</f>
        <v>0</v>
      </c>
      <c r="BL543" s="21" t="s">
        <v>172</v>
      </c>
      <c r="BM543" s="21" t="s">
        <v>1676</v>
      </c>
    </row>
    <row r="544" spans="2:65" s="1" customFormat="1" ht="31.5" customHeight="1">
      <c r="B544" s="141"/>
      <c r="C544" s="142" t="s">
        <v>2169</v>
      </c>
      <c r="D544" s="142" t="s">
        <v>168</v>
      </c>
      <c r="E544" s="143" t="s">
        <v>1677</v>
      </c>
      <c r="F544" s="293" t="s">
        <v>1678</v>
      </c>
      <c r="G544" s="293"/>
      <c r="H544" s="293"/>
      <c r="I544" s="293"/>
      <c r="J544" s="144" t="s">
        <v>210</v>
      </c>
      <c r="K544" s="145">
        <v>792.791</v>
      </c>
      <c r="L544" s="294"/>
      <c r="M544" s="294"/>
      <c r="N544" s="294">
        <f>ROUND(L544*K544,2)</f>
        <v>0</v>
      </c>
      <c r="O544" s="294"/>
      <c r="P544" s="294"/>
      <c r="Q544" s="294"/>
      <c r="R544" s="146"/>
      <c r="T544" s="147" t="s">
        <v>5</v>
      </c>
      <c r="U544" s="175" t="s">
        <v>43</v>
      </c>
      <c r="V544" s="176">
        <v>0</v>
      </c>
      <c r="W544" s="176">
        <f>V544*K544</f>
        <v>0</v>
      </c>
      <c r="X544" s="176">
        <v>0</v>
      </c>
      <c r="Y544" s="176">
        <f>X544*K544</f>
        <v>0</v>
      </c>
      <c r="Z544" s="176">
        <v>0</v>
      </c>
      <c r="AA544" s="177">
        <f>Z544*K544</f>
        <v>0</v>
      </c>
      <c r="AR544" s="21" t="s">
        <v>172</v>
      </c>
      <c r="AT544" s="21" t="s">
        <v>168</v>
      </c>
      <c r="AU544" s="21" t="s">
        <v>135</v>
      </c>
      <c r="AY544" s="21" t="s">
        <v>167</v>
      </c>
      <c r="BE544" s="150">
        <f>IF(U544="základní",N544,0)</f>
        <v>0</v>
      </c>
      <c r="BF544" s="150">
        <f>IF(U544="snížená",N544,0)</f>
        <v>0</v>
      </c>
      <c r="BG544" s="150">
        <f>IF(U544="zákl. přenesená",N544,0)</f>
        <v>0</v>
      </c>
      <c r="BH544" s="150">
        <f>IF(U544="sníž. přenesená",N544,0)</f>
        <v>0</v>
      </c>
      <c r="BI544" s="150">
        <f>IF(U544="nulová",N544,0)</f>
        <v>0</v>
      </c>
      <c r="BJ544" s="21" t="s">
        <v>21</v>
      </c>
      <c r="BK544" s="150">
        <f>ROUND(L544*K544,2)</f>
        <v>0</v>
      </c>
      <c r="BL544" s="21" t="s">
        <v>172</v>
      </c>
      <c r="BM544" s="21" t="s">
        <v>1679</v>
      </c>
    </row>
    <row r="545" spans="2:18" s="1" customFormat="1" ht="6.95" customHeight="1">
      <c r="B545" s="59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1"/>
    </row>
  </sheetData>
  <mergeCells count="738">
    <mergeCell ref="H1:K1"/>
    <mergeCell ref="S2:AC2"/>
    <mergeCell ref="F544:I544"/>
    <mergeCell ref="L544:M544"/>
    <mergeCell ref="N544:Q544"/>
    <mergeCell ref="N119:Q119"/>
    <mergeCell ref="N120:Q120"/>
    <mergeCell ref="N121:Q121"/>
    <mergeCell ref="N242:Q242"/>
    <mergeCell ref="N384:Q384"/>
    <mergeCell ref="N393:Q393"/>
    <mergeCell ref="N401:Q401"/>
    <mergeCell ref="N427:Q427"/>
    <mergeCell ref="N441:Q441"/>
    <mergeCell ref="N511:Q511"/>
    <mergeCell ref="N540:Q540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34:I534"/>
    <mergeCell ref="L534:M534"/>
    <mergeCell ref="N534:Q534"/>
    <mergeCell ref="F535:I535"/>
    <mergeCell ref="L535:M535"/>
    <mergeCell ref="N535:Q535"/>
    <mergeCell ref="F536:I536"/>
    <mergeCell ref="L536:M536"/>
    <mergeCell ref="N536:Q536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24:I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17:I517"/>
    <mergeCell ref="F518:I518"/>
    <mergeCell ref="F519:I519"/>
    <mergeCell ref="F520:I520"/>
    <mergeCell ref="F521:I521"/>
    <mergeCell ref="F522:I522"/>
    <mergeCell ref="L522:M522"/>
    <mergeCell ref="N522:Q522"/>
    <mergeCell ref="F523:I52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10:I510"/>
    <mergeCell ref="L510:M510"/>
    <mergeCell ref="N510:Q510"/>
    <mergeCell ref="F512:I512"/>
    <mergeCell ref="L512:M512"/>
    <mergeCell ref="N512:Q512"/>
    <mergeCell ref="F513:I513"/>
    <mergeCell ref="L513:M513"/>
    <mergeCell ref="N513:Q513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498:I498"/>
    <mergeCell ref="L498:M498"/>
    <mergeCell ref="N498:Q498"/>
    <mergeCell ref="F499:I499"/>
    <mergeCell ref="L499:M499"/>
    <mergeCell ref="N499:Q499"/>
    <mergeCell ref="F500:I500"/>
    <mergeCell ref="L500:M500"/>
    <mergeCell ref="N500:Q500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88:I488"/>
    <mergeCell ref="L488:M488"/>
    <mergeCell ref="N488:Q488"/>
    <mergeCell ref="F489:I489"/>
    <mergeCell ref="F490:I490"/>
    <mergeCell ref="L490:M490"/>
    <mergeCell ref="N490:Q490"/>
    <mergeCell ref="F491:I491"/>
    <mergeCell ref="L491:M491"/>
    <mergeCell ref="N491:Q491"/>
    <mergeCell ref="F481:I481"/>
    <mergeCell ref="L481:M481"/>
    <mergeCell ref="N481:Q481"/>
    <mergeCell ref="F482:I482"/>
    <mergeCell ref="F483:I483"/>
    <mergeCell ref="F484:I484"/>
    <mergeCell ref="F485:I485"/>
    <mergeCell ref="F486:I486"/>
    <mergeCell ref="F487:I487"/>
    <mergeCell ref="F476:I476"/>
    <mergeCell ref="F477:I477"/>
    <mergeCell ref="F478:I478"/>
    <mergeCell ref="F479:I479"/>
    <mergeCell ref="L479:M479"/>
    <mergeCell ref="N479:Q479"/>
    <mergeCell ref="F480:I480"/>
    <mergeCell ref="L480:M480"/>
    <mergeCell ref="N480:Q480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0:I460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55:I455"/>
    <mergeCell ref="L455:M455"/>
    <mergeCell ref="N455:Q455"/>
    <mergeCell ref="F456:I456"/>
    <mergeCell ref="F457:I457"/>
    <mergeCell ref="F458:I458"/>
    <mergeCell ref="L458:M458"/>
    <mergeCell ref="N458:Q458"/>
    <mergeCell ref="F459:I459"/>
    <mergeCell ref="L459:M459"/>
    <mergeCell ref="N459:Q459"/>
    <mergeCell ref="F448:I448"/>
    <mergeCell ref="F449:I449"/>
    <mergeCell ref="F450:I450"/>
    <mergeCell ref="F451:I451"/>
    <mergeCell ref="F452:I452"/>
    <mergeCell ref="F453:I453"/>
    <mergeCell ref="F454:I454"/>
    <mergeCell ref="L454:M454"/>
    <mergeCell ref="N454:Q454"/>
    <mergeCell ref="F443:I443"/>
    <mergeCell ref="F444:I444"/>
    <mergeCell ref="F445:I445"/>
    <mergeCell ref="F446:I446"/>
    <mergeCell ref="L446:M446"/>
    <mergeCell ref="N446:Q446"/>
    <mergeCell ref="F447:I447"/>
    <mergeCell ref="L447:M447"/>
    <mergeCell ref="N447:Q447"/>
    <mergeCell ref="F437:I437"/>
    <mergeCell ref="L437:M437"/>
    <mergeCell ref="N437:Q437"/>
    <mergeCell ref="F438:I438"/>
    <mergeCell ref="F439:I439"/>
    <mergeCell ref="L439:M439"/>
    <mergeCell ref="N439:Q439"/>
    <mergeCell ref="F440:I440"/>
    <mergeCell ref="F442:I442"/>
    <mergeCell ref="L442:M442"/>
    <mergeCell ref="N442:Q442"/>
    <mergeCell ref="F432:I432"/>
    <mergeCell ref="F433:I433"/>
    <mergeCell ref="L433:M433"/>
    <mergeCell ref="N433:Q433"/>
    <mergeCell ref="F434:I434"/>
    <mergeCell ref="F435:I435"/>
    <mergeCell ref="L435:M435"/>
    <mergeCell ref="N435:Q435"/>
    <mergeCell ref="F436:I436"/>
    <mergeCell ref="L436:M436"/>
    <mergeCell ref="N436:Q436"/>
    <mergeCell ref="F428:I428"/>
    <mergeCell ref="L428:M428"/>
    <mergeCell ref="N428:Q428"/>
    <mergeCell ref="F429:I429"/>
    <mergeCell ref="F430:I430"/>
    <mergeCell ref="L430:M430"/>
    <mergeCell ref="N430:Q430"/>
    <mergeCell ref="F431:I431"/>
    <mergeCell ref="L431:M431"/>
    <mergeCell ref="N431:Q431"/>
    <mergeCell ref="F421:I421"/>
    <mergeCell ref="F422:I422"/>
    <mergeCell ref="F423:I423"/>
    <mergeCell ref="F424:I424"/>
    <mergeCell ref="F425:I425"/>
    <mergeCell ref="L425:M425"/>
    <mergeCell ref="N425:Q425"/>
    <mergeCell ref="F426:I426"/>
    <mergeCell ref="L426:M426"/>
    <mergeCell ref="N426:Q426"/>
    <mergeCell ref="F416:I416"/>
    <mergeCell ref="F417:I417"/>
    <mergeCell ref="L417:M417"/>
    <mergeCell ref="N417:Q417"/>
    <mergeCell ref="F418:I418"/>
    <mergeCell ref="L418:M418"/>
    <mergeCell ref="N418:Q418"/>
    <mergeCell ref="F419:I419"/>
    <mergeCell ref="F420:I420"/>
    <mergeCell ref="L420:M420"/>
    <mergeCell ref="N420:Q420"/>
    <mergeCell ref="F410:I410"/>
    <mergeCell ref="L410:M410"/>
    <mergeCell ref="N410:Q410"/>
    <mergeCell ref="F411:I411"/>
    <mergeCell ref="F412:I412"/>
    <mergeCell ref="F413:I413"/>
    <mergeCell ref="F414:I414"/>
    <mergeCell ref="F415:I415"/>
    <mergeCell ref="L415:M415"/>
    <mergeCell ref="N415:Q415"/>
    <mergeCell ref="F406:I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399:I399"/>
    <mergeCell ref="F400:I400"/>
    <mergeCell ref="F402:I402"/>
    <mergeCell ref="L402:M402"/>
    <mergeCell ref="N402:Q402"/>
    <mergeCell ref="F403:I403"/>
    <mergeCell ref="F404:I404"/>
    <mergeCell ref="F405:I405"/>
    <mergeCell ref="L405:M405"/>
    <mergeCell ref="N405:Q405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F388:I388"/>
    <mergeCell ref="L388:M388"/>
    <mergeCell ref="N388:Q388"/>
    <mergeCell ref="F389:I389"/>
    <mergeCell ref="F390:I390"/>
    <mergeCell ref="F391:I391"/>
    <mergeCell ref="L391:M391"/>
    <mergeCell ref="N391:Q391"/>
    <mergeCell ref="F392:I392"/>
    <mergeCell ref="F382:I382"/>
    <mergeCell ref="F383:I383"/>
    <mergeCell ref="L383:M383"/>
    <mergeCell ref="N383:Q383"/>
    <mergeCell ref="F385:I385"/>
    <mergeCell ref="L385:M385"/>
    <mergeCell ref="N385:Q385"/>
    <mergeCell ref="F386:I386"/>
    <mergeCell ref="F387:I387"/>
    <mergeCell ref="F375:I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L381:M381"/>
    <mergeCell ref="N381:Q381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F374:I374"/>
    <mergeCell ref="F363:I363"/>
    <mergeCell ref="F364:I364"/>
    <mergeCell ref="L364:M364"/>
    <mergeCell ref="N364:Q364"/>
    <mergeCell ref="F365:I365"/>
    <mergeCell ref="F366:I366"/>
    <mergeCell ref="F367:I367"/>
    <mergeCell ref="L367:M367"/>
    <mergeCell ref="N367:Q367"/>
    <mergeCell ref="F358:I358"/>
    <mergeCell ref="F359:I359"/>
    <mergeCell ref="L359:M359"/>
    <mergeCell ref="N359:Q359"/>
    <mergeCell ref="F360:I360"/>
    <mergeCell ref="F361:I361"/>
    <mergeCell ref="L361:M361"/>
    <mergeCell ref="N361:Q361"/>
    <mergeCell ref="F362:I362"/>
    <mergeCell ref="L353:M353"/>
    <mergeCell ref="N353:Q353"/>
    <mergeCell ref="F354:I354"/>
    <mergeCell ref="L354:M354"/>
    <mergeCell ref="N354:Q354"/>
    <mergeCell ref="F355:I355"/>
    <mergeCell ref="F356:I356"/>
    <mergeCell ref="F357:I357"/>
    <mergeCell ref="L357:M357"/>
    <mergeCell ref="N357:Q357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292:I292"/>
    <mergeCell ref="F293:I293"/>
    <mergeCell ref="F294:I294"/>
    <mergeCell ref="L294:M294"/>
    <mergeCell ref="N294:Q294"/>
    <mergeCell ref="F295:I295"/>
    <mergeCell ref="F296:I296"/>
    <mergeCell ref="L296:M296"/>
    <mergeCell ref="N296:Q29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91:I291"/>
    <mergeCell ref="L291:M291"/>
    <mergeCell ref="N291:Q291"/>
    <mergeCell ref="F281:I281"/>
    <mergeCell ref="F282:I282"/>
    <mergeCell ref="F283:I283"/>
    <mergeCell ref="L283:M283"/>
    <mergeCell ref="N283:Q283"/>
    <mergeCell ref="F284:I284"/>
    <mergeCell ref="F285:I285"/>
    <mergeCell ref="F286:I286"/>
    <mergeCell ref="L286:M286"/>
    <mergeCell ref="N286:Q286"/>
    <mergeCell ref="N274:Q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L274:M274"/>
    <mergeCell ref="F260:I260"/>
    <mergeCell ref="F261:I261"/>
    <mergeCell ref="F262:I262"/>
    <mergeCell ref="F263:I263"/>
    <mergeCell ref="F264:I264"/>
    <mergeCell ref="F265:I265"/>
    <mergeCell ref="L265:M265"/>
    <mergeCell ref="N265:Q265"/>
    <mergeCell ref="F266:I266"/>
    <mergeCell ref="L266:M266"/>
    <mergeCell ref="N266:Q266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F250:I250"/>
    <mergeCell ref="L250:M250"/>
    <mergeCell ref="N250:Q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N235:Q235"/>
    <mergeCell ref="F236:I236"/>
    <mergeCell ref="F237:I237"/>
    <mergeCell ref="F238:I238"/>
    <mergeCell ref="F239:I239"/>
    <mergeCell ref="F240:I240"/>
    <mergeCell ref="F241:I241"/>
    <mergeCell ref="F243:I243"/>
    <mergeCell ref="L243:M243"/>
    <mergeCell ref="N243:Q243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F227:I227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48"/>
  <sheetViews>
    <sheetView showGridLines="0" view="pageBreakPreview" zoomScaleSheetLayoutView="100" workbookViewId="0" topLeftCell="A1">
      <pane ySplit="1" topLeftCell="A92" activePane="bottomLeft" state="frozen"/>
      <selection pane="bottomLeft" activeCell="L119" sqref="L119:M16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138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N95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ROUNDUP((SUM(BE95:BE96)+SUM(BE114:BE147)),2)</f>
        <v>0</v>
      </c>
      <c r="I32" s="275"/>
      <c r="J32" s="275"/>
      <c r="K32" s="36"/>
      <c r="L32" s="36"/>
      <c r="M32" s="279">
        <f>ROUNDUP(ROUNDUP((SUM(BE95:BE96)+SUM(BE114:BE147)),2)*F32,1)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ROUNDUP((SUM(BF95:BF96)+SUM(BF114:BF147)),2)</f>
        <v>0</v>
      </c>
      <c r="I33" s="275"/>
      <c r="J33" s="275"/>
      <c r="K33" s="36"/>
      <c r="L33" s="36"/>
      <c r="M33" s="279">
        <f>ROUNDUP(ROUNDUP((SUM(BF95:BF96)+SUM(BF114:BF147)),2)*F33,1)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ROUNDUP((SUM(BG95:BG96)+SUM(BG114:BG147)),2)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ROUNDUP((SUM(BH95:BH96)+SUM(BH114:BH147)),2)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ROUNDUP((SUM(BI95:BI96)+SUM(BI114:BI147)),2)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SO.1.01 - Objekt ČOV - hrubé předčištění  a měření průtoku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N114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N115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N116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N118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150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N143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151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N146</f>
        <v>0</v>
      </c>
      <c r="O93" s="288"/>
      <c r="P93" s="288"/>
      <c r="Q93" s="288"/>
      <c r="R93" s="120"/>
    </row>
    <row r="94" spans="2:18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21" s="1" customFormat="1" ht="29.25" customHeight="1">
      <c r="B95" s="35"/>
      <c r="C95" s="112" t="s">
        <v>152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84">
        <v>0</v>
      </c>
      <c r="O95" s="289"/>
      <c r="P95" s="289"/>
      <c r="Q95" s="289"/>
      <c r="R95" s="37"/>
      <c r="T95" s="121"/>
      <c r="U95" s="122" t="s">
        <v>42</v>
      </c>
    </row>
    <row r="96" spans="2:18" s="1" customFormat="1" ht="18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18" s="1" customFormat="1" ht="29.25" customHeight="1">
      <c r="B97" s="35"/>
      <c r="C97" s="103" t="s">
        <v>129</v>
      </c>
      <c r="D97" s="104"/>
      <c r="E97" s="104"/>
      <c r="F97" s="104"/>
      <c r="G97" s="104"/>
      <c r="H97" s="104"/>
      <c r="I97" s="104"/>
      <c r="J97" s="104"/>
      <c r="K97" s="104"/>
      <c r="L97" s="268">
        <f>ROUNDUP(SUM(N88+N95),2)</f>
        <v>0</v>
      </c>
      <c r="M97" s="268"/>
      <c r="N97" s="268"/>
      <c r="O97" s="268"/>
      <c r="P97" s="268"/>
      <c r="Q97" s="268"/>
      <c r="R97" s="37"/>
    </row>
    <row r="98" spans="2:18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</row>
    <row r="102" spans="2:18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3" spans="2:18" s="1" customFormat="1" ht="36.95" customHeight="1">
      <c r="B103" s="35"/>
      <c r="C103" s="237" t="s">
        <v>153</v>
      </c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37"/>
    </row>
    <row r="104" spans="2:18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30" customHeight="1">
      <c r="B105" s="35"/>
      <c r="C105" s="32" t="s">
        <v>16</v>
      </c>
      <c r="D105" s="36"/>
      <c r="E105" s="36"/>
      <c r="F105" s="273" t="str">
        <f>F6</f>
        <v>ČOV a splašková kanalizace Žinkovy</v>
      </c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36"/>
      <c r="R105" s="37"/>
    </row>
    <row r="106" spans="2:18" s="1" customFormat="1" ht="36.95" customHeight="1">
      <c r="B106" s="35"/>
      <c r="C106" s="69" t="s">
        <v>137</v>
      </c>
      <c r="D106" s="36"/>
      <c r="E106" s="36"/>
      <c r="F106" s="254" t="str">
        <f>F7</f>
        <v>SO.1.01 - Objekt ČOV - hrubé předčištění  a měření průtoku</v>
      </c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8" customHeight="1">
      <c r="B108" s="35"/>
      <c r="C108" s="32" t="s">
        <v>22</v>
      </c>
      <c r="D108" s="36"/>
      <c r="E108" s="36"/>
      <c r="F108" s="30" t="str">
        <f>F9</f>
        <v>Žinkovy</v>
      </c>
      <c r="G108" s="36"/>
      <c r="H108" s="36"/>
      <c r="I108" s="36"/>
      <c r="J108" s="36"/>
      <c r="K108" s="32" t="s">
        <v>24</v>
      </c>
      <c r="L108" s="36"/>
      <c r="M108" s="276">
        <f>IF(O9="","",O9)</f>
        <v>42912</v>
      </c>
      <c r="N108" s="276"/>
      <c r="O108" s="276"/>
      <c r="P108" s="276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5">
      <c r="B110" s="35"/>
      <c r="C110" s="32" t="s">
        <v>27</v>
      </c>
      <c r="D110" s="36"/>
      <c r="E110" s="36"/>
      <c r="F110" s="30" t="str">
        <f>E12</f>
        <v>Obec Žinkovy</v>
      </c>
      <c r="G110" s="36"/>
      <c r="H110" s="36"/>
      <c r="I110" s="36"/>
      <c r="J110" s="36"/>
      <c r="K110" s="32" t="s">
        <v>33</v>
      </c>
      <c r="L110" s="36"/>
      <c r="M110" s="277" t="str">
        <f>E18</f>
        <v>PIK Vítek s.r.o.</v>
      </c>
      <c r="N110" s="277"/>
      <c r="O110" s="277"/>
      <c r="P110" s="277"/>
      <c r="Q110" s="277"/>
      <c r="R110" s="37"/>
    </row>
    <row r="111" spans="2:18" s="1" customFormat="1" ht="14.45" customHeight="1">
      <c r="B111" s="35"/>
      <c r="C111" s="32" t="s">
        <v>31</v>
      </c>
      <c r="D111" s="36"/>
      <c r="E111" s="36"/>
      <c r="F111" s="30" t="str">
        <f>IF(E15="","",E15)</f>
        <v xml:space="preserve"> </v>
      </c>
      <c r="G111" s="36"/>
      <c r="H111" s="36"/>
      <c r="I111" s="36"/>
      <c r="J111" s="36"/>
      <c r="K111" s="32" t="s">
        <v>36</v>
      </c>
      <c r="L111" s="36"/>
      <c r="M111" s="277" t="str">
        <f>E21</f>
        <v>Acrone s.r.o.</v>
      </c>
      <c r="N111" s="277"/>
      <c r="O111" s="277"/>
      <c r="P111" s="277"/>
      <c r="Q111" s="277"/>
      <c r="R111" s="37"/>
    </row>
    <row r="112" spans="2:18" s="1" customFormat="1" ht="10.3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27" s="8" customFormat="1" ht="29.25" customHeight="1">
      <c r="B113" s="123"/>
      <c r="C113" s="124" t="s">
        <v>154</v>
      </c>
      <c r="D113" s="125" t="s">
        <v>155</v>
      </c>
      <c r="E113" s="125" t="s">
        <v>60</v>
      </c>
      <c r="F113" s="290" t="s">
        <v>156</v>
      </c>
      <c r="G113" s="290"/>
      <c r="H113" s="290"/>
      <c r="I113" s="290"/>
      <c r="J113" s="125" t="s">
        <v>157</v>
      </c>
      <c r="K113" s="125" t="s">
        <v>158</v>
      </c>
      <c r="L113" s="291" t="s">
        <v>159</v>
      </c>
      <c r="M113" s="291"/>
      <c r="N113" s="290" t="s">
        <v>144</v>
      </c>
      <c r="O113" s="290"/>
      <c r="P113" s="290"/>
      <c r="Q113" s="292"/>
      <c r="R113" s="126"/>
      <c r="T113" s="76" t="s">
        <v>160</v>
      </c>
      <c r="U113" s="77" t="s">
        <v>42</v>
      </c>
      <c r="V113" s="77" t="s">
        <v>161</v>
      </c>
      <c r="W113" s="77" t="s">
        <v>162</v>
      </c>
      <c r="X113" s="77" t="s">
        <v>163</v>
      </c>
      <c r="Y113" s="77" t="s">
        <v>164</v>
      </c>
      <c r="Z113" s="77" t="s">
        <v>165</v>
      </c>
      <c r="AA113" s="78" t="s">
        <v>166</v>
      </c>
    </row>
    <row r="114" spans="2:63" s="1" customFormat="1" ht="29.25" customHeight="1">
      <c r="B114" s="35"/>
      <c r="C114" s="80" t="s">
        <v>140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95">
        <f>BK114</f>
        <v>0</v>
      </c>
      <c r="O114" s="296"/>
      <c r="P114" s="296"/>
      <c r="Q114" s="296"/>
      <c r="R114" s="37"/>
      <c r="T114" s="79"/>
      <c r="U114" s="51"/>
      <c r="V114" s="51"/>
      <c r="W114" s="127">
        <f>W115</f>
        <v>33.348367999999994</v>
      </c>
      <c r="X114" s="51"/>
      <c r="Y114" s="127">
        <f>Y115</f>
        <v>14.386866150000001</v>
      </c>
      <c r="Z114" s="51"/>
      <c r="AA114" s="128">
        <f>AA115</f>
        <v>0</v>
      </c>
      <c r="AT114" s="21" t="s">
        <v>77</v>
      </c>
      <c r="AU114" s="21" t="s">
        <v>146</v>
      </c>
      <c r="BK114" s="129">
        <f>BK115</f>
        <v>0</v>
      </c>
    </row>
    <row r="115" spans="2:63" s="9" customFormat="1" ht="37.35" customHeight="1">
      <c r="B115" s="130"/>
      <c r="C115" s="131"/>
      <c r="D115" s="132" t="s">
        <v>147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297">
        <f>BK115</f>
        <v>0</v>
      </c>
      <c r="O115" s="285"/>
      <c r="P115" s="285"/>
      <c r="Q115" s="285"/>
      <c r="R115" s="133"/>
      <c r="T115" s="134"/>
      <c r="U115" s="131"/>
      <c r="V115" s="131"/>
      <c r="W115" s="135">
        <f>W116+W118+W143+W146</f>
        <v>33.348367999999994</v>
      </c>
      <c r="X115" s="131"/>
      <c r="Y115" s="135">
        <f>Y116+Y118+Y143+Y146</f>
        <v>14.386866150000001</v>
      </c>
      <c r="Z115" s="131"/>
      <c r="AA115" s="136">
        <f>AA116+AA118+AA143+AA146</f>
        <v>0</v>
      </c>
      <c r="AR115" s="137" t="s">
        <v>21</v>
      </c>
      <c r="AT115" s="138" t="s">
        <v>77</v>
      </c>
      <c r="AU115" s="138" t="s">
        <v>78</v>
      </c>
      <c r="AY115" s="137" t="s">
        <v>167</v>
      </c>
      <c r="BK115" s="139">
        <f>BK116+BK118+BK143+BK146</f>
        <v>0</v>
      </c>
    </row>
    <row r="116" spans="2:63" s="9" customFormat="1" ht="19.9" customHeight="1">
      <c r="B116" s="130"/>
      <c r="C116" s="131"/>
      <c r="D116" s="140" t="s">
        <v>148</v>
      </c>
      <c r="E116" s="140"/>
      <c r="F116" s="140"/>
      <c r="G116" s="140"/>
      <c r="H116" s="140"/>
      <c r="I116" s="140"/>
      <c r="J116" s="140"/>
      <c r="K116" s="140"/>
      <c r="L116" s="140"/>
      <c r="M116" s="140"/>
      <c r="N116" s="298">
        <f>BK116</f>
        <v>0</v>
      </c>
      <c r="O116" s="299"/>
      <c r="P116" s="299"/>
      <c r="Q116" s="299"/>
      <c r="R116" s="133"/>
      <c r="T116" s="134"/>
      <c r="U116" s="131"/>
      <c r="V116" s="131"/>
      <c r="W116" s="135">
        <f>W117</f>
        <v>0</v>
      </c>
      <c r="X116" s="131"/>
      <c r="Y116" s="135">
        <f>Y117</f>
        <v>0</v>
      </c>
      <c r="Z116" s="131"/>
      <c r="AA116" s="136">
        <f>AA117</f>
        <v>0</v>
      </c>
      <c r="AR116" s="137" t="s">
        <v>21</v>
      </c>
      <c r="AT116" s="138" t="s">
        <v>77</v>
      </c>
      <c r="AU116" s="138" t="s">
        <v>21</v>
      </c>
      <c r="AY116" s="137" t="s">
        <v>167</v>
      </c>
      <c r="BK116" s="139">
        <f>BK117</f>
        <v>0</v>
      </c>
    </row>
    <row r="117" spans="2:65" s="1" customFormat="1" ht="31.5" customHeight="1">
      <c r="B117" s="141"/>
      <c r="C117" s="142" t="s">
        <v>21</v>
      </c>
      <c r="D117" s="142" t="s">
        <v>168</v>
      </c>
      <c r="E117" s="143" t="s">
        <v>169</v>
      </c>
      <c r="F117" s="293" t="s">
        <v>170</v>
      </c>
      <c r="G117" s="293"/>
      <c r="H117" s="293"/>
      <c r="I117" s="293"/>
      <c r="J117" s="144" t="s">
        <v>171</v>
      </c>
      <c r="K117" s="145">
        <v>0</v>
      </c>
      <c r="L117" s="294"/>
      <c r="M117" s="294"/>
      <c r="N117" s="294">
        <f>ROUND(L117*K117,2)</f>
        <v>0</v>
      </c>
      <c r="O117" s="294"/>
      <c r="P117" s="294"/>
      <c r="Q117" s="294"/>
      <c r="R117" s="146"/>
      <c r="T117" s="147" t="s">
        <v>5</v>
      </c>
      <c r="U117" s="44" t="s">
        <v>43</v>
      </c>
      <c r="V117" s="148">
        <v>0.467</v>
      </c>
      <c r="W117" s="148">
        <f>V117*K117</f>
        <v>0</v>
      </c>
      <c r="X117" s="148">
        <v>0</v>
      </c>
      <c r="Y117" s="148">
        <f>X117*K117</f>
        <v>0</v>
      </c>
      <c r="Z117" s="148">
        <v>0</v>
      </c>
      <c r="AA117" s="149">
        <f>Z117*K117</f>
        <v>0</v>
      </c>
      <c r="AR117" s="21" t="s">
        <v>172</v>
      </c>
      <c r="AT117" s="21" t="s">
        <v>168</v>
      </c>
      <c r="AU117" s="21" t="s">
        <v>135</v>
      </c>
      <c r="AY117" s="21" t="s">
        <v>167</v>
      </c>
      <c r="BE117" s="150">
        <f>IF(U117="základní",N117,0)</f>
        <v>0</v>
      </c>
      <c r="BF117" s="150">
        <f>IF(U117="snížená",N117,0)</f>
        <v>0</v>
      </c>
      <c r="BG117" s="150">
        <f>IF(U117="zákl. přenesená",N117,0)</f>
        <v>0</v>
      </c>
      <c r="BH117" s="150">
        <f>IF(U117="sníž. přenesená",N117,0)</f>
        <v>0</v>
      </c>
      <c r="BI117" s="150">
        <f>IF(U117="nulová",N117,0)</f>
        <v>0</v>
      </c>
      <c r="BJ117" s="21" t="s">
        <v>21</v>
      </c>
      <c r="BK117" s="150">
        <f>ROUND(L117*K117,2)</f>
        <v>0</v>
      </c>
      <c r="BL117" s="21" t="s">
        <v>172</v>
      </c>
      <c r="BM117" s="21" t="s">
        <v>173</v>
      </c>
    </row>
    <row r="118" spans="2:63" s="9" customFormat="1" ht="29.85" customHeight="1">
      <c r="B118" s="130"/>
      <c r="C118" s="131"/>
      <c r="D118" s="140" t="s">
        <v>149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310">
        <f>BK118</f>
        <v>0</v>
      </c>
      <c r="O118" s="311"/>
      <c r="P118" s="311"/>
      <c r="Q118" s="311"/>
      <c r="R118" s="133"/>
      <c r="T118" s="134"/>
      <c r="U118" s="131"/>
      <c r="V118" s="131"/>
      <c r="W118" s="135">
        <f>SUM(W119:W142)</f>
        <v>22.794335999999998</v>
      </c>
      <c r="X118" s="131"/>
      <c r="Y118" s="135">
        <f>SUM(Y119:Y142)</f>
        <v>6.440106150000001</v>
      </c>
      <c r="Z118" s="131"/>
      <c r="AA118" s="136">
        <f>SUM(AA119:AA142)</f>
        <v>0</v>
      </c>
      <c r="AR118" s="137" t="s">
        <v>21</v>
      </c>
      <c r="AT118" s="138" t="s">
        <v>77</v>
      </c>
      <c r="AU118" s="138" t="s">
        <v>21</v>
      </c>
      <c r="AY118" s="137" t="s">
        <v>167</v>
      </c>
      <c r="BK118" s="139">
        <f>SUM(BK119:BK142)</f>
        <v>0</v>
      </c>
    </row>
    <row r="119" spans="2:65" s="1" customFormat="1" ht="22.5" customHeight="1">
      <c r="B119" s="141"/>
      <c r="C119" s="142" t="s">
        <v>135</v>
      </c>
      <c r="D119" s="142" t="s">
        <v>168</v>
      </c>
      <c r="E119" s="143" t="s">
        <v>174</v>
      </c>
      <c r="F119" s="293" t="s">
        <v>175</v>
      </c>
      <c r="G119" s="293"/>
      <c r="H119" s="293"/>
      <c r="I119" s="293"/>
      <c r="J119" s="144" t="s">
        <v>176</v>
      </c>
      <c r="K119" s="145">
        <v>0.96</v>
      </c>
      <c r="L119" s="294"/>
      <c r="M119" s="294"/>
      <c r="N119" s="294">
        <f>ROUND(L119*K119,2)</f>
        <v>0</v>
      </c>
      <c r="O119" s="294"/>
      <c r="P119" s="294"/>
      <c r="Q119" s="294"/>
      <c r="R119" s="146"/>
      <c r="T119" s="147" t="s">
        <v>5</v>
      </c>
      <c r="U119" s="44" t="s">
        <v>43</v>
      </c>
      <c r="V119" s="148">
        <v>1.03</v>
      </c>
      <c r="W119" s="148">
        <f>V119*K119</f>
        <v>0.9888</v>
      </c>
      <c r="X119" s="148">
        <v>2.0875</v>
      </c>
      <c r="Y119" s="148">
        <f>X119*K119</f>
        <v>2.004</v>
      </c>
      <c r="Z119" s="148">
        <v>0</v>
      </c>
      <c r="AA119" s="149">
        <f>Z119*K119</f>
        <v>0</v>
      </c>
      <c r="AR119" s="21" t="s">
        <v>172</v>
      </c>
      <c r="AT119" s="21" t="s">
        <v>168</v>
      </c>
      <c r="AU119" s="21" t="s">
        <v>135</v>
      </c>
      <c r="AY119" s="21" t="s">
        <v>167</v>
      </c>
      <c r="BE119" s="150">
        <f>IF(U119="základní",N119,0)</f>
        <v>0</v>
      </c>
      <c r="BF119" s="150">
        <f>IF(U119="snížená",N119,0)</f>
        <v>0</v>
      </c>
      <c r="BG119" s="150">
        <f>IF(U119="zákl. přenesená",N119,0)</f>
        <v>0</v>
      </c>
      <c r="BH119" s="150">
        <f>IF(U119="sníž. přenesená",N119,0)</f>
        <v>0</v>
      </c>
      <c r="BI119" s="150">
        <f>IF(U119="nulová",N119,0)</f>
        <v>0</v>
      </c>
      <c r="BJ119" s="21" t="s">
        <v>21</v>
      </c>
      <c r="BK119" s="150">
        <f>ROUND(L119*K119,2)</f>
        <v>0</v>
      </c>
      <c r="BL119" s="21" t="s">
        <v>172</v>
      </c>
      <c r="BM119" s="21" t="s">
        <v>177</v>
      </c>
    </row>
    <row r="120" spans="2:51" s="10" customFormat="1" ht="22.5" customHeight="1">
      <c r="B120" s="151"/>
      <c r="C120" s="152"/>
      <c r="D120" s="152"/>
      <c r="E120" s="153" t="s">
        <v>5</v>
      </c>
      <c r="F120" s="300" t="s">
        <v>178</v>
      </c>
      <c r="G120" s="301"/>
      <c r="H120" s="301"/>
      <c r="I120" s="301"/>
      <c r="J120" s="152"/>
      <c r="K120" s="154" t="s">
        <v>5</v>
      </c>
      <c r="L120" s="152"/>
      <c r="M120" s="152"/>
      <c r="N120" s="152"/>
      <c r="O120" s="152"/>
      <c r="P120" s="152"/>
      <c r="Q120" s="152"/>
      <c r="R120" s="155"/>
      <c r="T120" s="156"/>
      <c r="U120" s="152"/>
      <c r="V120" s="152"/>
      <c r="W120" s="152"/>
      <c r="X120" s="152"/>
      <c r="Y120" s="152"/>
      <c r="Z120" s="152"/>
      <c r="AA120" s="157"/>
      <c r="AT120" s="158" t="s">
        <v>179</v>
      </c>
      <c r="AU120" s="158" t="s">
        <v>135</v>
      </c>
      <c r="AV120" s="10" t="s">
        <v>21</v>
      </c>
      <c r="AW120" s="10" t="s">
        <v>35</v>
      </c>
      <c r="AX120" s="10" t="s">
        <v>78</v>
      </c>
      <c r="AY120" s="158" t="s">
        <v>167</v>
      </c>
    </row>
    <row r="121" spans="2:51" s="11" customFormat="1" ht="22.5" customHeight="1">
      <c r="B121" s="159"/>
      <c r="C121" s="160"/>
      <c r="D121" s="160"/>
      <c r="E121" s="161" t="s">
        <v>5</v>
      </c>
      <c r="F121" s="302" t="s">
        <v>180</v>
      </c>
      <c r="G121" s="303"/>
      <c r="H121" s="303"/>
      <c r="I121" s="303"/>
      <c r="J121" s="160"/>
      <c r="K121" s="162">
        <v>0.735</v>
      </c>
      <c r="L121" s="160"/>
      <c r="M121" s="160"/>
      <c r="N121" s="160"/>
      <c r="O121" s="160"/>
      <c r="P121" s="160"/>
      <c r="Q121" s="160"/>
      <c r="R121" s="163"/>
      <c r="T121" s="164"/>
      <c r="U121" s="160"/>
      <c r="V121" s="160"/>
      <c r="W121" s="160"/>
      <c r="X121" s="160"/>
      <c r="Y121" s="160"/>
      <c r="Z121" s="160"/>
      <c r="AA121" s="165"/>
      <c r="AT121" s="166" t="s">
        <v>179</v>
      </c>
      <c r="AU121" s="166" t="s">
        <v>135</v>
      </c>
      <c r="AV121" s="11" t="s">
        <v>135</v>
      </c>
      <c r="AW121" s="11" t="s">
        <v>35</v>
      </c>
      <c r="AX121" s="11" t="s">
        <v>78</v>
      </c>
      <c r="AY121" s="166" t="s">
        <v>167</v>
      </c>
    </row>
    <row r="122" spans="2:51" s="11" customFormat="1" ht="22.5" customHeight="1">
      <c r="B122" s="159"/>
      <c r="C122" s="160"/>
      <c r="D122" s="160"/>
      <c r="E122" s="161" t="s">
        <v>5</v>
      </c>
      <c r="F122" s="302" t="s">
        <v>5</v>
      </c>
      <c r="G122" s="303"/>
      <c r="H122" s="303"/>
      <c r="I122" s="303"/>
      <c r="J122" s="160"/>
      <c r="K122" s="162">
        <v>0</v>
      </c>
      <c r="L122" s="160"/>
      <c r="M122" s="160"/>
      <c r="N122" s="160"/>
      <c r="O122" s="160"/>
      <c r="P122" s="160"/>
      <c r="Q122" s="160"/>
      <c r="R122" s="163"/>
      <c r="T122" s="164"/>
      <c r="U122" s="160"/>
      <c r="V122" s="160"/>
      <c r="W122" s="160"/>
      <c r="X122" s="160"/>
      <c r="Y122" s="160"/>
      <c r="Z122" s="160"/>
      <c r="AA122" s="165"/>
      <c r="AT122" s="166" t="s">
        <v>179</v>
      </c>
      <c r="AU122" s="166" t="s">
        <v>135</v>
      </c>
      <c r="AV122" s="11" t="s">
        <v>135</v>
      </c>
      <c r="AW122" s="11" t="s">
        <v>35</v>
      </c>
      <c r="AX122" s="11" t="s">
        <v>78</v>
      </c>
      <c r="AY122" s="166" t="s">
        <v>167</v>
      </c>
    </row>
    <row r="123" spans="2:51" s="10" customFormat="1" ht="22.5" customHeight="1">
      <c r="B123" s="151"/>
      <c r="C123" s="152"/>
      <c r="D123" s="152"/>
      <c r="E123" s="153" t="s">
        <v>5</v>
      </c>
      <c r="F123" s="304" t="s">
        <v>181</v>
      </c>
      <c r="G123" s="305"/>
      <c r="H123" s="305"/>
      <c r="I123" s="305"/>
      <c r="J123" s="152"/>
      <c r="K123" s="154" t="s">
        <v>5</v>
      </c>
      <c r="L123" s="152"/>
      <c r="M123" s="152"/>
      <c r="N123" s="152"/>
      <c r="O123" s="152"/>
      <c r="P123" s="152"/>
      <c r="Q123" s="152"/>
      <c r="R123" s="155"/>
      <c r="T123" s="156"/>
      <c r="U123" s="152"/>
      <c r="V123" s="152"/>
      <c r="W123" s="152"/>
      <c r="X123" s="152"/>
      <c r="Y123" s="152"/>
      <c r="Z123" s="152"/>
      <c r="AA123" s="157"/>
      <c r="AT123" s="158" t="s">
        <v>179</v>
      </c>
      <c r="AU123" s="158" t="s">
        <v>135</v>
      </c>
      <c r="AV123" s="10" t="s">
        <v>21</v>
      </c>
      <c r="AW123" s="10" t="s">
        <v>35</v>
      </c>
      <c r="AX123" s="10" t="s">
        <v>78</v>
      </c>
      <c r="AY123" s="158" t="s">
        <v>167</v>
      </c>
    </row>
    <row r="124" spans="2:51" s="11" customFormat="1" ht="22.5" customHeight="1">
      <c r="B124" s="159"/>
      <c r="C124" s="160"/>
      <c r="D124" s="160"/>
      <c r="E124" s="161" t="s">
        <v>5</v>
      </c>
      <c r="F124" s="302" t="s">
        <v>182</v>
      </c>
      <c r="G124" s="303"/>
      <c r="H124" s="303"/>
      <c r="I124" s="303"/>
      <c r="J124" s="160"/>
      <c r="K124" s="162">
        <v>0.225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78</v>
      </c>
      <c r="AY124" s="166" t="s">
        <v>167</v>
      </c>
    </row>
    <row r="125" spans="2:51" s="12" customFormat="1" ht="22.5" customHeight="1">
      <c r="B125" s="167"/>
      <c r="C125" s="168"/>
      <c r="D125" s="168"/>
      <c r="E125" s="169" t="s">
        <v>5</v>
      </c>
      <c r="F125" s="306" t="s">
        <v>183</v>
      </c>
      <c r="G125" s="307"/>
      <c r="H125" s="307"/>
      <c r="I125" s="307"/>
      <c r="J125" s="168"/>
      <c r="K125" s="170">
        <v>0.96</v>
      </c>
      <c r="L125" s="168"/>
      <c r="M125" s="168"/>
      <c r="N125" s="168"/>
      <c r="O125" s="168"/>
      <c r="P125" s="168"/>
      <c r="Q125" s="168"/>
      <c r="R125" s="171"/>
      <c r="T125" s="172"/>
      <c r="U125" s="168"/>
      <c r="V125" s="168"/>
      <c r="W125" s="168"/>
      <c r="X125" s="168"/>
      <c r="Y125" s="168"/>
      <c r="Z125" s="168"/>
      <c r="AA125" s="173"/>
      <c r="AT125" s="174" t="s">
        <v>179</v>
      </c>
      <c r="AU125" s="174" t="s">
        <v>135</v>
      </c>
      <c r="AV125" s="12" t="s">
        <v>172</v>
      </c>
      <c r="AW125" s="12" t="s">
        <v>35</v>
      </c>
      <c r="AX125" s="12" t="s">
        <v>21</v>
      </c>
      <c r="AY125" s="174" t="s">
        <v>167</v>
      </c>
    </row>
    <row r="126" spans="2:65" s="1" customFormat="1" ht="22.5" customHeight="1">
      <c r="B126" s="141"/>
      <c r="C126" s="142" t="s">
        <v>184</v>
      </c>
      <c r="D126" s="142" t="s">
        <v>168</v>
      </c>
      <c r="E126" s="143" t="s">
        <v>185</v>
      </c>
      <c r="F126" s="293" t="s">
        <v>186</v>
      </c>
      <c r="G126" s="293"/>
      <c r="H126" s="293"/>
      <c r="I126" s="293"/>
      <c r="J126" s="144" t="s">
        <v>176</v>
      </c>
      <c r="K126" s="145">
        <v>0.396</v>
      </c>
      <c r="L126" s="294"/>
      <c r="M126" s="294"/>
      <c r="N126" s="294">
        <f>ROUND(L126*K126,2)</f>
        <v>0</v>
      </c>
      <c r="O126" s="294"/>
      <c r="P126" s="294"/>
      <c r="Q126" s="294"/>
      <c r="R126" s="146"/>
      <c r="T126" s="147" t="s">
        <v>5</v>
      </c>
      <c r="U126" s="44" t="s">
        <v>43</v>
      </c>
      <c r="V126" s="148">
        <v>0.266</v>
      </c>
      <c r="W126" s="148">
        <f>V126*K126</f>
        <v>0.10533600000000001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172</v>
      </c>
      <c r="AT126" s="21" t="s">
        <v>168</v>
      </c>
      <c r="AU126" s="21" t="s">
        <v>135</v>
      </c>
      <c r="AY126" s="21" t="s">
        <v>167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21</v>
      </c>
      <c r="BK126" s="150">
        <f>ROUND(L126*K126,2)</f>
        <v>0</v>
      </c>
      <c r="BL126" s="21" t="s">
        <v>172</v>
      </c>
      <c r="BM126" s="21" t="s">
        <v>187</v>
      </c>
    </row>
    <row r="127" spans="2:51" s="11" customFormat="1" ht="22.5" customHeight="1">
      <c r="B127" s="159"/>
      <c r="C127" s="160"/>
      <c r="D127" s="160"/>
      <c r="E127" s="161" t="s">
        <v>5</v>
      </c>
      <c r="F127" s="308" t="s">
        <v>188</v>
      </c>
      <c r="G127" s="309"/>
      <c r="H127" s="309"/>
      <c r="I127" s="309"/>
      <c r="J127" s="160"/>
      <c r="K127" s="162">
        <v>0.396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179</v>
      </c>
      <c r="AU127" s="166" t="s">
        <v>135</v>
      </c>
      <c r="AV127" s="11" t="s">
        <v>135</v>
      </c>
      <c r="AW127" s="11" t="s">
        <v>35</v>
      </c>
      <c r="AX127" s="11" t="s">
        <v>21</v>
      </c>
      <c r="AY127" s="166" t="s">
        <v>167</v>
      </c>
    </row>
    <row r="128" spans="2:65" s="1" customFormat="1" ht="31.5" customHeight="1">
      <c r="B128" s="141"/>
      <c r="C128" s="142" t="s">
        <v>172</v>
      </c>
      <c r="D128" s="142" t="s">
        <v>168</v>
      </c>
      <c r="E128" s="143" t="s">
        <v>189</v>
      </c>
      <c r="F128" s="293" t="s">
        <v>190</v>
      </c>
      <c r="G128" s="293"/>
      <c r="H128" s="293"/>
      <c r="I128" s="293"/>
      <c r="J128" s="144" t="s">
        <v>176</v>
      </c>
      <c r="K128" s="145">
        <v>1.645</v>
      </c>
      <c r="L128" s="294"/>
      <c r="M128" s="294"/>
      <c r="N128" s="294">
        <f>ROUND(L128*K128,2)</f>
        <v>0</v>
      </c>
      <c r="O128" s="294"/>
      <c r="P128" s="294"/>
      <c r="Q128" s="294"/>
      <c r="R128" s="146"/>
      <c r="T128" s="147" t="s">
        <v>5</v>
      </c>
      <c r="U128" s="44" t="s">
        <v>43</v>
      </c>
      <c r="V128" s="148">
        <v>1.052</v>
      </c>
      <c r="W128" s="148">
        <f>V128*K128</f>
        <v>1.7305400000000002</v>
      </c>
      <c r="X128" s="148">
        <v>2.55178</v>
      </c>
      <c r="Y128" s="148">
        <f>X128*K128</f>
        <v>4.1976781</v>
      </c>
      <c r="Z128" s="148">
        <v>0</v>
      </c>
      <c r="AA128" s="149">
        <f>Z128*K128</f>
        <v>0</v>
      </c>
      <c r="AR128" s="21" t="s">
        <v>172</v>
      </c>
      <c r="AT128" s="21" t="s">
        <v>168</v>
      </c>
      <c r="AU128" s="21" t="s">
        <v>135</v>
      </c>
      <c r="AY128" s="21" t="s">
        <v>167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21</v>
      </c>
      <c r="BK128" s="150">
        <f>ROUND(L128*K128,2)</f>
        <v>0</v>
      </c>
      <c r="BL128" s="21" t="s">
        <v>172</v>
      </c>
      <c r="BM128" s="21" t="s">
        <v>191</v>
      </c>
    </row>
    <row r="129" spans="2:51" s="10" customFormat="1" ht="22.5" customHeight="1">
      <c r="B129" s="151"/>
      <c r="C129" s="152"/>
      <c r="D129" s="152"/>
      <c r="E129" s="153" t="s">
        <v>5</v>
      </c>
      <c r="F129" s="300" t="s">
        <v>192</v>
      </c>
      <c r="G129" s="301"/>
      <c r="H129" s="301"/>
      <c r="I129" s="301"/>
      <c r="J129" s="152"/>
      <c r="K129" s="154" t="s">
        <v>5</v>
      </c>
      <c r="L129" s="152"/>
      <c r="M129" s="152"/>
      <c r="N129" s="152"/>
      <c r="O129" s="152"/>
      <c r="P129" s="152"/>
      <c r="Q129" s="152"/>
      <c r="R129" s="155"/>
      <c r="T129" s="156"/>
      <c r="U129" s="152"/>
      <c r="V129" s="152"/>
      <c r="W129" s="152"/>
      <c r="X129" s="152"/>
      <c r="Y129" s="152"/>
      <c r="Z129" s="152"/>
      <c r="AA129" s="157"/>
      <c r="AT129" s="158" t="s">
        <v>179</v>
      </c>
      <c r="AU129" s="158" t="s">
        <v>135</v>
      </c>
      <c r="AV129" s="10" t="s">
        <v>21</v>
      </c>
      <c r="AW129" s="10" t="s">
        <v>35</v>
      </c>
      <c r="AX129" s="10" t="s">
        <v>78</v>
      </c>
      <c r="AY129" s="158" t="s">
        <v>167</v>
      </c>
    </row>
    <row r="130" spans="2:51" s="11" customFormat="1" ht="22.5" customHeight="1">
      <c r="B130" s="159"/>
      <c r="C130" s="160"/>
      <c r="D130" s="160"/>
      <c r="E130" s="161" t="s">
        <v>5</v>
      </c>
      <c r="F130" s="302" t="s">
        <v>193</v>
      </c>
      <c r="G130" s="303"/>
      <c r="H130" s="303"/>
      <c r="I130" s="303"/>
      <c r="J130" s="160"/>
      <c r="K130" s="162">
        <v>0.525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179</v>
      </c>
      <c r="AU130" s="166" t="s">
        <v>135</v>
      </c>
      <c r="AV130" s="11" t="s">
        <v>135</v>
      </c>
      <c r="AW130" s="11" t="s">
        <v>35</v>
      </c>
      <c r="AX130" s="11" t="s">
        <v>78</v>
      </c>
      <c r="AY130" s="166" t="s">
        <v>167</v>
      </c>
    </row>
    <row r="131" spans="2:51" s="10" customFormat="1" ht="22.5" customHeight="1">
      <c r="B131" s="151"/>
      <c r="C131" s="152"/>
      <c r="D131" s="152"/>
      <c r="E131" s="153" t="s">
        <v>5</v>
      </c>
      <c r="F131" s="304" t="s">
        <v>194</v>
      </c>
      <c r="G131" s="305"/>
      <c r="H131" s="305"/>
      <c r="I131" s="305"/>
      <c r="J131" s="152"/>
      <c r="K131" s="154" t="s">
        <v>5</v>
      </c>
      <c r="L131" s="152"/>
      <c r="M131" s="152"/>
      <c r="N131" s="152"/>
      <c r="O131" s="152"/>
      <c r="P131" s="152"/>
      <c r="Q131" s="152"/>
      <c r="R131" s="155"/>
      <c r="T131" s="156"/>
      <c r="U131" s="152"/>
      <c r="V131" s="152"/>
      <c r="W131" s="152"/>
      <c r="X131" s="152"/>
      <c r="Y131" s="152"/>
      <c r="Z131" s="152"/>
      <c r="AA131" s="157"/>
      <c r="AT131" s="158" t="s">
        <v>179</v>
      </c>
      <c r="AU131" s="158" t="s">
        <v>135</v>
      </c>
      <c r="AV131" s="10" t="s">
        <v>21</v>
      </c>
      <c r="AW131" s="10" t="s">
        <v>35</v>
      </c>
      <c r="AX131" s="10" t="s">
        <v>78</v>
      </c>
      <c r="AY131" s="158" t="s">
        <v>167</v>
      </c>
    </row>
    <row r="132" spans="2:51" s="11" customFormat="1" ht="22.5" customHeight="1">
      <c r="B132" s="159"/>
      <c r="C132" s="160"/>
      <c r="D132" s="160"/>
      <c r="E132" s="161" t="s">
        <v>5</v>
      </c>
      <c r="F132" s="302" t="s">
        <v>195</v>
      </c>
      <c r="G132" s="303"/>
      <c r="H132" s="303"/>
      <c r="I132" s="303"/>
      <c r="J132" s="160"/>
      <c r="K132" s="162">
        <v>1.12</v>
      </c>
      <c r="L132" s="160"/>
      <c r="M132" s="160"/>
      <c r="N132" s="160"/>
      <c r="O132" s="160"/>
      <c r="P132" s="160"/>
      <c r="Q132" s="160"/>
      <c r="R132" s="163"/>
      <c r="T132" s="164"/>
      <c r="U132" s="160"/>
      <c r="V132" s="160"/>
      <c r="W132" s="160"/>
      <c r="X132" s="160"/>
      <c r="Y132" s="160"/>
      <c r="Z132" s="160"/>
      <c r="AA132" s="165"/>
      <c r="AT132" s="166" t="s">
        <v>179</v>
      </c>
      <c r="AU132" s="166" t="s">
        <v>135</v>
      </c>
      <c r="AV132" s="11" t="s">
        <v>135</v>
      </c>
      <c r="AW132" s="11" t="s">
        <v>35</v>
      </c>
      <c r="AX132" s="11" t="s">
        <v>78</v>
      </c>
      <c r="AY132" s="166" t="s">
        <v>167</v>
      </c>
    </row>
    <row r="133" spans="2:51" s="12" customFormat="1" ht="22.5" customHeight="1">
      <c r="B133" s="167"/>
      <c r="C133" s="168"/>
      <c r="D133" s="168"/>
      <c r="E133" s="169" t="s">
        <v>5</v>
      </c>
      <c r="F133" s="306" t="s">
        <v>183</v>
      </c>
      <c r="G133" s="307"/>
      <c r="H133" s="307"/>
      <c r="I133" s="307"/>
      <c r="J133" s="168"/>
      <c r="K133" s="170">
        <v>1.645</v>
      </c>
      <c r="L133" s="168"/>
      <c r="M133" s="168"/>
      <c r="N133" s="168"/>
      <c r="O133" s="168"/>
      <c r="P133" s="168"/>
      <c r="Q133" s="168"/>
      <c r="R133" s="171"/>
      <c r="T133" s="172"/>
      <c r="U133" s="168"/>
      <c r="V133" s="168"/>
      <c r="W133" s="168"/>
      <c r="X133" s="168"/>
      <c r="Y133" s="168"/>
      <c r="Z133" s="168"/>
      <c r="AA133" s="173"/>
      <c r="AT133" s="174" t="s">
        <v>179</v>
      </c>
      <c r="AU133" s="174" t="s">
        <v>135</v>
      </c>
      <c r="AV133" s="12" t="s">
        <v>172</v>
      </c>
      <c r="AW133" s="12" t="s">
        <v>35</v>
      </c>
      <c r="AX133" s="12" t="s">
        <v>21</v>
      </c>
      <c r="AY133" s="174" t="s">
        <v>167</v>
      </c>
    </row>
    <row r="134" spans="2:65" s="1" customFormat="1" ht="31.5" customHeight="1">
      <c r="B134" s="141"/>
      <c r="C134" s="142" t="s">
        <v>196</v>
      </c>
      <c r="D134" s="142" t="s">
        <v>168</v>
      </c>
      <c r="E134" s="143" t="s">
        <v>197</v>
      </c>
      <c r="F134" s="293" t="s">
        <v>198</v>
      </c>
      <c r="G134" s="293"/>
      <c r="H134" s="293"/>
      <c r="I134" s="293"/>
      <c r="J134" s="144" t="s">
        <v>199</v>
      </c>
      <c r="K134" s="145">
        <v>14.32</v>
      </c>
      <c r="L134" s="294"/>
      <c r="M134" s="294"/>
      <c r="N134" s="294">
        <f>ROUND(L134*K134,2)</f>
        <v>0</v>
      </c>
      <c r="O134" s="294"/>
      <c r="P134" s="294"/>
      <c r="Q134" s="294"/>
      <c r="R134" s="146"/>
      <c r="T134" s="147" t="s">
        <v>5</v>
      </c>
      <c r="U134" s="44" t="s">
        <v>43</v>
      </c>
      <c r="V134" s="148">
        <v>0.721</v>
      </c>
      <c r="W134" s="148">
        <f>V134*K134</f>
        <v>10.32472</v>
      </c>
      <c r="X134" s="148">
        <v>0.00458</v>
      </c>
      <c r="Y134" s="148">
        <f>X134*K134</f>
        <v>0.0655856</v>
      </c>
      <c r="Z134" s="148">
        <v>0</v>
      </c>
      <c r="AA134" s="149">
        <f>Z134*K134</f>
        <v>0</v>
      </c>
      <c r="AR134" s="21" t="s">
        <v>172</v>
      </c>
      <c r="AT134" s="21" t="s">
        <v>168</v>
      </c>
      <c r="AU134" s="21" t="s">
        <v>135</v>
      </c>
      <c r="AY134" s="21" t="s">
        <v>167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21</v>
      </c>
      <c r="BK134" s="150">
        <f>ROUND(L134*K134,2)</f>
        <v>0</v>
      </c>
      <c r="BL134" s="21" t="s">
        <v>172</v>
      </c>
      <c r="BM134" s="21" t="s">
        <v>200</v>
      </c>
    </row>
    <row r="135" spans="2:51" s="10" customFormat="1" ht="22.5" customHeight="1">
      <c r="B135" s="151"/>
      <c r="C135" s="152"/>
      <c r="D135" s="152"/>
      <c r="E135" s="153" t="s">
        <v>5</v>
      </c>
      <c r="F135" s="300" t="s">
        <v>192</v>
      </c>
      <c r="G135" s="301"/>
      <c r="H135" s="301"/>
      <c r="I135" s="301"/>
      <c r="J135" s="152"/>
      <c r="K135" s="154" t="s">
        <v>5</v>
      </c>
      <c r="L135" s="152"/>
      <c r="M135" s="152"/>
      <c r="N135" s="152"/>
      <c r="O135" s="152"/>
      <c r="P135" s="152"/>
      <c r="Q135" s="152"/>
      <c r="R135" s="155"/>
      <c r="T135" s="156"/>
      <c r="U135" s="152"/>
      <c r="V135" s="152"/>
      <c r="W135" s="152"/>
      <c r="X135" s="152"/>
      <c r="Y135" s="152"/>
      <c r="Z135" s="152"/>
      <c r="AA135" s="157"/>
      <c r="AT135" s="158" t="s">
        <v>179</v>
      </c>
      <c r="AU135" s="158" t="s">
        <v>135</v>
      </c>
      <c r="AV135" s="10" t="s">
        <v>21</v>
      </c>
      <c r="AW135" s="10" t="s">
        <v>35</v>
      </c>
      <c r="AX135" s="10" t="s">
        <v>78</v>
      </c>
      <c r="AY135" s="158" t="s">
        <v>167</v>
      </c>
    </row>
    <row r="136" spans="2:51" s="11" customFormat="1" ht="22.5" customHeight="1">
      <c r="B136" s="159"/>
      <c r="C136" s="160"/>
      <c r="D136" s="160"/>
      <c r="E136" s="161" t="s">
        <v>5</v>
      </c>
      <c r="F136" s="302" t="s">
        <v>201</v>
      </c>
      <c r="G136" s="303"/>
      <c r="H136" s="303"/>
      <c r="I136" s="303"/>
      <c r="J136" s="160"/>
      <c r="K136" s="162">
        <v>3.12</v>
      </c>
      <c r="L136" s="160"/>
      <c r="M136" s="160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179</v>
      </c>
      <c r="AU136" s="166" t="s">
        <v>135</v>
      </c>
      <c r="AV136" s="11" t="s">
        <v>135</v>
      </c>
      <c r="AW136" s="11" t="s">
        <v>35</v>
      </c>
      <c r="AX136" s="11" t="s">
        <v>78</v>
      </c>
      <c r="AY136" s="166" t="s">
        <v>167</v>
      </c>
    </row>
    <row r="137" spans="2:51" s="10" customFormat="1" ht="22.5" customHeight="1">
      <c r="B137" s="151"/>
      <c r="C137" s="152"/>
      <c r="D137" s="152"/>
      <c r="E137" s="153" t="s">
        <v>5</v>
      </c>
      <c r="F137" s="304" t="s">
        <v>194</v>
      </c>
      <c r="G137" s="305"/>
      <c r="H137" s="305"/>
      <c r="I137" s="305"/>
      <c r="J137" s="152"/>
      <c r="K137" s="154" t="s">
        <v>5</v>
      </c>
      <c r="L137" s="152"/>
      <c r="M137" s="152"/>
      <c r="N137" s="152"/>
      <c r="O137" s="152"/>
      <c r="P137" s="152"/>
      <c r="Q137" s="152"/>
      <c r="R137" s="155"/>
      <c r="T137" s="156"/>
      <c r="U137" s="152"/>
      <c r="V137" s="152"/>
      <c r="W137" s="152"/>
      <c r="X137" s="152"/>
      <c r="Y137" s="152"/>
      <c r="Z137" s="152"/>
      <c r="AA137" s="157"/>
      <c r="AT137" s="158" t="s">
        <v>179</v>
      </c>
      <c r="AU137" s="158" t="s">
        <v>135</v>
      </c>
      <c r="AV137" s="10" t="s">
        <v>21</v>
      </c>
      <c r="AW137" s="10" t="s">
        <v>35</v>
      </c>
      <c r="AX137" s="10" t="s">
        <v>78</v>
      </c>
      <c r="AY137" s="158" t="s">
        <v>167</v>
      </c>
    </row>
    <row r="138" spans="2:51" s="11" customFormat="1" ht="22.5" customHeight="1">
      <c r="B138" s="159"/>
      <c r="C138" s="160"/>
      <c r="D138" s="160"/>
      <c r="E138" s="161" t="s">
        <v>5</v>
      </c>
      <c r="F138" s="302" t="s">
        <v>202</v>
      </c>
      <c r="G138" s="303"/>
      <c r="H138" s="303"/>
      <c r="I138" s="303"/>
      <c r="J138" s="160"/>
      <c r="K138" s="162">
        <v>11.2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179</v>
      </c>
      <c r="AU138" s="166" t="s">
        <v>135</v>
      </c>
      <c r="AV138" s="11" t="s">
        <v>135</v>
      </c>
      <c r="AW138" s="11" t="s">
        <v>35</v>
      </c>
      <c r="AX138" s="11" t="s">
        <v>78</v>
      </c>
      <c r="AY138" s="166" t="s">
        <v>167</v>
      </c>
    </row>
    <row r="139" spans="2:51" s="12" customFormat="1" ht="22.5" customHeight="1">
      <c r="B139" s="167"/>
      <c r="C139" s="168"/>
      <c r="D139" s="168"/>
      <c r="E139" s="169" t="s">
        <v>5</v>
      </c>
      <c r="F139" s="306" t="s">
        <v>183</v>
      </c>
      <c r="G139" s="307"/>
      <c r="H139" s="307"/>
      <c r="I139" s="307"/>
      <c r="J139" s="168"/>
      <c r="K139" s="170">
        <v>14.32</v>
      </c>
      <c r="L139" s="168"/>
      <c r="M139" s="168"/>
      <c r="N139" s="168"/>
      <c r="O139" s="168"/>
      <c r="P139" s="168"/>
      <c r="Q139" s="168"/>
      <c r="R139" s="171"/>
      <c r="T139" s="172"/>
      <c r="U139" s="168"/>
      <c r="V139" s="168"/>
      <c r="W139" s="168"/>
      <c r="X139" s="168"/>
      <c r="Y139" s="168"/>
      <c r="Z139" s="168"/>
      <c r="AA139" s="173"/>
      <c r="AT139" s="174" t="s">
        <v>179</v>
      </c>
      <c r="AU139" s="174" t="s">
        <v>135</v>
      </c>
      <c r="AV139" s="12" t="s">
        <v>172</v>
      </c>
      <c r="AW139" s="12" t="s">
        <v>35</v>
      </c>
      <c r="AX139" s="12" t="s">
        <v>21</v>
      </c>
      <c r="AY139" s="174" t="s">
        <v>167</v>
      </c>
    </row>
    <row r="140" spans="2:65" s="1" customFormat="1" ht="31.5" customHeight="1">
      <c r="B140" s="141"/>
      <c r="C140" s="142" t="s">
        <v>203</v>
      </c>
      <c r="D140" s="142" t="s">
        <v>168</v>
      </c>
      <c r="E140" s="143" t="s">
        <v>204</v>
      </c>
      <c r="F140" s="293" t="s">
        <v>205</v>
      </c>
      <c r="G140" s="293"/>
      <c r="H140" s="293"/>
      <c r="I140" s="293"/>
      <c r="J140" s="144" t="s">
        <v>199</v>
      </c>
      <c r="K140" s="145">
        <v>14.32</v>
      </c>
      <c r="L140" s="294"/>
      <c r="M140" s="294"/>
      <c r="N140" s="294">
        <f>ROUND(L140*K140,2)</f>
        <v>0</v>
      </c>
      <c r="O140" s="294"/>
      <c r="P140" s="294"/>
      <c r="Q140" s="294"/>
      <c r="R140" s="146"/>
      <c r="T140" s="147" t="s">
        <v>5</v>
      </c>
      <c r="U140" s="44" t="s">
        <v>43</v>
      </c>
      <c r="V140" s="148">
        <v>0.282</v>
      </c>
      <c r="W140" s="148">
        <f>V140*K140</f>
        <v>4.03824</v>
      </c>
      <c r="X140" s="148">
        <v>0</v>
      </c>
      <c r="Y140" s="148">
        <f>X140*K140</f>
        <v>0</v>
      </c>
      <c r="Z140" s="148">
        <v>0</v>
      </c>
      <c r="AA140" s="149">
        <f>Z140*K140</f>
        <v>0</v>
      </c>
      <c r="AR140" s="21" t="s">
        <v>172</v>
      </c>
      <c r="AT140" s="21" t="s">
        <v>168</v>
      </c>
      <c r="AU140" s="21" t="s">
        <v>135</v>
      </c>
      <c r="AY140" s="21" t="s">
        <v>167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21" t="s">
        <v>21</v>
      </c>
      <c r="BK140" s="150">
        <f>ROUND(L140*K140,2)</f>
        <v>0</v>
      </c>
      <c r="BL140" s="21" t="s">
        <v>172</v>
      </c>
      <c r="BM140" s="21" t="s">
        <v>206</v>
      </c>
    </row>
    <row r="141" spans="2:65" s="1" customFormat="1" ht="31.5" customHeight="1">
      <c r="B141" s="141"/>
      <c r="C141" s="142" t="s">
        <v>207</v>
      </c>
      <c r="D141" s="142" t="s">
        <v>168</v>
      </c>
      <c r="E141" s="143" t="s">
        <v>208</v>
      </c>
      <c r="F141" s="293" t="s">
        <v>209</v>
      </c>
      <c r="G141" s="293"/>
      <c r="H141" s="293"/>
      <c r="I141" s="293"/>
      <c r="J141" s="144" t="s">
        <v>210</v>
      </c>
      <c r="K141" s="145">
        <v>0.165</v>
      </c>
      <c r="L141" s="294"/>
      <c r="M141" s="294"/>
      <c r="N141" s="294">
        <f>ROUND(L141*K141,2)</f>
        <v>0</v>
      </c>
      <c r="O141" s="294"/>
      <c r="P141" s="294"/>
      <c r="Q141" s="294"/>
      <c r="R141" s="146"/>
      <c r="T141" s="147" t="s">
        <v>5</v>
      </c>
      <c r="U141" s="44" t="s">
        <v>43</v>
      </c>
      <c r="V141" s="148">
        <v>33.98</v>
      </c>
      <c r="W141" s="148">
        <f>V141*K141</f>
        <v>5.6067</v>
      </c>
      <c r="X141" s="148">
        <v>1.04753</v>
      </c>
      <c r="Y141" s="148">
        <f>X141*K141</f>
        <v>0.17284245</v>
      </c>
      <c r="Z141" s="148">
        <v>0</v>
      </c>
      <c r="AA141" s="149">
        <f>Z141*K141</f>
        <v>0</v>
      </c>
      <c r="AR141" s="21" t="s">
        <v>172</v>
      </c>
      <c r="AT141" s="21" t="s">
        <v>168</v>
      </c>
      <c r="AU141" s="21" t="s">
        <v>135</v>
      </c>
      <c r="AY141" s="21" t="s">
        <v>167</v>
      </c>
      <c r="BE141" s="150">
        <f>IF(U141="základní",N141,0)</f>
        <v>0</v>
      </c>
      <c r="BF141" s="150">
        <f>IF(U141="snížená",N141,0)</f>
        <v>0</v>
      </c>
      <c r="BG141" s="150">
        <f>IF(U141="zákl. přenesená",N141,0)</f>
        <v>0</v>
      </c>
      <c r="BH141" s="150">
        <f>IF(U141="sníž. přenesená",N141,0)</f>
        <v>0</v>
      </c>
      <c r="BI141" s="150">
        <f>IF(U141="nulová",N141,0)</f>
        <v>0</v>
      </c>
      <c r="BJ141" s="21" t="s">
        <v>21</v>
      </c>
      <c r="BK141" s="150">
        <f>ROUND(L141*K141,2)</f>
        <v>0</v>
      </c>
      <c r="BL141" s="21" t="s">
        <v>172</v>
      </c>
      <c r="BM141" s="21" t="s">
        <v>211</v>
      </c>
    </row>
    <row r="142" spans="2:51" s="11" customFormat="1" ht="22.5" customHeight="1">
      <c r="B142" s="159"/>
      <c r="C142" s="160"/>
      <c r="D142" s="160"/>
      <c r="E142" s="161" t="s">
        <v>5</v>
      </c>
      <c r="F142" s="308" t="s">
        <v>212</v>
      </c>
      <c r="G142" s="309"/>
      <c r="H142" s="309"/>
      <c r="I142" s="309"/>
      <c r="J142" s="160"/>
      <c r="K142" s="162">
        <v>0.165</v>
      </c>
      <c r="L142" s="160"/>
      <c r="M142" s="160"/>
      <c r="N142" s="160"/>
      <c r="O142" s="160"/>
      <c r="P142" s="160"/>
      <c r="Q142" s="160"/>
      <c r="R142" s="163"/>
      <c r="T142" s="164"/>
      <c r="U142" s="160"/>
      <c r="V142" s="160"/>
      <c r="W142" s="160"/>
      <c r="X142" s="160"/>
      <c r="Y142" s="160"/>
      <c r="Z142" s="160"/>
      <c r="AA142" s="165"/>
      <c r="AT142" s="166" t="s">
        <v>179</v>
      </c>
      <c r="AU142" s="166" t="s">
        <v>135</v>
      </c>
      <c r="AV142" s="11" t="s">
        <v>135</v>
      </c>
      <c r="AW142" s="11" t="s">
        <v>35</v>
      </c>
      <c r="AX142" s="11" t="s">
        <v>21</v>
      </c>
      <c r="AY142" s="166" t="s">
        <v>167</v>
      </c>
    </row>
    <row r="143" spans="2:63" s="9" customFormat="1" ht="29.85" customHeight="1">
      <c r="B143" s="130"/>
      <c r="C143" s="131"/>
      <c r="D143" s="140" t="s">
        <v>150</v>
      </c>
      <c r="E143" s="140"/>
      <c r="F143" s="140"/>
      <c r="G143" s="140"/>
      <c r="H143" s="140"/>
      <c r="I143" s="140"/>
      <c r="J143" s="140"/>
      <c r="K143" s="140"/>
      <c r="L143" s="140"/>
      <c r="M143" s="140"/>
      <c r="N143" s="298">
        <f>BK143</f>
        <v>0</v>
      </c>
      <c r="O143" s="299"/>
      <c r="P143" s="299"/>
      <c r="Q143" s="299"/>
      <c r="R143" s="133"/>
      <c r="T143" s="134"/>
      <c r="U143" s="131"/>
      <c r="V143" s="131"/>
      <c r="W143" s="135">
        <f>SUM(W144:W145)</f>
        <v>5.72</v>
      </c>
      <c r="X143" s="131"/>
      <c r="Y143" s="135">
        <f>SUM(Y144:Y145)</f>
        <v>7.94676</v>
      </c>
      <c r="Z143" s="131"/>
      <c r="AA143" s="136">
        <f>SUM(AA144:AA145)</f>
        <v>0</v>
      </c>
      <c r="AR143" s="137" t="s">
        <v>21</v>
      </c>
      <c r="AT143" s="138" t="s">
        <v>77</v>
      </c>
      <c r="AU143" s="138" t="s">
        <v>21</v>
      </c>
      <c r="AY143" s="137" t="s">
        <v>167</v>
      </c>
      <c r="BK143" s="139">
        <f>SUM(BK144:BK145)</f>
        <v>0</v>
      </c>
    </row>
    <row r="144" spans="2:65" s="1" customFormat="1" ht="44.25" customHeight="1">
      <c r="B144" s="141"/>
      <c r="C144" s="142" t="s">
        <v>213</v>
      </c>
      <c r="D144" s="142" t="s">
        <v>168</v>
      </c>
      <c r="E144" s="143" t="s">
        <v>214</v>
      </c>
      <c r="F144" s="293" t="s">
        <v>215</v>
      </c>
      <c r="G144" s="293"/>
      <c r="H144" s="293"/>
      <c r="I144" s="293"/>
      <c r="J144" s="144" t="s">
        <v>216</v>
      </c>
      <c r="K144" s="145">
        <v>1</v>
      </c>
      <c r="L144" s="294"/>
      <c r="M144" s="294"/>
      <c r="N144" s="294">
        <f>ROUND(L144*K144,2)</f>
        <v>0</v>
      </c>
      <c r="O144" s="294"/>
      <c r="P144" s="294"/>
      <c r="Q144" s="294"/>
      <c r="R144" s="146"/>
      <c r="T144" s="147" t="s">
        <v>5</v>
      </c>
      <c r="U144" s="44" t="s">
        <v>43</v>
      </c>
      <c r="V144" s="148">
        <v>2.86</v>
      </c>
      <c r="W144" s="148">
        <f>V144*K144</f>
        <v>2.86</v>
      </c>
      <c r="X144" s="148">
        <v>3.97338</v>
      </c>
      <c r="Y144" s="148">
        <f>X144*K144</f>
        <v>3.97338</v>
      </c>
      <c r="Z144" s="148">
        <v>0</v>
      </c>
      <c r="AA144" s="149">
        <f>Z144*K144</f>
        <v>0</v>
      </c>
      <c r="AR144" s="21" t="s">
        <v>172</v>
      </c>
      <c r="AT144" s="21" t="s">
        <v>168</v>
      </c>
      <c r="AU144" s="21" t="s">
        <v>135</v>
      </c>
      <c r="AY144" s="21" t="s">
        <v>167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21</v>
      </c>
      <c r="BK144" s="150">
        <f>ROUND(L144*K144,2)</f>
        <v>0</v>
      </c>
      <c r="BL144" s="21" t="s">
        <v>172</v>
      </c>
      <c r="BM144" s="21" t="s">
        <v>217</v>
      </c>
    </row>
    <row r="145" spans="2:65" s="1" customFormat="1" ht="22.5" customHeight="1">
      <c r="B145" s="141"/>
      <c r="C145" s="142" t="s">
        <v>218</v>
      </c>
      <c r="D145" s="142" t="s">
        <v>168</v>
      </c>
      <c r="E145" s="143" t="s">
        <v>219</v>
      </c>
      <c r="F145" s="293" t="s">
        <v>220</v>
      </c>
      <c r="G145" s="293"/>
      <c r="H145" s="293"/>
      <c r="I145" s="293"/>
      <c r="J145" s="144" t="s">
        <v>216</v>
      </c>
      <c r="K145" s="145">
        <v>1</v>
      </c>
      <c r="L145" s="294"/>
      <c r="M145" s="294"/>
      <c r="N145" s="294">
        <f>ROUND(L145*K145,2)</f>
        <v>0</v>
      </c>
      <c r="O145" s="294"/>
      <c r="P145" s="294"/>
      <c r="Q145" s="294"/>
      <c r="R145" s="146"/>
      <c r="T145" s="147" t="s">
        <v>5</v>
      </c>
      <c r="U145" s="44" t="s">
        <v>43</v>
      </c>
      <c r="V145" s="148">
        <v>2.86</v>
      </c>
      <c r="W145" s="148">
        <f>V145*K145</f>
        <v>2.86</v>
      </c>
      <c r="X145" s="148">
        <v>3.97338</v>
      </c>
      <c r="Y145" s="148">
        <f>X145*K145</f>
        <v>3.97338</v>
      </c>
      <c r="Z145" s="148">
        <v>0</v>
      </c>
      <c r="AA145" s="149">
        <f>Z145*K145</f>
        <v>0</v>
      </c>
      <c r="AR145" s="21" t="s">
        <v>172</v>
      </c>
      <c r="AT145" s="21" t="s">
        <v>168</v>
      </c>
      <c r="AU145" s="21" t="s">
        <v>135</v>
      </c>
      <c r="AY145" s="21" t="s">
        <v>167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21</v>
      </c>
      <c r="BK145" s="150">
        <f>ROUND(L145*K145,2)</f>
        <v>0</v>
      </c>
      <c r="BL145" s="21" t="s">
        <v>172</v>
      </c>
      <c r="BM145" s="21" t="s">
        <v>221</v>
      </c>
    </row>
    <row r="146" spans="2:63" s="9" customFormat="1" ht="29.85" customHeight="1">
      <c r="B146" s="130"/>
      <c r="C146" s="131"/>
      <c r="D146" s="140" t="s">
        <v>151</v>
      </c>
      <c r="E146" s="140"/>
      <c r="F146" s="140"/>
      <c r="G146" s="140"/>
      <c r="H146" s="140"/>
      <c r="I146" s="140"/>
      <c r="J146" s="140"/>
      <c r="K146" s="140"/>
      <c r="L146" s="140"/>
      <c r="M146" s="140"/>
      <c r="N146" s="310">
        <f>BK146</f>
        <v>0</v>
      </c>
      <c r="O146" s="311"/>
      <c r="P146" s="311"/>
      <c r="Q146" s="311"/>
      <c r="R146" s="133"/>
      <c r="T146" s="134"/>
      <c r="U146" s="131"/>
      <c r="V146" s="131"/>
      <c r="W146" s="135">
        <f>W147</f>
        <v>4.8340320000000006</v>
      </c>
      <c r="X146" s="131"/>
      <c r="Y146" s="135">
        <f>Y147</f>
        <v>0</v>
      </c>
      <c r="Z146" s="131"/>
      <c r="AA146" s="136">
        <f>AA147</f>
        <v>0</v>
      </c>
      <c r="AR146" s="137" t="s">
        <v>21</v>
      </c>
      <c r="AT146" s="138" t="s">
        <v>77</v>
      </c>
      <c r="AU146" s="138" t="s">
        <v>21</v>
      </c>
      <c r="AY146" s="137" t="s">
        <v>167</v>
      </c>
      <c r="BK146" s="139">
        <f>BK147</f>
        <v>0</v>
      </c>
    </row>
    <row r="147" spans="2:65" s="1" customFormat="1" ht="22.5" customHeight="1">
      <c r="B147" s="141"/>
      <c r="C147" s="142" t="s">
        <v>25</v>
      </c>
      <c r="D147" s="142" t="s">
        <v>168</v>
      </c>
      <c r="E147" s="143" t="s">
        <v>222</v>
      </c>
      <c r="F147" s="293" t="s">
        <v>223</v>
      </c>
      <c r="G147" s="293"/>
      <c r="H147" s="293"/>
      <c r="I147" s="293"/>
      <c r="J147" s="144" t="s">
        <v>210</v>
      </c>
      <c r="K147" s="145">
        <v>14.387</v>
      </c>
      <c r="L147" s="294"/>
      <c r="M147" s="294"/>
      <c r="N147" s="294">
        <f>ROUND(L147*K147,2)</f>
        <v>0</v>
      </c>
      <c r="O147" s="294"/>
      <c r="P147" s="294"/>
      <c r="Q147" s="294"/>
      <c r="R147" s="146"/>
      <c r="T147" s="147" t="s">
        <v>5</v>
      </c>
      <c r="U147" s="175" t="s">
        <v>43</v>
      </c>
      <c r="V147" s="176">
        <v>0.336</v>
      </c>
      <c r="W147" s="176">
        <f>V147*K147</f>
        <v>4.8340320000000006</v>
      </c>
      <c r="X147" s="176">
        <v>0</v>
      </c>
      <c r="Y147" s="176">
        <f>X147*K147</f>
        <v>0</v>
      </c>
      <c r="Z147" s="176">
        <v>0</v>
      </c>
      <c r="AA147" s="177">
        <f>Z147*K147</f>
        <v>0</v>
      </c>
      <c r="AR147" s="21" t="s">
        <v>172</v>
      </c>
      <c r="AT147" s="21" t="s">
        <v>168</v>
      </c>
      <c r="AU147" s="21" t="s">
        <v>135</v>
      </c>
      <c r="AY147" s="21" t="s">
        <v>167</v>
      </c>
      <c r="BE147" s="150">
        <f>IF(U147="základní",N147,0)</f>
        <v>0</v>
      </c>
      <c r="BF147" s="150">
        <f>IF(U147="snížená",N147,0)</f>
        <v>0</v>
      </c>
      <c r="BG147" s="150">
        <f>IF(U147="zákl. přenesená",N147,0)</f>
        <v>0</v>
      </c>
      <c r="BH147" s="150">
        <f>IF(U147="sníž. přenesená",N147,0)</f>
        <v>0</v>
      </c>
      <c r="BI147" s="150">
        <f>IF(U147="nulová",N147,0)</f>
        <v>0</v>
      </c>
      <c r="BJ147" s="21" t="s">
        <v>21</v>
      </c>
      <c r="BK147" s="150">
        <f>ROUND(L147*K147,2)</f>
        <v>0</v>
      </c>
      <c r="BL147" s="21" t="s">
        <v>172</v>
      </c>
      <c r="BM147" s="21" t="s">
        <v>224</v>
      </c>
    </row>
    <row r="148" spans="2:18" s="1" customFormat="1" ht="6.95" customHeight="1">
      <c r="B148" s="59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1"/>
    </row>
  </sheetData>
  <mergeCells count="109">
    <mergeCell ref="N118:Q118"/>
    <mergeCell ref="N143:Q143"/>
    <mergeCell ref="N146:Q146"/>
    <mergeCell ref="H1:K1"/>
    <mergeCell ref="S2:AC2"/>
    <mergeCell ref="F144:I144"/>
    <mergeCell ref="L144:M144"/>
    <mergeCell ref="N144:Q144"/>
    <mergeCell ref="F145:I145"/>
    <mergeCell ref="L145:M145"/>
    <mergeCell ref="N145:Q145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26:I126"/>
    <mergeCell ref="L126:M126"/>
    <mergeCell ref="N126:Q126"/>
    <mergeCell ref="F127:I127"/>
    <mergeCell ref="F147:I147"/>
    <mergeCell ref="L147:M147"/>
    <mergeCell ref="N147:Q147"/>
    <mergeCell ref="F138:I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F128:I128"/>
    <mergeCell ref="L128:M128"/>
    <mergeCell ref="N128:Q128"/>
    <mergeCell ref="F129:I129"/>
    <mergeCell ref="F130:I130"/>
    <mergeCell ref="F119:I119"/>
    <mergeCell ref="L119:M119"/>
    <mergeCell ref="N119:Q119"/>
    <mergeCell ref="F120:I120"/>
    <mergeCell ref="F121:I121"/>
    <mergeCell ref="F122:I122"/>
    <mergeCell ref="F123:I123"/>
    <mergeCell ref="F124:I124"/>
    <mergeCell ref="F125:I12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204"/>
  <sheetViews>
    <sheetView showGridLines="0" view="pageBreakPreview" zoomScaleSheetLayoutView="100" workbookViewId="0" topLeftCell="A1">
      <pane ySplit="1" topLeftCell="A2" activePane="bottomLeft" state="frozen"/>
      <selection pane="topLeft" activeCell="AE85" sqref="AE84:AE85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225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N98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ROUNDUP((SUM(BE98:BE99)+SUM(BE117:BE203)),2)</f>
        <v>0</v>
      </c>
      <c r="I32" s="275"/>
      <c r="J32" s="275"/>
      <c r="K32" s="36"/>
      <c r="L32" s="36"/>
      <c r="M32" s="279">
        <f>ROUNDUP(ROUNDUP((SUM(BE98:BE99)+SUM(BE117:BE203)),2)*F32,1)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ROUNDUP((SUM(BF98:BF99)+SUM(BF117:BF203)),2)</f>
        <v>0</v>
      </c>
      <c r="I33" s="275"/>
      <c r="J33" s="275"/>
      <c r="K33" s="36"/>
      <c r="L33" s="36"/>
      <c r="M33" s="279">
        <f>ROUNDUP(ROUNDUP((SUM(BF98:BF99)+SUM(BF117:BF203)),2)*F33,1)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ROUNDUP((SUM(BG98:BG99)+SUM(BG117:BG203)),2)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ROUNDUP((SUM(BH98:BH99)+SUM(BH117:BH203)),2)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ROUNDUP((SUM(BI98:BI99)+SUM(BI117:BI203)),2)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SO.1.02 - Objekt ČOV - nádrž oběhové aktivace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N117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N118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N119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N134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226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N163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227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N189</f>
        <v>0</v>
      </c>
      <c r="O93" s="288"/>
      <c r="P93" s="288"/>
      <c r="Q93" s="288"/>
      <c r="R93" s="120"/>
    </row>
    <row r="94" spans="2:18" s="7" customFormat="1" ht="19.9" customHeight="1">
      <c r="B94" s="117"/>
      <c r="C94" s="118"/>
      <c r="D94" s="119" t="s">
        <v>150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N197</f>
        <v>0</v>
      </c>
      <c r="O94" s="288"/>
      <c r="P94" s="288"/>
      <c r="Q94" s="288"/>
      <c r="R94" s="120"/>
    </row>
    <row r="95" spans="2:18" s="7" customFormat="1" ht="19.9" customHeight="1">
      <c r="B95" s="117"/>
      <c r="C95" s="118"/>
      <c r="D95" s="119" t="s">
        <v>228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87">
        <f>N199</f>
        <v>0</v>
      </c>
      <c r="O95" s="288"/>
      <c r="P95" s="288"/>
      <c r="Q95" s="288"/>
      <c r="R95" s="120"/>
    </row>
    <row r="96" spans="2:18" s="7" customFormat="1" ht="19.9" customHeight="1">
      <c r="B96" s="117"/>
      <c r="C96" s="118"/>
      <c r="D96" s="119" t="s">
        <v>151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87">
        <f>N202</f>
        <v>0</v>
      </c>
      <c r="O96" s="288"/>
      <c r="P96" s="288"/>
      <c r="Q96" s="288"/>
      <c r="R96" s="120"/>
    </row>
    <row r="97" spans="2:18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2" t="s">
        <v>152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84">
        <v>0</v>
      </c>
      <c r="O98" s="289"/>
      <c r="P98" s="289"/>
      <c r="Q98" s="289"/>
      <c r="R98" s="37"/>
      <c r="T98" s="121"/>
      <c r="U98" s="122" t="s">
        <v>42</v>
      </c>
    </row>
    <row r="99" spans="2:18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18" s="1" customFormat="1" ht="29.25" customHeight="1">
      <c r="B100" s="35"/>
      <c r="C100" s="103" t="s">
        <v>129</v>
      </c>
      <c r="D100" s="104"/>
      <c r="E100" s="104"/>
      <c r="F100" s="104"/>
      <c r="G100" s="104"/>
      <c r="H100" s="104"/>
      <c r="I100" s="104"/>
      <c r="J100" s="104"/>
      <c r="K100" s="104"/>
      <c r="L100" s="268">
        <f>ROUNDUP(SUM(N88+N98),2)</f>
        <v>0</v>
      </c>
      <c r="M100" s="268"/>
      <c r="N100" s="268"/>
      <c r="O100" s="268"/>
      <c r="P100" s="268"/>
      <c r="Q100" s="268"/>
      <c r="R100" s="37"/>
    </row>
    <row r="101" spans="2:18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18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5" customHeight="1">
      <c r="B106" s="35"/>
      <c r="C106" s="237" t="s">
        <v>153</v>
      </c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2" t="s">
        <v>16</v>
      </c>
      <c r="D108" s="36"/>
      <c r="E108" s="36"/>
      <c r="F108" s="273" t="str">
        <f>F6</f>
        <v>ČOV a splašková kanalizace Žinkovy</v>
      </c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36"/>
      <c r="R108" s="37"/>
    </row>
    <row r="109" spans="2:18" s="1" customFormat="1" ht="36.95" customHeight="1">
      <c r="B109" s="35"/>
      <c r="C109" s="69" t="s">
        <v>137</v>
      </c>
      <c r="D109" s="36"/>
      <c r="E109" s="36"/>
      <c r="F109" s="254" t="str">
        <f>F7</f>
        <v>SO.1.02 - Objekt ČOV - nádrž oběhové aktivace</v>
      </c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36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18" customHeight="1">
      <c r="B111" s="35"/>
      <c r="C111" s="32" t="s">
        <v>22</v>
      </c>
      <c r="D111" s="36"/>
      <c r="E111" s="36"/>
      <c r="F111" s="30" t="str">
        <f>F9</f>
        <v>Žinkovy</v>
      </c>
      <c r="G111" s="36"/>
      <c r="H111" s="36"/>
      <c r="I111" s="36"/>
      <c r="J111" s="36"/>
      <c r="K111" s="32" t="s">
        <v>24</v>
      </c>
      <c r="L111" s="36"/>
      <c r="M111" s="276">
        <f>IF(O9="","",O9)</f>
        <v>42912</v>
      </c>
      <c r="N111" s="276"/>
      <c r="O111" s="276"/>
      <c r="P111" s="276"/>
      <c r="Q111" s="36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5">
      <c r="B113" s="35"/>
      <c r="C113" s="32" t="s">
        <v>27</v>
      </c>
      <c r="D113" s="36"/>
      <c r="E113" s="36"/>
      <c r="F113" s="30" t="str">
        <f>E12</f>
        <v>Obec Žinkovy</v>
      </c>
      <c r="G113" s="36"/>
      <c r="H113" s="36"/>
      <c r="I113" s="36"/>
      <c r="J113" s="36"/>
      <c r="K113" s="32" t="s">
        <v>33</v>
      </c>
      <c r="L113" s="36"/>
      <c r="M113" s="277" t="str">
        <f>E18</f>
        <v>PIK Vítek s.r.o.</v>
      </c>
      <c r="N113" s="277"/>
      <c r="O113" s="277"/>
      <c r="P113" s="277"/>
      <c r="Q113" s="277"/>
      <c r="R113" s="37"/>
    </row>
    <row r="114" spans="2:18" s="1" customFormat="1" ht="14.45" customHeight="1">
      <c r="B114" s="35"/>
      <c r="C114" s="32" t="s">
        <v>31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36</v>
      </c>
      <c r="L114" s="36"/>
      <c r="M114" s="277" t="str">
        <f>E21</f>
        <v>Acrone s.r.o.</v>
      </c>
      <c r="N114" s="277"/>
      <c r="O114" s="277"/>
      <c r="P114" s="277"/>
      <c r="Q114" s="277"/>
      <c r="R114" s="37"/>
    </row>
    <row r="115" spans="2:18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27" s="8" customFormat="1" ht="29.25" customHeight="1">
      <c r="B116" s="123"/>
      <c r="C116" s="124" t="s">
        <v>154</v>
      </c>
      <c r="D116" s="125" t="s">
        <v>155</v>
      </c>
      <c r="E116" s="125" t="s">
        <v>60</v>
      </c>
      <c r="F116" s="290" t="s">
        <v>156</v>
      </c>
      <c r="G116" s="290"/>
      <c r="H116" s="290"/>
      <c r="I116" s="290"/>
      <c r="J116" s="125" t="s">
        <v>157</v>
      </c>
      <c r="K116" s="125" t="s">
        <v>158</v>
      </c>
      <c r="L116" s="291" t="s">
        <v>159</v>
      </c>
      <c r="M116" s="291"/>
      <c r="N116" s="290" t="s">
        <v>144</v>
      </c>
      <c r="O116" s="290"/>
      <c r="P116" s="290"/>
      <c r="Q116" s="292"/>
      <c r="R116" s="126"/>
      <c r="T116" s="76" t="s">
        <v>160</v>
      </c>
      <c r="U116" s="77" t="s">
        <v>42</v>
      </c>
      <c r="V116" s="77" t="s">
        <v>161</v>
      </c>
      <c r="W116" s="77" t="s">
        <v>162</v>
      </c>
      <c r="X116" s="77" t="s">
        <v>163</v>
      </c>
      <c r="Y116" s="77" t="s">
        <v>164</v>
      </c>
      <c r="Z116" s="77" t="s">
        <v>165</v>
      </c>
      <c r="AA116" s="78" t="s">
        <v>166</v>
      </c>
    </row>
    <row r="117" spans="2:63" s="1" customFormat="1" ht="29.25" customHeight="1">
      <c r="B117" s="35"/>
      <c r="C117" s="80" t="s">
        <v>140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95">
        <f>BK117</f>
        <v>0</v>
      </c>
      <c r="O117" s="296"/>
      <c r="P117" s="296"/>
      <c r="Q117" s="296"/>
      <c r="R117" s="37"/>
      <c r="T117" s="79"/>
      <c r="U117" s="51"/>
      <c r="V117" s="51"/>
      <c r="W117" s="127">
        <f>W118</f>
        <v>1777.7411449999997</v>
      </c>
      <c r="X117" s="51"/>
      <c r="Y117" s="127">
        <f>Y118</f>
        <v>613.71918466</v>
      </c>
      <c r="Z117" s="51"/>
      <c r="AA117" s="128">
        <f>AA118</f>
        <v>0</v>
      </c>
      <c r="AT117" s="21" t="s">
        <v>77</v>
      </c>
      <c r="AU117" s="21" t="s">
        <v>146</v>
      </c>
      <c r="BK117" s="129">
        <f>BK118</f>
        <v>0</v>
      </c>
    </row>
    <row r="118" spans="2:63" s="9" customFormat="1" ht="37.35" customHeight="1">
      <c r="B118" s="130"/>
      <c r="C118" s="131"/>
      <c r="D118" s="132" t="s">
        <v>147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297">
        <f>BK118</f>
        <v>0</v>
      </c>
      <c r="O118" s="285"/>
      <c r="P118" s="285"/>
      <c r="Q118" s="285"/>
      <c r="R118" s="133"/>
      <c r="T118" s="134"/>
      <c r="U118" s="131"/>
      <c r="V118" s="131"/>
      <c r="W118" s="135">
        <f>W119+W134+W163+W189+W197+W199+W202</f>
        <v>1777.7411449999997</v>
      </c>
      <c r="X118" s="131"/>
      <c r="Y118" s="135">
        <f>Y119+Y134+Y163+Y189+Y197+Y199+Y202</f>
        <v>613.71918466</v>
      </c>
      <c r="Z118" s="131"/>
      <c r="AA118" s="136">
        <f>AA119+AA134+AA163+AA189+AA197+AA199+AA202</f>
        <v>0</v>
      </c>
      <c r="AR118" s="137" t="s">
        <v>21</v>
      </c>
      <c r="AT118" s="138" t="s">
        <v>77</v>
      </c>
      <c r="AU118" s="138" t="s">
        <v>78</v>
      </c>
      <c r="AY118" s="137" t="s">
        <v>167</v>
      </c>
      <c r="BK118" s="139">
        <f>BK119+BK134+BK163+BK189+BK197+BK199+BK202</f>
        <v>0</v>
      </c>
    </row>
    <row r="119" spans="2:63" s="9" customFormat="1" ht="19.9" customHeight="1">
      <c r="B119" s="130"/>
      <c r="C119" s="131"/>
      <c r="D119" s="140" t="s">
        <v>148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98">
        <f>BK119</f>
        <v>0</v>
      </c>
      <c r="O119" s="299"/>
      <c r="P119" s="299"/>
      <c r="Q119" s="299"/>
      <c r="R119" s="133"/>
      <c r="T119" s="134"/>
      <c r="U119" s="131"/>
      <c r="V119" s="131"/>
      <c r="W119" s="135">
        <f>SUM(W120:W133)</f>
        <v>368.051875</v>
      </c>
      <c r="X119" s="131"/>
      <c r="Y119" s="135">
        <f>SUM(Y120:Y133)</f>
        <v>0</v>
      </c>
      <c r="Z119" s="131"/>
      <c r="AA119" s="136">
        <f>SUM(AA120:AA133)</f>
        <v>0</v>
      </c>
      <c r="AR119" s="137" t="s">
        <v>21</v>
      </c>
      <c r="AT119" s="138" t="s">
        <v>77</v>
      </c>
      <c r="AU119" s="138" t="s">
        <v>21</v>
      </c>
      <c r="AY119" s="137" t="s">
        <v>167</v>
      </c>
      <c r="BK119" s="139">
        <f>SUM(BK120:BK133)</f>
        <v>0</v>
      </c>
    </row>
    <row r="120" spans="2:65" s="1" customFormat="1" ht="22.5" customHeight="1">
      <c r="B120" s="141"/>
      <c r="C120" s="142" t="s">
        <v>21</v>
      </c>
      <c r="D120" s="142" t="s">
        <v>168</v>
      </c>
      <c r="E120" s="143" t="s">
        <v>229</v>
      </c>
      <c r="F120" s="293" t="s">
        <v>230</v>
      </c>
      <c r="G120" s="293"/>
      <c r="H120" s="293"/>
      <c r="I120" s="293"/>
      <c r="J120" s="144" t="s">
        <v>231</v>
      </c>
      <c r="K120" s="145">
        <v>2</v>
      </c>
      <c r="L120" s="294"/>
      <c r="M120" s="294"/>
      <c r="N120" s="294">
        <f>ROUND(L120*K120,2)</f>
        <v>0</v>
      </c>
      <c r="O120" s="294"/>
      <c r="P120" s="294"/>
      <c r="Q120" s="294"/>
      <c r="R120" s="146"/>
      <c r="T120" s="147" t="s">
        <v>5</v>
      </c>
      <c r="U120" s="44" t="s">
        <v>43</v>
      </c>
      <c r="V120" s="148">
        <v>0.2</v>
      </c>
      <c r="W120" s="148">
        <f>V120*K120</f>
        <v>0.4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172</v>
      </c>
      <c r="AT120" s="21" t="s">
        <v>168</v>
      </c>
      <c r="AU120" s="21" t="s">
        <v>135</v>
      </c>
      <c r="AY120" s="21" t="s">
        <v>167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21</v>
      </c>
      <c r="BK120" s="150">
        <f>ROUND(L120*K120,2)</f>
        <v>0</v>
      </c>
      <c r="BL120" s="21" t="s">
        <v>172</v>
      </c>
      <c r="BM120" s="21" t="s">
        <v>232</v>
      </c>
    </row>
    <row r="121" spans="2:51" s="11" customFormat="1" ht="22.5" customHeight="1">
      <c r="B121" s="159"/>
      <c r="C121" s="160"/>
      <c r="D121" s="160"/>
      <c r="E121" s="161" t="s">
        <v>5</v>
      </c>
      <c r="F121" s="308" t="s">
        <v>135</v>
      </c>
      <c r="G121" s="309"/>
      <c r="H121" s="309"/>
      <c r="I121" s="309"/>
      <c r="J121" s="160"/>
      <c r="K121" s="162">
        <v>2</v>
      </c>
      <c r="L121" s="160"/>
      <c r="M121" s="160"/>
      <c r="N121" s="160"/>
      <c r="O121" s="160"/>
      <c r="P121" s="160"/>
      <c r="Q121" s="160"/>
      <c r="R121" s="163"/>
      <c r="T121" s="164"/>
      <c r="U121" s="160"/>
      <c r="V121" s="160"/>
      <c r="W121" s="160"/>
      <c r="X121" s="160"/>
      <c r="Y121" s="160"/>
      <c r="Z121" s="160"/>
      <c r="AA121" s="165"/>
      <c r="AT121" s="166" t="s">
        <v>179</v>
      </c>
      <c r="AU121" s="166" t="s">
        <v>135</v>
      </c>
      <c r="AV121" s="11" t="s">
        <v>135</v>
      </c>
      <c r="AW121" s="11" t="s">
        <v>35</v>
      </c>
      <c r="AX121" s="11" t="s">
        <v>21</v>
      </c>
      <c r="AY121" s="166" t="s">
        <v>167</v>
      </c>
    </row>
    <row r="122" spans="2:65" s="1" customFormat="1" ht="31.5" customHeight="1">
      <c r="B122" s="141"/>
      <c r="C122" s="142" t="s">
        <v>135</v>
      </c>
      <c r="D122" s="142" t="s">
        <v>168</v>
      </c>
      <c r="E122" s="143" t="s">
        <v>233</v>
      </c>
      <c r="F122" s="293" t="s">
        <v>234</v>
      </c>
      <c r="G122" s="293"/>
      <c r="H122" s="293"/>
      <c r="I122" s="293"/>
      <c r="J122" s="144" t="s">
        <v>235</v>
      </c>
      <c r="K122" s="145">
        <v>900</v>
      </c>
      <c r="L122" s="294"/>
      <c r="M122" s="294"/>
      <c r="N122" s="294">
        <f>ROUND(L122*K122,2)</f>
        <v>0</v>
      </c>
      <c r="O122" s="294"/>
      <c r="P122" s="294"/>
      <c r="Q122" s="294"/>
      <c r="R122" s="146"/>
      <c r="T122" s="147" t="s">
        <v>5</v>
      </c>
      <c r="U122" s="44" t="s">
        <v>43</v>
      </c>
      <c r="V122" s="148">
        <v>0.2</v>
      </c>
      <c r="W122" s="148">
        <f>V122*K122</f>
        <v>180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172</v>
      </c>
      <c r="AT122" s="21" t="s">
        <v>168</v>
      </c>
      <c r="AU122" s="21" t="s">
        <v>135</v>
      </c>
      <c r="AY122" s="21" t="s">
        <v>167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21</v>
      </c>
      <c r="BK122" s="150">
        <f>ROUND(L122*K122,2)</f>
        <v>0</v>
      </c>
      <c r="BL122" s="21" t="s">
        <v>172</v>
      </c>
      <c r="BM122" s="21" t="s">
        <v>236</v>
      </c>
    </row>
    <row r="123" spans="2:51" s="10" customFormat="1" ht="22.5" customHeight="1">
      <c r="B123" s="151"/>
      <c r="C123" s="152"/>
      <c r="D123" s="152"/>
      <c r="E123" s="153" t="s">
        <v>5</v>
      </c>
      <c r="F123" s="300" t="s">
        <v>237</v>
      </c>
      <c r="G123" s="301"/>
      <c r="H123" s="301"/>
      <c r="I123" s="301"/>
      <c r="J123" s="152"/>
      <c r="K123" s="154" t="s">
        <v>5</v>
      </c>
      <c r="L123" s="152"/>
      <c r="M123" s="152"/>
      <c r="N123" s="152"/>
      <c r="O123" s="152"/>
      <c r="P123" s="152"/>
      <c r="Q123" s="152"/>
      <c r="R123" s="155"/>
      <c r="T123" s="156"/>
      <c r="U123" s="152"/>
      <c r="V123" s="152"/>
      <c r="W123" s="152"/>
      <c r="X123" s="152"/>
      <c r="Y123" s="152"/>
      <c r="Z123" s="152"/>
      <c r="AA123" s="157"/>
      <c r="AT123" s="158" t="s">
        <v>179</v>
      </c>
      <c r="AU123" s="158" t="s">
        <v>135</v>
      </c>
      <c r="AV123" s="10" t="s">
        <v>21</v>
      </c>
      <c r="AW123" s="10" t="s">
        <v>35</v>
      </c>
      <c r="AX123" s="10" t="s">
        <v>78</v>
      </c>
      <c r="AY123" s="158" t="s">
        <v>167</v>
      </c>
    </row>
    <row r="124" spans="2:51" s="11" customFormat="1" ht="22.5" customHeight="1">
      <c r="B124" s="159"/>
      <c r="C124" s="160"/>
      <c r="D124" s="160"/>
      <c r="E124" s="161" t="s">
        <v>5</v>
      </c>
      <c r="F124" s="302" t="s">
        <v>238</v>
      </c>
      <c r="G124" s="303"/>
      <c r="H124" s="303"/>
      <c r="I124" s="303"/>
      <c r="J124" s="160"/>
      <c r="K124" s="162">
        <v>900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21</v>
      </c>
      <c r="AY124" s="166" t="s">
        <v>167</v>
      </c>
    </row>
    <row r="125" spans="2:65" s="1" customFormat="1" ht="31.5" customHeight="1">
      <c r="B125" s="141"/>
      <c r="C125" s="142" t="s">
        <v>184</v>
      </c>
      <c r="D125" s="142" t="s">
        <v>168</v>
      </c>
      <c r="E125" s="143" t="s">
        <v>239</v>
      </c>
      <c r="F125" s="293" t="s">
        <v>240</v>
      </c>
      <c r="G125" s="293"/>
      <c r="H125" s="293"/>
      <c r="I125" s="293"/>
      <c r="J125" s="144" t="s">
        <v>176</v>
      </c>
      <c r="K125" s="145">
        <v>305.125</v>
      </c>
      <c r="L125" s="294"/>
      <c r="M125" s="294"/>
      <c r="N125" s="294">
        <f>ROUND(L125*K125,2)</f>
        <v>0</v>
      </c>
      <c r="O125" s="294"/>
      <c r="P125" s="294"/>
      <c r="Q125" s="294"/>
      <c r="R125" s="146"/>
      <c r="T125" s="147" t="s">
        <v>5</v>
      </c>
      <c r="U125" s="44" t="s">
        <v>43</v>
      </c>
      <c r="V125" s="148">
        <v>0.467</v>
      </c>
      <c r="W125" s="148">
        <f>V125*K125</f>
        <v>142.49337500000001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172</v>
      </c>
      <c r="AT125" s="21" t="s">
        <v>168</v>
      </c>
      <c r="AU125" s="21" t="s">
        <v>135</v>
      </c>
      <c r="AY125" s="21" t="s">
        <v>167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21</v>
      </c>
      <c r="BK125" s="150">
        <f>ROUND(L125*K125,2)</f>
        <v>0</v>
      </c>
      <c r="BL125" s="21" t="s">
        <v>172</v>
      </c>
      <c r="BM125" s="21" t="s">
        <v>241</v>
      </c>
    </row>
    <row r="126" spans="2:51" s="11" customFormat="1" ht="22.5" customHeight="1">
      <c r="B126" s="159"/>
      <c r="C126" s="160"/>
      <c r="D126" s="160"/>
      <c r="E126" s="161" t="s">
        <v>5</v>
      </c>
      <c r="F126" s="308" t="s">
        <v>242</v>
      </c>
      <c r="G126" s="309"/>
      <c r="H126" s="309"/>
      <c r="I126" s="309"/>
      <c r="J126" s="160"/>
      <c r="K126" s="162">
        <v>250</v>
      </c>
      <c r="L126" s="160"/>
      <c r="M126" s="160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179</v>
      </c>
      <c r="AU126" s="166" t="s">
        <v>135</v>
      </c>
      <c r="AV126" s="11" t="s">
        <v>135</v>
      </c>
      <c r="AW126" s="11" t="s">
        <v>35</v>
      </c>
      <c r="AX126" s="11" t="s">
        <v>78</v>
      </c>
      <c r="AY126" s="166" t="s">
        <v>167</v>
      </c>
    </row>
    <row r="127" spans="2:51" s="11" customFormat="1" ht="22.5" customHeight="1">
      <c r="B127" s="159"/>
      <c r="C127" s="160"/>
      <c r="D127" s="160"/>
      <c r="E127" s="161" t="s">
        <v>5</v>
      </c>
      <c r="F127" s="302" t="s">
        <v>243</v>
      </c>
      <c r="G127" s="303"/>
      <c r="H127" s="303"/>
      <c r="I127" s="303"/>
      <c r="J127" s="160"/>
      <c r="K127" s="162">
        <v>45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179</v>
      </c>
      <c r="AU127" s="166" t="s">
        <v>135</v>
      </c>
      <c r="AV127" s="11" t="s">
        <v>135</v>
      </c>
      <c r="AW127" s="11" t="s">
        <v>35</v>
      </c>
      <c r="AX127" s="11" t="s">
        <v>78</v>
      </c>
      <c r="AY127" s="166" t="s">
        <v>167</v>
      </c>
    </row>
    <row r="128" spans="2:51" s="11" customFormat="1" ht="22.5" customHeight="1">
      <c r="B128" s="159"/>
      <c r="C128" s="160"/>
      <c r="D128" s="160"/>
      <c r="E128" s="161" t="s">
        <v>5</v>
      </c>
      <c r="F128" s="302" t="s">
        <v>244</v>
      </c>
      <c r="G128" s="303"/>
      <c r="H128" s="303"/>
      <c r="I128" s="303"/>
      <c r="J128" s="160"/>
      <c r="K128" s="162">
        <v>10.125</v>
      </c>
      <c r="L128" s="160"/>
      <c r="M128" s="160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179</v>
      </c>
      <c r="AU128" s="166" t="s">
        <v>135</v>
      </c>
      <c r="AV128" s="11" t="s">
        <v>135</v>
      </c>
      <c r="AW128" s="11" t="s">
        <v>35</v>
      </c>
      <c r="AX128" s="11" t="s">
        <v>78</v>
      </c>
      <c r="AY128" s="166" t="s">
        <v>167</v>
      </c>
    </row>
    <row r="129" spans="2:51" s="12" customFormat="1" ht="22.5" customHeight="1">
      <c r="B129" s="167"/>
      <c r="C129" s="168"/>
      <c r="D129" s="168"/>
      <c r="E129" s="169" t="s">
        <v>5</v>
      </c>
      <c r="F129" s="306" t="s">
        <v>183</v>
      </c>
      <c r="G129" s="307"/>
      <c r="H129" s="307"/>
      <c r="I129" s="307"/>
      <c r="J129" s="168"/>
      <c r="K129" s="170">
        <v>305.125</v>
      </c>
      <c r="L129" s="168"/>
      <c r="M129" s="168"/>
      <c r="N129" s="168"/>
      <c r="O129" s="168"/>
      <c r="P129" s="168"/>
      <c r="Q129" s="168"/>
      <c r="R129" s="171"/>
      <c r="T129" s="172"/>
      <c r="U129" s="168"/>
      <c r="V129" s="168"/>
      <c r="W129" s="168"/>
      <c r="X129" s="168"/>
      <c r="Y129" s="168"/>
      <c r="Z129" s="168"/>
      <c r="AA129" s="173"/>
      <c r="AT129" s="174" t="s">
        <v>179</v>
      </c>
      <c r="AU129" s="174" t="s">
        <v>135</v>
      </c>
      <c r="AV129" s="12" t="s">
        <v>172</v>
      </c>
      <c r="AW129" s="12" t="s">
        <v>35</v>
      </c>
      <c r="AX129" s="12" t="s">
        <v>21</v>
      </c>
      <c r="AY129" s="174" t="s">
        <v>167</v>
      </c>
    </row>
    <row r="130" spans="2:65" s="1" customFormat="1" ht="31.5" customHeight="1">
      <c r="B130" s="141"/>
      <c r="C130" s="142" t="s">
        <v>172</v>
      </c>
      <c r="D130" s="142" t="s">
        <v>168</v>
      </c>
      <c r="E130" s="143" t="s">
        <v>245</v>
      </c>
      <c r="F130" s="293" t="s">
        <v>246</v>
      </c>
      <c r="G130" s="293"/>
      <c r="H130" s="293"/>
      <c r="I130" s="293"/>
      <c r="J130" s="144" t="s">
        <v>176</v>
      </c>
      <c r="K130" s="145">
        <v>305.125</v>
      </c>
      <c r="L130" s="294"/>
      <c r="M130" s="294"/>
      <c r="N130" s="294">
        <f>ROUND(L130*K130,2)</f>
        <v>0</v>
      </c>
      <c r="O130" s="294"/>
      <c r="P130" s="294"/>
      <c r="Q130" s="294"/>
      <c r="R130" s="146"/>
      <c r="T130" s="147" t="s">
        <v>5</v>
      </c>
      <c r="U130" s="44" t="s">
        <v>43</v>
      </c>
      <c r="V130" s="148">
        <v>0.04</v>
      </c>
      <c r="W130" s="148">
        <f>V130*K130</f>
        <v>12.205</v>
      </c>
      <c r="X130" s="148">
        <v>0</v>
      </c>
      <c r="Y130" s="148">
        <f>X130*K130</f>
        <v>0</v>
      </c>
      <c r="Z130" s="148">
        <v>0</v>
      </c>
      <c r="AA130" s="149">
        <f>Z130*K130</f>
        <v>0</v>
      </c>
      <c r="AR130" s="21" t="s">
        <v>172</v>
      </c>
      <c r="AT130" s="21" t="s">
        <v>168</v>
      </c>
      <c r="AU130" s="21" t="s">
        <v>135</v>
      </c>
      <c r="AY130" s="21" t="s">
        <v>167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21</v>
      </c>
      <c r="BK130" s="150">
        <f>ROUND(L130*K130,2)</f>
        <v>0</v>
      </c>
      <c r="BL130" s="21" t="s">
        <v>172</v>
      </c>
      <c r="BM130" s="21" t="s">
        <v>247</v>
      </c>
    </row>
    <row r="131" spans="2:65" s="1" customFormat="1" ht="31.5" customHeight="1">
      <c r="B131" s="141"/>
      <c r="C131" s="142" t="s">
        <v>196</v>
      </c>
      <c r="D131" s="142" t="s">
        <v>168</v>
      </c>
      <c r="E131" s="143" t="s">
        <v>248</v>
      </c>
      <c r="F131" s="293" t="s">
        <v>249</v>
      </c>
      <c r="G131" s="293"/>
      <c r="H131" s="293"/>
      <c r="I131" s="293"/>
      <c r="J131" s="144" t="s">
        <v>176</v>
      </c>
      <c r="K131" s="145">
        <v>305.125</v>
      </c>
      <c r="L131" s="294"/>
      <c r="M131" s="294"/>
      <c r="N131" s="294">
        <f>ROUND(L131*K131,2)</f>
        <v>0</v>
      </c>
      <c r="O131" s="294"/>
      <c r="P131" s="294"/>
      <c r="Q131" s="294"/>
      <c r="R131" s="146"/>
      <c r="T131" s="147" t="s">
        <v>5</v>
      </c>
      <c r="U131" s="44" t="s">
        <v>43</v>
      </c>
      <c r="V131" s="148">
        <v>0.097</v>
      </c>
      <c r="W131" s="148">
        <f>V131*K131</f>
        <v>29.597125000000002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21" t="s">
        <v>172</v>
      </c>
      <c r="AT131" s="21" t="s">
        <v>168</v>
      </c>
      <c r="AU131" s="21" t="s">
        <v>135</v>
      </c>
      <c r="AY131" s="21" t="s">
        <v>167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21</v>
      </c>
      <c r="BK131" s="150">
        <f>ROUND(L131*K131,2)</f>
        <v>0</v>
      </c>
      <c r="BL131" s="21" t="s">
        <v>172</v>
      </c>
      <c r="BM131" s="21" t="s">
        <v>250</v>
      </c>
    </row>
    <row r="132" spans="2:65" s="1" customFormat="1" ht="44.25" customHeight="1">
      <c r="B132" s="141"/>
      <c r="C132" s="142" t="s">
        <v>203</v>
      </c>
      <c r="D132" s="142" t="s">
        <v>168</v>
      </c>
      <c r="E132" s="143" t="s">
        <v>251</v>
      </c>
      <c r="F132" s="293" t="s">
        <v>252</v>
      </c>
      <c r="G132" s="293"/>
      <c r="H132" s="293"/>
      <c r="I132" s="293"/>
      <c r="J132" s="144" t="s">
        <v>176</v>
      </c>
      <c r="K132" s="145">
        <v>305.125</v>
      </c>
      <c r="L132" s="294"/>
      <c r="M132" s="294"/>
      <c r="N132" s="294">
        <f>ROUND(L132*K132,2)</f>
        <v>0</v>
      </c>
      <c r="O132" s="294"/>
      <c r="P132" s="294"/>
      <c r="Q132" s="294"/>
      <c r="R132" s="146"/>
      <c r="T132" s="147" t="s">
        <v>5</v>
      </c>
      <c r="U132" s="44" t="s">
        <v>43</v>
      </c>
      <c r="V132" s="148">
        <v>0.011</v>
      </c>
      <c r="W132" s="148">
        <f>V132*K132</f>
        <v>3.356375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172</v>
      </c>
      <c r="AT132" s="21" t="s">
        <v>168</v>
      </c>
      <c r="AU132" s="21" t="s">
        <v>135</v>
      </c>
      <c r="AY132" s="21" t="s">
        <v>167</v>
      </c>
      <c r="BE132" s="150">
        <f>IF(U132="základní",N132,0)</f>
        <v>0</v>
      </c>
      <c r="BF132" s="150">
        <f>IF(U132="snížená",N132,0)</f>
        <v>0</v>
      </c>
      <c r="BG132" s="150">
        <f>IF(U132="zákl. přenesená",N132,0)</f>
        <v>0</v>
      </c>
      <c r="BH132" s="150">
        <f>IF(U132="sníž. přenesená",N132,0)</f>
        <v>0</v>
      </c>
      <c r="BI132" s="150">
        <f>IF(U132="nulová",N132,0)</f>
        <v>0</v>
      </c>
      <c r="BJ132" s="21" t="s">
        <v>21</v>
      </c>
      <c r="BK132" s="150">
        <f>ROUND(L132*K132,2)</f>
        <v>0</v>
      </c>
      <c r="BL132" s="21" t="s">
        <v>172</v>
      </c>
      <c r="BM132" s="21" t="s">
        <v>253</v>
      </c>
    </row>
    <row r="133" spans="2:65" s="1" customFormat="1" ht="22.5" customHeight="1">
      <c r="B133" s="141"/>
      <c r="C133" s="142" t="s">
        <v>207</v>
      </c>
      <c r="D133" s="142" t="s">
        <v>168</v>
      </c>
      <c r="E133" s="143" t="s">
        <v>254</v>
      </c>
      <c r="F133" s="293" t="s">
        <v>255</v>
      </c>
      <c r="G133" s="293"/>
      <c r="H133" s="293"/>
      <c r="I133" s="293"/>
      <c r="J133" s="144" t="s">
        <v>171</v>
      </c>
      <c r="K133" s="145">
        <v>0</v>
      </c>
      <c r="L133" s="294"/>
      <c r="M133" s="294"/>
      <c r="N133" s="294">
        <f>ROUND(L133*K133,2)</f>
        <v>0</v>
      </c>
      <c r="O133" s="294"/>
      <c r="P133" s="294"/>
      <c r="Q133" s="294"/>
      <c r="R133" s="146"/>
      <c r="T133" s="147" t="s">
        <v>5</v>
      </c>
      <c r="U133" s="44" t="s">
        <v>43</v>
      </c>
      <c r="V133" s="148">
        <v>0.299</v>
      </c>
      <c r="W133" s="148">
        <f>V133*K133</f>
        <v>0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21" t="s">
        <v>172</v>
      </c>
      <c r="AT133" s="21" t="s">
        <v>168</v>
      </c>
      <c r="AU133" s="21" t="s">
        <v>135</v>
      </c>
      <c r="AY133" s="21" t="s">
        <v>167</v>
      </c>
      <c r="BE133" s="150">
        <f>IF(U133="základní",N133,0)</f>
        <v>0</v>
      </c>
      <c r="BF133" s="150">
        <f>IF(U133="snížená",N133,0)</f>
        <v>0</v>
      </c>
      <c r="BG133" s="150">
        <f>IF(U133="zákl. přenesená",N133,0)</f>
        <v>0</v>
      </c>
      <c r="BH133" s="150">
        <f>IF(U133="sníž. přenesená",N133,0)</f>
        <v>0</v>
      </c>
      <c r="BI133" s="150">
        <f>IF(U133="nulová",N133,0)</f>
        <v>0</v>
      </c>
      <c r="BJ133" s="21" t="s">
        <v>21</v>
      </c>
      <c r="BK133" s="150">
        <f>ROUND(L133*K133,2)</f>
        <v>0</v>
      </c>
      <c r="BL133" s="21" t="s">
        <v>172</v>
      </c>
      <c r="BM133" s="21" t="s">
        <v>256</v>
      </c>
    </row>
    <row r="134" spans="2:63" s="9" customFormat="1" ht="29.85" customHeight="1">
      <c r="B134" s="130"/>
      <c r="C134" s="131"/>
      <c r="D134" s="140" t="s">
        <v>149</v>
      </c>
      <c r="E134" s="140"/>
      <c r="F134" s="140"/>
      <c r="G134" s="140"/>
      <c r="H134" s="140"/>
      <c r="I134" s="140"/>
      <c r="J134" s="140"/>
      <c r="K134" s="140"/>
      <c r="L134" s="140"/>
      <c r="M134" s="140"/>
      <c r="N134" s="310">
        <f>BK134</f>
        <v>0</v>
      </c>
      <c r="O134" s="311"/>
      <c r="P134" s="311"/>
      <c r="Q134" s="311"/>
      <c r="R134" s="133"/>
      <c r="T134" s="134"/>
      <c r="U134" s="131"/>
      <c r="V134" s="131"/>
      <c r="W134" s="135">
        <f>SUM(W135:W162)</f>
        <v>300.6106</v>
      </c>
      <c r="X134" s="131"/>
      <c r="Y134" s="135">
        <f>SUM(Y135:Y162)</f>
        <v>353.65619949999996</v>
      </c>
      <c r="Z134" s="131"/>
      <c r="AA134" s="136">
        <f>SUM(AA135:AA162)</f>
        <v>0</v>
      </c>
      <c r="AR134" s="137" t="s">
        <v>21</v>
      </c>
      <c r="AT134" s="138" t="s">
        <v>77</v>
      </c>
      <c r="AU134" s="138" t="s">
        <v>21</v>
      </c>
      <c r="AY134" s="137" t="s">
        <v>167</v>
      </c>
      <c r="BK134" s="139">
        <f>SUM(BK135:BK162)</f>
        <v>0</v>
      </c>
    </row>
    <row r="135" spans="2:65" s="1" customFormat="1" ht="31.5" customHeight="1">
      <c r="B135" s="141"/>
      <c r="C135" s="142" t="s">
        <v>213</v>
      </c>
      <c r="D135" s="142" t="s">
        <v>168</v>
      </c>
      <c r="E135" s="143" t="s">
        <v>257</v>
      </c>
      <c r="F135" s="293" t="s">
        <v>258</v>
      </c>
      <c r="G135" s="293"/>
      <c r="H135" s="293"/>
      <c r="I135" s="293"/>
      <c r="J135" s="144" t="s">
        <v>259</v>
      </c>
      <c r="K135" s="145">
        <v>75</v>
      </c>
      <c r="L135" s="294"/>
      <c r="M135" s="294"/>
      <c r="N135" s="294">
        <f>ROUND(L135*K135,2)</f>
        <v>0</v>
      </c>
      <c r="O135" s="294"/>
      <c r="P135" s="294"/>
      <c r="Q135" s="294"/>
      <c r="R135" s="146"/>
      <c r="T135" s="147" t="s">
        <v>5</v>
      </c>
      <c r="U135" s="44" t="s">
        <v>43</v>
      </c>
      <c r="V135" s="148">
        <v>0.238</v>
      </c>
      <c r="W135" s="148">
        <f>V135*K135</f>
        <v>17.849999999999998</v>
      </c>
      <c r="X135" s="148">
        <v>0.24642</v>
      </c>
      <c r="Y135" s="148">
        <f>X135*K135</f>
        <v>18.4815</v>
      </c>
      <c r="Z135" s="148">
        <v>0</v>
      </c>
      <c r="AA135" s="149">
        <f>Z135*K135</f>
        <v>0</v>
      </c>
      <c r="AR135" s="21" t="s">
        <v>172</v>
      </c>
      <c r="AT135" s="21" t="s">
        <v>168</v>
      </c>
      <c r="AU135" s="21" t="s">
        <v>135</v>
      </c>
      <c r="AY135" s="21" t="s">
        <v>167</v>
      </c>
      <c r="BE135" s="150">
        <f>IF(U135="základní",N135,0)</f>
        <v>0</v>
      </c>
      <c r="BF135" s="150">
        <f>IF(U135="snížená",N135,0)</f>
        <v>0</v>
      </c>
      <c r="BG135" s="150">
        <f>IF(U135="zákl. přenesená",N135,0)</f>
        <v>0</v>
      </c>
      <c r="BH135" s="150">
        <f>IF(U135="sníž. přenesená",N135,0)</f>
        <v>0</v>
      </c>
      <c r="BI135" s="150">
        <f>IF(U135="nulová",N135,0)</f>
        <v>0</v>
      </c>
      <c r="BJ135" s="21" t="s">
        <v>21</v>
      </c>
      <c r="BK135" s="150">
        <f>ROUND(L135*K135,2)</f>
        <v>0</v>
      </c>
      <c r="BL135" s="21" t="s">
        <v>172</v>
      </c>
      <c r="BM135" s="21" t="s">
        <v>260</v>
      </c>
    </row>
    <row r="136" spans="2:51" s="11" customFormat="1" ht="22.5" customHeight="1">
      <c r="B136" s="159"/>
      <c r="C136" s="160"/>
      <c r="D136" s="160"/>
      <c r="E136" s="161" t="s">
        <v>5</v>
      </c>
      <c r="F136" s="308" t="s">
        <v>261</v>
      </c>
      <c r="G136" s="309"/>
      <c r="H136" s="309"/>
      <c r="I136" s="309"/>
      <c r="J136" s="160"/>
      <c r="K136" s="162">
        <v>75</v>
      </c>
      <c r="L136" s="160"/>
      <c r="M136" s="160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179</v>
      </c>
      <c r="AU136" s="166" t="s">
        <v>135</v>
      </c>
      <c r="AV136" s="11" t="s">
        <v>135</v>
      </c>
      <c r="AW136" s="11" t="s">
        <v>35</v>
      </c>
      <c r="AX136" s="11" t="s">
        <v>21</v>
      </c>
      <c r="AY136" s="166" t="s">
        <v>167</v>
      </c>
    </row>
    <row r="137" spans="2:65" s="1" customFormat="1" ht="31.5" customHeight="1">
      <c r="B137" s="141"/>
      <c r="C137" s="142" t="s">
        <v>218</v>
      </c>
      <c r="D137" s="142" t="s">
        <v>168</v>
      </c>
      <c r="E137" s="143" t="s">
        <v>262</v>
      </c>
      <c r="F137" s="293" t="s">
        <v>263</v>
      </c>
      <c r="G137" s="293"/>
      <c r="H137" s="293"/>
      <c r="I137" s="293"/>
      <c r="J137" s="144" t="s">
        <v>199</v>
      </c>
      <c r="K137" s="145">
        <v>406.6</v>
      </c>
      <c r="L137" s="294"/>
      <c r="M137" s="294"/>
      <c r="N137" s="294">
        <f>ROUND(L137*K137,2)</f>
        <v>0</v>
      </c>
      <c r="O137" s="294"/>
      <c r="P137" s="294"/>
      <c r="Q137" s="294"/>
      <c r="R137" s="146"/>
      <c r="T137" s="147" t="s">
        <v>5</v>
      </c>
      <c r="U137" s="44" t="s">
        <v>43</v>
      </c>
      <c r="V137" s="148">
        <v>0.08</v>
      </c>
      <c r="W137" s="148">
        <f>V137*K137</f>
        <v>32.528000000000006</v>
      </c>
      <c r="X137" s="148">
        <v>0.00047</v>
      </c>
      <c r="Y137" s="148">
        <f>X137*K137</f>
        <v>0.191102</v>
      </c>
      <c r="Z137" s="148">
        <v>0</v>
      </c>
      <c r="AA137" s="149">
        <f>Z137*K137</f>
        <v>0</v>
      </c>
      <c r="AR137" s="21" t="s">
        <v>172</v>
      </c>
      <c r="AT137" s="21" t="s">
        <v>168</v>
      </c>
      <c r="AU137" s="21" t="s">
        <v>135</v>
      </c>
      <c r="AY137" s="21" t="s">
        <v>167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21</v>
      </c>
      <c r="BK137" s="150">
        <f>ROUND(L137*K137,2)</f>
        <v>0</v>
      </c>
      <c r="BL137" s="21" t="s">
        <v>172</v>
      </c>
      <c r="BM137" s="21" t="s">
        <v>264</v>
      </c>
    </row>
    <row r="138" spans="2:51" s="10" customFormat="1" ht="22.5" customHeight="1">
      <c r="B138" s="151"/>
      <c r="C138" s="152"/>
      <c r="D138" s="152"/>
      <c r="E138" s="153" t="s">
        <v>5</v>
      </c>
      <c r="F138" s="300" t="s">
        <v>265</v>
      </c>
      <c r="G138" s="301"/>
      <c r="H138" s="301"/>
      <c r="I138" s="301"/>
      <c r="J138" s="152"/>
      <c r="K138" s="154" t="s">
        <v>5</v>
      </c>
      <c r="L138" s="152"/>
      <c r="M138" s="152"/>
      <c r="N138" s="152"/>
      <c r="O138" s="152"/>
      <c r="P138" s="152"/>
      <c r="Q138" s="152"/>
      <c r="R138" s="155"/>
      <c r="T138" s="156"/>
      <c r="U138" s="152"/>
      <c r="V138" s="152"/>
      <c r="W138" s="152"/>
      <c r="X138" s="152"/>
      <c r="Y138" s="152"/>
      <c r="Z138" s="152"/>
      <c r="AA138" s="157"/>
      <c r="AT138" s="158" t="s">
        <v>179</v>
      </c>
      <c r="AU138" s="158" t="s">
        <v>135</v>
      </c>
      <c r="AV138" s="10" t="s">
        <v>21</v>
      </c>
      <c r="AW138" s="10" t="s">
        <v>35</v>
      </c>
      <c r="AX138" s="10" t="s">
        <v>78</v>
      </c>
      <c r="AY138" s="158" t="s">
        <v>167</v>
      </c>
    </row>
    <row r="139" spans="2:51" s="11" customFormat="1" ht="22.5" customHeight="1">
      <c r="B139" s="159"/>
      <c r="C139" s="160"/>
      <c r="D139" s="160"/>
      <c r="E139" s="161" t="s">
        <v>5</v>
      </c>
      <c r="F139" s="302" t="s">
        <v>266</v>
      </c>
      <c r="G139" s="303"/>
      <c r="H139" s="303"/>
      <c r="I139" s="303"/>
      <c r="J139" s="160"/>
      <c r="K139" s="162">
        <v>125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179</v>
      </c>
      <c r="AU139" s="166" t="s">
        <v>135</v>
      </c>
      <c r="AV139" s="11" t="s">
        <v>135</v>
      </c>
      <c r="AW139" s="11" t="s">
        <v>35</v>
      </c>
      <c r="AX139" s="11" t="s">
        <v>78</v>
      </c>
      <c r="AY139" s="166" t="s">
        <v>167</v>
      </c>
    </row>
    <row r="140" spans="2:51" s="10" customFormat="1" ht="22.5" customHeight="1">
      <c r="B140" s="151"/>
      <c r="C140" s="152"/>
      <c r="D140" s="152"/>
      <c r="E140" s="153" t="s">
        <v>5</v>
      </c>
      <c r="F140" s="304" t="s">
        <v>194</v>
      </c>
      <c r="G140" s="305"/>
      <c r="H140" s="305"/>
      <c r="I140" s="305"/>
      <c r="J140" s="152"/>
      <c r="K140" s="154" t="s">
        <v>5</v>
      </c>
      <c r="L140" s="152"/>
      <c r="M140" s="152"/>
      <c r="N140" s="152"/>
      <c r="O140" s="152"/>
      <c r="P140" s="152"/>
      <c r="Q140" s="152"/>
      <c r="R140" s="155"/>
      <c r="T140" s="156"/>
      <c r="U140" s="152"/>
      <c r="V140" s="152"/>
      <c r="W140" s="152"/>
      <c r="X140" s="152"/>
      <c r="Y140" s="152"/>
      <c r="Z140" s="152"/>
      <c r="AA140" s="157"/>
      <c r="AT140" s="158" t="s">
        <v>179</v>
      </c>
      <c r="AU140" s="158" t="s">
        <v>135</v>
      </c>
      <c r="AV140" s="10" t="s">
        <v>21</v>
      </c>
      <c r="AW140" s="10" t="s">
        <v>35</v>
      </c>
      <c r="AX140" s="10" t="s">
        <v>78</v>
      </c>
      <c r="AY140" s="158" t="s">
        <v>167</v>
      </c>
    </row>
    <row r="141" spans="2:51" s="11" customFormat="1" ht="22.5" customHeight="1">
      <c r="B141" s="159"/>
      <c r="C141" s="160"/>
      <c r="D141" s="160"/>
      <c r="E141" s="161" t="s">
        <v>5</v>
      </c>
      <c r="F141" s="302" t="s">
        <v>267</v>
      </c>
      <c r="G141" s="303"/>
      <c r="H141" s="303"/>
      <c r="I141" s="303"/>
      <c r="J141" s="160"/>
      <c r="K141" s="162">
        <v>281.6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179</v>
      </c>
      <c r="AU141" s="166" t="s">
        <v>135</v>
      </c>
      <c r="AV141" s="11" t="s">
        <v>135</v>
      </c>
      <c r="AW141" s="11" t="s">
        <v>35</v>
      </c>
      <c r="AX141" s="11" t="s">
        <v>78</v>
      </c>
      <c r="AY141" s="166" t="s">
        <v>167</v>
      </c>
    </row>
    <row r="142" spans="2:51" s="12" customFormat="1" ht="22.5" customHeight="1">
      <c r="B142" s="167"/>
      <c r="C142" s="168"/>
      <c r="D142" s="168"/>
      <c r="E142" s="169" t="s">
        <v>5</v>
      </c>
      <c r="F142" s="306" t="s">
        <v>183</v>
      </c>
      <c r="G142" s="307"/>
      <c r="H142" s="307"/>
      <c r="I142" s="307"/>
      <c r="J142" s="168"/>
      <c r="K142" s="170">
        <v>406.6</v>
      </c>
      <c r="L142" s="168"/>
      <c r="M142" s="168"/>
      <c r="N142" s="168"/>
      <c r="O142" s="168"/>
      <c r="P142" s="168"/>
      <c r="Q142" s="168"/>
      <c r="R142" s="171"/>
      <c r="T142" s="172"/>
      <c r="U142" s="168"/>
      <c r="V142" s="168"/>
      <c r="W142" s="168"/>
      <c r="X142" s="168"/>
      <c r="Y142" s="168"/>
      <c r="Z142" s="168"/>
      <c r="AA142" s="173"/>
      <c r="AT142" s="174" t="s">
        <v>179</v>
      </c>
      <c r="AU142" s="174" t="s">
        <v>135</v>
      </c>
      <c r="AV142" s="12" t="s">
        <v>172</v>
      </c>
      <c r="AW142" s="12" t="s">
        <v>35</v>
      </c>
      <c r="AX142" s="12" t="s">
        <v>21</v>
      </c>
      <c r="AY142" s="174" t="s">
        <v>167</v>
      </c>
    </row>
    <row r="143" spans="2:65" s="1" customFormat="1" ht="22.5" customHeight="1">
      <c r="B143" s="141"/>
      <c r="C143" s="142" t="s">
        <v>25</v>
      </c>
      <c r="D143" s="142" t="s">
        <v>168</v>
      </c>
      <c r="E143" s="143" t="s">
        <v>174</v>
      </c>
      <c r="F143" s="293" t="s">
        <v>175</v>
      </c>
      <c r="G143" s="293"/>
      <c r="H143" s="293"/>
      <c r="I143" s="293"/>
      <c r="J143" s="144" t="s">
        <v>176</v>
      </c>
      <c r="K143" s="145">
        <v>113.7</v>
      </c>
      <c r="L143" s="294"/>
      <c r="M143" s="294"/>
      <c r="N143" s="294">
        <f>ROUND(L143*K143,2)</f>
        <v>0</v>
      </c>
      <c r="O143" s="294"/>
      <c r="P143" s="294"/>
      <c r="Q143" s="294"/>
      <c r="R143" s="146"/>
      <c r="T143" s="147" t="s">
        <v>5</v>
      </c>
      <c r="U143" s="44" t="s">
        <v>43</v>
      </c>
      <c r="V143" s="148">
        <v>1.03</v>
      </c>
      <c r="W143" s="148">
        <f>V143*K143</f>
        <v>117.111</v>
      </c>
      <c r="X143" s="148">
        <v>2.0875</v>
      </c>
      <c r="Y143" s="148">
        <f>X143*K143</f>
        <v>237.34875</v>
      </c>
      <c r="Z143" s="148">
        <v>0</v>
      </c>
      <c r="AA143" s="149">
        <f>Z143*K143</f>
        <v>0</v>
      </c>
      <c r="AR143" s="21" t="s">
        <v>172</v>
      </c>
      <c r="AT143" s="21" t="s">
        <v>168</v>
      </c>
      <c r="AU143" s="21" t="s">
        <v>135</v>
      </c>
      <c r="AY143" s="21" t="s">
        <v>167</v>
      </c>
      <c r="BE143" s="150">
        <f>IF(U143="základní",N143,0)</f>
        <v>0</v>
      </c>
      <c r="BF143" s="150">
        <f>IF(U143="snížená",N143,0)</f>
        <v>0</v>
      </c>
      <c r="BG143" s="150">
        <f>IF(U143="zákl. přenesená",N143,0)</f>
        <v>0</v>
      </c>
      <c r="BH143" s="150">
        <f>IF(U143="sníž. přenesená",N143,0)</f>
        <v>0</v>
      </c>
      <c r="BI143" s="150">
        <f>IF(U143="nulová",N143,0)</f>
        <v>0</v>
      </c>
      <c r="BJ143" s="21" t="s">
        <v>21</v>
      </c>
      <c r="BK143" s="150">
        <f>ROUND(L143*K143,2)</f>
        <v>0</v>
      </c>
      <c r="BL143" s="21" t="s">
        <v>172</v>
      </c>
      <c r="BM143" s="21" t="s">
        <v>177</v>
      </c>
    </row>
    <row r="144" spans="2:51" s="10" customFormat="1" ht="22.5" customHeight="1">
      <c r="B144" s="151"/>
      <c r="C144" s="152"/>
      <c r="D144" s="152"/>
      <c r="E144" s="153" t="s">
        <v>5</v>
      </c>
      <c r="F144" s="300" t="s">
        <v>265</v>
      </c>
      <c r="G144" s="301"/>
      <c r="H144" s="301"/>
      <c r="I144" s="301"/>
      <c r="J144" s="152"/>
      <c r="K144" s="154" t="s">
        <v>5</v>
      </c>
      <c r="L144" s="152"/>
      <c r="M144" s="152"/>
      <c r="N144" s="152"/>
      <c r="O144" s="152"/>
      <c r="P144" s="152"/>
      <c r="Q144" s="152"/>
      <c r="R144" s="155"/>
      <c r="T144" s="156"/>
      <c r="U144" s="152"/>
      <c r="V144" s="152"/>
      <c r="W144" s="152"/>
      <c r="X144" s="152"/>
      <c r="Y144" s="152"/>
      <c r="Z144" s="152"/>
      <c r="AA144" s="157"/>
      <c r="AT144" s="158" t="s">
        <v>179</v>
      </c>
      <c r="AU144" s="158" t="s">
        <v>135</v>
      </c>
      <c r="AV144" s="10" t="s">
        <v>21</v>
      </c>
      <c r="AW144" s="10" t="s">
        <v>35</v>
      </c>
      <c r="AX144" s="10" t="s">
        <v>78</v>
      </c>
      <c r="AY144" s="158" t="s">
        <v>167</v>
      </c>
    </row>
    <row r="145" spans="2:51" s="11" customFormat="1" ht="22.5" customHeight="1">
      <c r="B145" s="159"/>
      <c r="C145" s="160"/>
      <c r="D145" s="160"/>
      <c r="E145" s="161" t="s">
        <v>5</v>
      </c>
      <c r="F145" s="302" t="s">
        <v>268</v>
      </c>
      <c r="G145" s="303"/>
      <c r="H145" s="303"/>
      <c r="I145" s="303"/>
      <c r="J145" s="160"/>
      <c r="K145" s="162">
        <v>62.5</v>
      </c>
      <c r="L145" s="160"/>
      <c r="M145" s="160"/>
      <c r="N145" s="160"/>
      <c r="O145" s="160"/>
      <c r="P145" s="160"/>
      <c r="Q145" s="160"/>
      <c r="R145" s="163"/>
      <c r="T145" s="164"/>
      <c r="U145" s="160"/>
      <c r="V145" s="160"/>
      <c r="W145" s="160"/>
      <c r="X145" s="160"/>
      <c r="Y145" s="160"/>
      <c r="Z145" s="160"/>
      <c r="AA145" s="165"/>
      <c r="AT145" s="166" t="s">
        <v>179</v>
      </c>
      <c r="AU145" s="166" t="s">
        <v>135</v>
      </c>
      <c r="AV145" s="11" t="s">
        <v>135</v>
      </c>
      <c r="AW145" s="11" t="s">
        <v>35</v>
      </c>
      <c r="AX145" s="11" t="s">
        <v>78</v>
      </c>
      <c r="AY145" s="166" t="s">
        <v>167</v>
      </c>
    </row>
    <row r="146" spans="2:51" s="10" customFormat="1" ht="22.5" customHeight="1">
      <c r="B146" s="151"/>
      <c r="C146" s="152"/>
      <c r="D146" s="152"/>
      <c r="E146" s="153" t="s">
        <v>5</v>
      </c>
      <c r="F146" s="304" t="s">
        <v>194</v>
      </c>
      <c r="G146" s="305"/>
      <c r="H146" s="305"/>
      <c r="I146" s="305"/>
      <c r="J146" s="152"/>
      <c r="K146" s="154" t="s">
        <v>5</v>
      </c>
      <c r="L146" s="152"/>
      <c r="M146" s="152"/>
      <c r="N146" s="152"/>
      <c r="O146" s="152"/>
      <c r="P146" s="152"/>
      <c r="Q146" s="152"/>
      <c r="R146" s="155"/>
      <c r="T146" s="156"/>
      <c r="U146" s="152"/>
      <c r="V146" s="152"/>
      <c r="W146" s="152"/>
      <c r="X146" s="152"/>
      <c r="Y146" s="152"/>
      <c r="Z146" s="152"/>
      <c r="AA146" s="157"/>
      <c r="AT146" s="158" t="s">
        <v>179</v>
      </c>
      <c r="AU146" s="158" t="s">
        <v>135</v>
      </c>
      <c r="AV146" s="10" t="s">
        <v>21</v>
      </c>
      <c r="AW146" s="10" t="s">
        <v>35</v>
      </c>
      <c r="AX146" s="10" t="s">
        <v>78</v>
      </c>
      <c r="AY146" s="158" t="s">
        <v>167</v>
      </c>
    </row>
    <row r="147" spans="2:51" s="11" customFormat="1" ht="22.5" customHeight="1">
      <c r="B147" s="159"/>
      <c r="C147" s="160"/>
      <c r="D147" s="160"/>
      <c r="E147" s="161" t="s">
        <v>5</v>
      </c>
      <c r="F147" s="302" t="s">
        <v>269</v>
      </c>
      <c r="G147" s="303"/>
      <c r="H147" s="303"/>
      <c r="I147" s="303"/>
      <c r="J147" s="160"/>
      <c r="K147" s="162">
        <v>51.2</v>
      </c>
      <c r="L147" s="160"/>
      <c r="M147" s="160"/>
      <c r="N147" s="160"/>
      <c r="O147" s="160"/>
      <c r="P147" s="160"/>
      <c r="Q147" s="160"/>
      <c r="R147" s="163"/>
      <c r="T147" s="164"/>
      <c r="U147" s="160"/>
      <c r="V147" s="160"/>
      <c r="W147" s="160"/>
      <c r="X147" s="160"/>
      <c r="Y147" s="160"/>
      <c r="Z147" s="160"/>
      <c r="AA147" s="165"/>
      <c r="AT147" s="166" t="s">
        <v>179</v>
      </c>
      <c r="AU147" s="166" t="s">
        <v>135</v>
      </c>
      <c r="AV147" s="11" t="s">
        <v>135</v>
      </c>
      <c r="AW147" s="11" t="s">
        <v>35</v>
      </c>
      <c r="AX147" s="11" t="s">
        <v>78</v>
      </c>
      <c r="AY147" s="166" t="s">
        <v>167</v>
      </c>
    </row>
    <row r="148" spans="2:51" s="12" customFormat="1" ht="22.5" customHeight="1">
      <c r="B148" s="167"/>
      <c r="C148" s="168"/>
      <c r="D148" s="168"/>
      <c r="E148" s="169" t="s">
        <v>5</v>
      </c>
      <c r="F148" s="306" t="s">
        <v>183</v>
      </c>
      <c r="G148" s="307"/>
      <c r="H148" s="307"/>
      <c r="I148" s="307"/>
      <c r="J148" s="168"/>
      <c r="K148" s="170">
        <v>113.7</v>
      </c>
      <c r="L148" s="168"/>
      <c r="M148" s="168"/>
      <c r="N148" s="168"/>
      <c r="O148" s="168"/>
      <c r="P148" s="168"/>
      <c r="Q148" s="168"/>
      <c r="R148" s="171"/>
      <c r="T148" s="172"/>
      <c r="U148" s="168"/>
      <c r="V148" s="168"/>
      <c r="W148" s="168"/>
      <c r="X148" s="168"/>
      <c r="Y148" s="168"/>
      <c r="Z148" s="168"/>
      <c r="AA148" s="173"/>
      <c r="AT148" s="174" t="s">
        <v>179</v>
      </c>
      <c r="AU148" s="174" t="s">
        <v>135</v>
      </c>
      <c r="AV148" s="12" t="s">
        <v>172</v>
      </c>
      <c r="AW148" s="12" t="s">
        <v>35</v>
      </c>
      <c r="AX148" s="12" t="s">
        <v>21</v>
      </c>
      <c r="AY148" s="174" t="s">
        <v>167</v>
      </c>
    </row>
    <row r="149" spans="2:65" s="1" customFormat="1" ht="22.5" customHeight="1">
      <c r="B149" s="141"/>
      <c r="C149" s="142" t="s">
        <v>270</v>
      </c>
      <c r="D149" s="142" t="s">
        <v>168</v>
      </c>
      <c r="E149" s="143" t="s">
        <v>185</v>
      </c>
      <c r="F149" s="293" t="s">
        <v>186</v>
      </c>
      <c r="G149" s="293"/>
      <c r="H149" s="293"/>
      <c r="I149" s="293"/>
      <c r="J149" s="144" t="s">
        <v>176</v>
      </c>
      <c r="K149" s="145">
        <v>38.1</v>
      </c>
      <c r="L149" s="294"/>
      <c r="M149" s="294"/>
      <c r="N149" s="294">
        <f>ROUND(L149*K149,2)</f>
        <v>0</v>
      </c>
      <c r="O149" s="294"/>
      <c r="P149" s="294"/>
      <c r="Q149" s="294"/>
      <c r="R149" s="146"/>
      <c r="T149" s="147" t="s">
        <v>5</v>
      </c>
      <c r="U149" s="44" t="s">
        <v>43</v>
      </c>
      <c r="V149" s="148">
        <v>0.266</v>
      </c>
      <c r="W149" s="148">
        <f>V149*K149</f>
        <v>10.1346</v>
      </c>
      <c r="X149" s="148">
        <v>0</v>
      </c>
      <c r="Y149" s="148">
        <f>X149*K149</f>
        <v>0</v>
      </c>
      <c r="Z149" s="148">
        <v>0</v>
      </c>
      <c r="AA149" s="149">
        <f>Z149*K149</f>
        <v>0</v>
      </c>
      <c r="AR149" s="21" t="s">
        <v>172</v>
      </c>
      <c r="AT149" s="21" t="s">
        <v>168</v>
      </c>
      <c r="AU149" s="21" t="s">
        <v>135</v>
      </c>
      <c r="AY149" s="21" t="s">
        <v>167</v>
      </c>
      <c r="BE149" s="150">
        <f>IF(U149="základní",N149,0)</f>
        <v>0</v>
      </c>
      <c r="BF149" s="150">
        <f>IF(U149="snížená",N149,0)</f>
        <v>0</v>
      </c>
      <c r="BG149" s="150">
        <f>IF(U149="zákl. přenesená",N149,0)</f>
        <v>0</v>
      </c>
      <c r="BH149" s="150">
        <f>IF(U149="sníž. přenesená",N149,0)</f>
        <v>0</v>
      </c>
      <c r="BI149" s="150">
        <f>IF(U149="nulová",N149,0)</f>
        <v>0</v>
      </c>
      <c r="BJ149" s="21" t="s">
        <v>21</v>
      </c>
      <c r="BK149" s="150">
        <f>ROUND(L149*K149,2)</f>
        <v>0</v>
      </c>
      <c r="BL149" s="21" t="s">
        <v>172</v>
      </c>
      <c r="BM149" s="21" t="s">
        <v>187</v>
      </c>
    </row>
    <row r="150" spans="2:51" s="10" customFormat="1" ht="22.5" customHeight="1">
      <c r="B150" s="151"/>
      <c r="C150" s="152"/>
      <c r="D150" s="152"/>
      <c r="E150" s="153" t="s">
        <v>5</v>
      </c>
      <c r="F150" s="300" t="s">
        <v>265</v>
      </c>
      <c r="G150" s="301"/>
      <c r="H150" s="301"/>
      <c r="I150" s="301"/>
      <c r="J150" s="152"/>
      <c r="K150" s="154" t="s">
        <v>5</v>
      </c>
      <c r="L150" s="152"/>
      <c r="M150" s="152"/>
      <c r="N150" s="152"/>
      <c r="O150" s="152"/>
      <c r="P150" s="152"/>
      <c r="Q150" s="152"/>
      <c r="R150" s="155"/>
      <c r="T150" s="156"/>
      <c r="U150" s="152"/>
      <c r="V150" s="152"/>
      <c r="W150" s="152"/>
      <c r="X150" s="152"/>
      <c r="Y150" s="152"/>
      <c r="Z150" s="152"/>
      <c r="AA150" s="157"/>
      <c r="AT150" s="158" t="s">
        <v>179</v>
      </c>
      <c r="AU150" s="158" t="s">
        <v>135</v>
      </c>
      <c r="AV150" s="10" t="s">
        <v>21</v>
      </c>
      <c r="AW150" s="10" t="s">
        <v>35</v>
      </c>
      <c r="AX150" s="10" t="s">
        <v>78</v>
      </c>
      <c r="AY150" s="158" t="s">
        <v>167</v>
      </c>
    </row>
    <row r="151" spans="2:51" s="11" customFormat="1" ht="22.5" customHeight="1">
      <c r="B151" s="159"/>
      <c r="C151" s="160"/>
      <c r="D151" s="160"/>
      <c r="E151" s="161" t="s">
        <v>5</v>
      </c>
      <c r="F151" s="302" t="s">
        <v>271</v>
      </c>
      <c r="G151" s="303"/>
      <c r="H151" s="303"/>
      <c r="I151" s="303"/>
      <c r="J151" s="160"/>
      <c r="K151" s="162">
        <v>12.5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179</v>
      </c>
      <c r="AU151" s="166" t="s">
        <v>135</v>
      </c>
      <c r="AV151" s="11" t="s">
        <v>135</v>
      </c>
      <c r="AW151" s="11" t="s">
        <v>35</v>
      </c>
      <c r="AX151" s="11" t="s">
        <v>78</v>
      </c>
      <c r="AY151" s="166" t="s">
        <v>167</v>
      </c>
    </row>
    <row r="152" spans="2:51" s="10" customFormat="1" ht="22.5" customHeight="1">
      <c r="B152" s="151"/>
      <c r="C152" s="152"/>
      <c r="D152" s="152"/>
      <c r="E152" s="153" t="s">
        <v>5</v>
      </c>
      <c r="F152" s="304" t="s">
        <v>194</v>
      </c>
      <c r="G152" s="305"/>
      <c r="H152" s="305"/>
      <c r="I152" s="305"/>
      <c r="J152" s="152"/>
      <c r="K152" s="154" t="s">
        <v>5</v>
      </c>
      <c r="L152" s="152"/>
      <c r="M152" s="152"/>
      <c r="N152" s="152"/>
      <c r="O152" s="152"/>
      <c r="P152" s="152"/>
      <c r="Q152" s="152"/>
      <c r="R152" s="155"/>
      <c r="T152" s="156"/>
      <c r="U152" s="152"/>
      <c r="V152" s="152"/>
      <c r="W152" s="152"/>
      <c r="X152" s="152"/>
      <c r="Y152" s="152"/>
      <c r="Z152" s="152"/>
      <c r="AA152" s="157"/>
      <c r="AT152" s="158" t="s">
        <v>179</v>
      </c>
      <c r="AU152" s="158" t="s">
        <v>135</v>
      </c>
      <c r="AV152" s="10" t="s">
        <v>21</v>
      </c>
      <c r="AW152" s="10" t="s">
        <v>35</v>
      </c>
      <c r="AX152" s="10" t="s">
        <v>78</v>
      </c>
      <c r="AY152" s="158" t="s">
        <v>167</v>
      </c>
    </row>
    <row r="153" spans="2:51" s="11" customFormat="1" ht="22.5" customHeight="1">
      <c r="B153" s="159"/>
      <c r="C153" s="160"/>
      <c r="D153" s="160"/>
      <c r="E153" s="161" t="s">
        <v>5</v>
      </c>
      <c r="F153" s="302" t="s">
        <v>272</v>
      </c>
      <c r="G153" s="303"/>
      <c r="H153" s="303"/>
      <c r="I153" s="303"/>
      <c r="J153" s="160"/>
      <c r="K153" s="162">
        <v>25.6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179</v>
      </c>
      <c r="AU153" s="166" t="s">
        <v>135</v>
      </c>
      <c r="AV153" s="11" t="s">
        <v>135</v>
      </c>
      <c r="AW153" s="11" t="s">
        <v>35</v>
      </c>
      <c r="AX153" s="11" t="s">
        <v>78</v>
      </c>
      <c r="AY153" s="166" t="s">
        <v>167</v>
      </c>
    </row>
    <row r="154" spans="2:51" s="12" customFormat="1" ht="22.5" customHeight="1">
      <c r="B154" s="167"/>
      <c r="C154" s="168"/>
      <c r="D154" s="168"/>
      <c r="E154" s="169" t="s">
        <v>5</v>
      </c>
      <c r="F154" s="306" t="s">
        <v>183</v>
      </c>
      <c r="G154" s="307"/>
      <c r="H154" s="307"/>
      <c r="I154" s="307"/>
      <c r="J154" s="168"/>
      <c r="K154" s="170">
        <v>38.1</v>
      </c>
      <c r="L154" s="168"/>
      <c r="M154" s="168"/>
      <c r="N154" s="168"/>
      <c r="O154" s="168"/>
      <c r="P154" s="168"/>
      <c r="Q154" s="168"/>
      <c r="R154" s="171"/>
      <c r="T154" s="172"/>
      <c r="U154" s="168"/>
      <c r="V154" s="168"/>
      <c r="W154" s="168"/>
      <c r="X154" s="168"/>
      <c r="Y154" s="168"/>
      <c r="Z154" s="168"/>
      <c r="AA154" s="173"/>
      <c r="AT154" s="174" t="s">
        <v>179</v>
      </c>
      <c r="AU154" s="174" t="s">
        <v>135</v>
      </c>
      <c r="AV154" s="12" t="s">
        <v>172</v>
      </c>
      <c r="AW154" s="12" t="s">
        <v>35</v>
      </c>
      <c r="AX154" s="12" t="s">
        <v>21</v>
      </c>
      <c r="AY154" s="174" t="s">
        <v>167</v>
      </c>
    </row>
    <row r="155" spans="2:65" s="1" customFormat="1" ht="31.5" customHeight="1">
      <c r="B155" s="141"/>
      <c r="C155" s="142" t="s">
        <v>273</v>
      </c>
      <c r="D155" s="142" t="s">
        <v>168</v>
      </c>
      <c r="E155" s="143" t="s">
        <v>189</v>
      </c>
      <c r="F155" s="293" t="s">
        <v>274</v>
      </c>
      <c r="G155" s="293"/>
      <c r="H155" s="293"/>
      <c r="I155" s="293"/>
      <c r="J155" s="144" t="s">
        <v>176</v>
      </c>
      <c r="K155" s="145">
        <v>37.5</v>
      </c>
      <c r="L155" s="294"/>
      <c r="M155" s="294"/>
      <c r="N155" s="294">
        <f>ROUND(L155*K155,2)</f>
        <v>0</v>
      </c>
      <c r="O155" s="294"/>
      <c r="P155" s="294"/>
      <c r="Q155" s="294"/>
      <c r="R155" s="146"/>
      <c r="T155" s="147" t="s">
        <v>5</v>
      </c>
      <c r="U155" s="44" t="s">
        <v>43</v>
      </c>
      <c r="V155" s="148">
        <v>1.052</v>
      </c>
      <c r="W155" s="148">
        <f>V155*K155</f>
        <v>39.45</v>
      </c>
      <c r="X155" s="148">
        <v>2.55178</v>
      </c>
      <c r="Y155" s="148">
        <f>X155*K155</f>
        <v>95.69175</v>
      </c>
      <c r="Z155" s="148">
        <v>0</v>
      </c>
      <c r="AA155" s="149">
        <f>Z155*K155</f>
        <v>0</v>
      </c>
      <c r="AR155" s="21" t="s">
        <v>172</v>
      </c>
      <c r="AT155" s="21" t="s">
        <v>168</v>
      </c>
      <c r="AU155" s="21" t="s">
        <v>135</v>
      </c>
      <c r="AY155" s="21" t="s">
        <v>167</v>
      </c>
      <c r="BE155" s="150">
        <f>IF(U155="základní",N155,0)</f>
        <v>0</v>
      </c>
      <c r="BF155" s="150">
        <f>IF(U155="snížená",N155,0)</f>
        <v>0</v>
      </c>
      <c r="BG155" s="150">
        <f>IF(U155="zákl. přenesená",N155,0)</f>
        <v>0</v>
      </c>
      <c r="BH155" s="150">
        <f>IF(U155="sníž. přenesená",N155,0)</f>
        <v>0</v>
      </c>
      <c r="BI155" s="150">
        <f>IF(U155="nulová",N155,0)</f>
        <v>0</v>
      </c>
      <c r="BJ155" s="21" t="s">
        <v>21</v>
      </c>
      <c r="BK155" s="150">
        <f>ROUND(L155*K155,2)</f>
        <v>0</v>
      </c>
      <c r="BL155" s="21" t="s">
        <v>172</v>
      </c>
      <c r="BM155" s="21" t="s">
        <v>191</v>
      </c>
    </row>
    <row r="156" spans="2:51" s="11" customFormat="1" ht="22.5" customHeight="1">
      <c r="B156" s="159"/>
      <c r="C156" s="160"/>
      <c r="D156" s="160"/>
      <c r="E156" s="161" t="s">
        <v>5</v>
      </c>
      <c r="F156" s="308" t="s">
        <v>275</v>
      </c>
      <c r="G156" s="309"/>
      <c r="H156" s="309"/>
      <c r="I156" s="309"/>
      <c r="J156" s="160"/>
      <c r="K156" s="162">
        <v>37.5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179</v>
      </c>
      <c r="AU156" s="166" t="s">
        <v>135</v>
      </c>
      <c r="AV156" s="11" t="s">
        <v>135</v>
      </c>
      <c r="AW156" s="11" t="s">
        <v>35</v>
      </c>
      <c r="AX156" s="11" t="s">
        <v>21</v>
      </c>
      <c r="AY156" s="166" t="s">
        <v>167</v>
      </c>
    </row>
    <row r="157" spans="2:65" s="1" customFormat="1" ht="31.5" customHeight="1">
      <c r="B157" s="141"/>
      <c r="C157" s="142" t="s">
        <v>276</v>
      </c>
      <c r="D157" s="142" t="s">
        <v>168</v>
      </c>
      <c r="E157" s="143" t="s">
        <v>197</v>
      </c>
      <c r="F157" s="293" t="s">
        <v>198</v>
      </c>
      <c r="G157" s="293"/>
      <c r="H157" s="293"/>
      <c r="I157" s="293"/>
      <c r="J157" s="144" t="s">
        <v>199</v>
      </c>
      <c r="K157" s="145">
        <v>24</v>
      </c>
      <c r="L157" s="294"/>
      <c r="M157" s="294"/>
      <c r="N157" s="294">
        <f>ROUND(L157*K157,2)</f>
        <v>0</v>
      </c>
      <c r="O157" s="294"/>
      <c r="P157" s="294"/>
      <c r="Q157" s="294"/>
      <c r="R157" s="146"/>
      <c r="T157" s="147" t="s">
        <v>5</v>
      </c>
      <c r="U157" s="44" t="s">
        <v>43</v>
      </c>
      <c r="V157" s="148">
        <v>0.721</v>
      </c>
      <c r="W157" s="148">
        <f>V157*K157</f>
        <v>17.304</v>
      </c>
      <c r="X157" s="148">
        <v>0.00458</v>
      </c>
      <c r="Y157" s="148">
        <f>X157*K157</f>
        <v>0.10991999999999999</v>
      </c>
      <c r="Z157" s="148">
        <v>0</v>
      </c>
      <c r="AA157" s="149">
        <f>Z157*K157</f>
        <v>0</v>
      </c>
      <c r="AR157" s="21" t="s">
        <v>172</v>
      </c>
      <c r="AT157" s="21" t="s">
        <v>168</v>
      </c>
      <c r="AU157" s="21" t="s">
        <v>135</v>
      </c>
      <c r="AY157" s="21" t="s">
        <v>167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21</v>
      </c>
      <c r="BK157" s="150">
        <f>ROUND(L157*K157,2)</f>
        <v>0</v>
      </c>
      <c r="BL157" s="21" t="s">
        <v>172</v>
      </c>
      <c r="BM157" s="21" t="s">
        <v>200</v>
      </c>
    </row>
    <row r="158" spans="2:51" s="11" customFormat="1" ht="22.5" customHeight="1">
      <c r="B158" s="159"/>
      <c r="C158" s="160"/>
      <c r="D158" s="160"/>
      <c r="E158" s="161" t="s">
        <v>5</v>
      </c>
      <c r="F158" s="308" t="s">
        <v>277</v>
      </c>
      <c r="G158" s="309"/>
      <c r="H158" s="309"/>
      <c r="I158" s="309"/>
      <c r="J158" s="160"/>
      <c r="K158" s="162">
        <v>24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179</v>
      </c>
      <c r="AU158" s="166" t="s">
        <v>135</v>
      </c>
      <c r="AV158" s="11" t="s">
        <v>135</v>
      </c>
      <c r="AW158" s="11" t="s">
        <v>35</v>
      </c>
      <c r="AX158" s="11" t="s">
        <v>21</v>
      </c>
      <c r="AY158" s="166" t="s">
        <v>167</v>
      </c>
    </row>
    <row r="159" spans="2:65" s="1" customFormat="1" ht="31.5" customHeight="1">
      <c r="B159" s="141"/>
      <c r="C159" s="142" t="s">
        <v>278</v>
      </c>
      <c r="D159" s="142" t="s">
        <v>168</v>
      </c>
      <c r="E159" s="143" t="s">
        <v>204</v>
      </c>
      <c r="F159" s="293" t="s">
        <v>205</v>
      </c>
      <c r="G159" s="293"/>
      <c r="H159" s="293"/>
      <c r="I159" s="293"/>
      <c r="J159" s="144" t="s">
        <v>199</v>
      </c>
      <c r="K159" s="145">
        <v>24</v>
      </c>
      <c r="L159" s="294"/>
      <c r="M159" s="294"/>
      <c r="N159" s="294">
        <f>ROUND(L159*K159,2)</f>
        <v>0</v>
      </c>
      <c r="O159" s="294"/>
      <c r="P159" s="294"/>
      <c r="Q159" s="294"/>
      <c r="R159" s="146"/>
      <c r="T159" s="147" t="s">
        <v>5</v>
      </c>
      <c r="U159" s="44" t="s">
        <v>43</v>
      </c>
      <c r="V159" s="148">
        <v>0.282</v>
      </c>
      <c r="W159" s="148">
        <f>V159*K159</f>
        <v>6.767999999999999</v>
      </c>
      <c r="X159" s="148">
        <v>0</v>
      </c>
      <c r="Y159" s="148">
        <f>X159*K159</f>
        <v>0</v>
      </c>
      <c r="Z159" s="148">
        <v>0</v>
      </c>
      <c r="AA159" s="149">
        <f>Z159*K159</f>
        <v>0</v>
      </c>
      <c r="AR159" s="21" t="s">
        <v>172</v>
      </c>
      <c r="AT159" s="21" t="s">
        <v>168</v>
      </c>
      <c r="AU159" s="21" t="s">
        <v>135</v>
      </c>
      <c r="AY159" s="21" t="s">
        <v>167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21" t="s">
        <v>21</v>
      </c>
      <c r="BK159" s="150">
        <f>ROUND(L159*K159,2)</f>
        <v>0</v>
      </c>
      <c r="BL159" s="21" t="s">
        <v>172</v>
      </c>
      <c r="BM159" s="21" t="s">
        <v>206</v>
      </c>
    </row>
    <row r="160" spans="2:65" s="1" customFormat="1" ht="31.5" customHeight="1">
      <c r="B160" s="141"/>
      <c r="C160" s="142" t="s">
        <v>11</v>
      </c>
      <c r="D160" s="142" t="s">
        <v>168</v>
      </c>
      <c r="E160" s="143" t="s">
        <v>208</v>
      </c>
      <c r="F160" s="293" t="s">
        <v>209</v>
      </c>
      <c r="G160" s="293"/>
      <c r="H160" s="293"/>
      <c r="I160" s="293"/>
      <c r="J160" s="144" t="s">
        <v>210</v>
      </c>
      <c r="K160" s="145">
        <v>1.75</v>
      </c>
      <c r="L160" s="294"/>
      <c r="M160" s="294"/>
      <c r="N160" s="294">
        <f>ROUND(L160*K160,2)</f>
        <v>0</v>
      </c>
      <c r="O160" s="294"/>
      <c r="P160" s="294"/>
      <c r="Q160" s="294"/>
      <c r="R160" s="146"/>
      <c r="T160" s="147" t="s">
        <v>5</v>
      </c>
      <c r="U160" s="44" t="s">
        <v>43</v>
      </c>
      <c r="V160" s="148">
        <v>33.98</v>
      </c>
      <c r="W160" s="148">
        <f>V160*K160</f>
        <v>59.464999999999996</v>
      </c>
      <c r="X160" s="148">
        <v>1.04753</v>
      </c>
      <c r="Y160" s="148">
        <f>X160*K160</f>
        <v>1.8331775000000001</v>
      </c>
      <c r="Z160" s="148">
        <v>0</v>
      </c>
      <c r="AA160" s="149">
        <f>Z160*K160</f>
        <v>0</v>
      </c>
      <c r="AR160" s="21" t="s">
        <v>172</v>
      </c>
      <c r="AT160" s="21" t="s">
        <v>168</v>
      </c>
      <c r="AU160" s="21" t="s">
        <v>135</v>
      </c>
      <c r="AY160" s="21" t="s">
        <v>167</v>
      </c>
      <c r="BE160" s="150">
        <f>IF(U160="základní",N160,0)</f>
        <v>0</v>
      </c>
      <c r="BF160" s="150">
        <f>IF(U160="snížená",N160,0)</f>
        <v>0</v>
      </c>
      <c r="BG160" s="150">
        <f>IF(U160="zákl. přenesená",N160,0)</f>
        <v>0</v>
      </c>
      <c r="BH160" s="150">
        <f>IF(U160="sníž. přenesená",N160,0)</f>
        <v>0</v>
      </c>
      <c r="BI160" s="150">
        <f>IF(U160="nulová",N160,0)</f>
        <v>0</v>
      </c>
      <c r="BJ160" s="21" t="s">
        <v>21</v>
      </c>
      <c r="BK160" s="150">
        <f>ROUND(L160*K160,2)</f>
        <v>0</v>
      </c>
      <c r="BL160" s="21" t="s">
        <v>172</v>
      </c>
      <c r="BM160" s="21" t="s">
        <v>211</v>
      </c>
    </row>
    <row r="161" spans="2:51" s="10" customFormat="1" ht="22.5" customHeight="1">
      <c r="B161" s="151"/>
      <c r="C161" s="152"/>
      <c r="D161" s="152"/>
      <c r="E161" s="153" t="s">
        <v>5</v>
      </c>
      <c r="F161" s="300" t="s">
        <v>279</v>
      </c>
      <c r="G161" s="301"/>
      <c r="H161" s="301"/>
      <c r="I161" s="301"/>
      <c r="J161" s="152"/>
      <c r="K161" s="154" t="s">
        <v>5</v>
      </c>
      <c r="L161" s="152"/>
      <c r="M161" s="152"/>
      <c r="N161" s="152"/>
      <c r="O161" s="152"/>
      <c r="P161" s="152"/>
      <c r="Q161" s="152"/>
      <c r="R161" s="155"/>
      <c r="T161" s="156"/>
      <c r="U161" s="152"/>
      <c r="V161" s="152"/>
      <c r="W161" s="152"/>
      <c r="X161" s="152"/>
      <c r="Y161" s="152"/>
      <c r="Z161" s="152"/>
      <c r="AA161" s="157"/>
      <c r="AT161" s="158" t="s">
        <v>179</v>
      </c>
      <c r="AU161" s="158" t="s">
        <v>135</v>
      </c>
      <c r="AV161" s="10" t="s">
        <v>21</v>
      </c>
      <c r="AW161" s="10" t="s">
        <v>35</v>
      </c>
      <c r="AX161" s="10" t="s">
        <v>78</v>
      </c>
      <c r="AY161" s="158" t="s">
        <v>167</v>
      </c>
    </row>
    <row r="162" spans="2:51" s="11" customFormat="1" ht="22.5" customHeight="1">
      <c r="B162" s="159"/>
      <c r="C162" s="160"/>
      <c r="D162" s="160"/>
      <c r="E162" s="161" t="s">
        <v>5</v>
      </c>
      <c r="F162" s="302" t="s">
        <v>280</v>
      </c>
      <c r="G162" s="303"/>
      <c r="H162" s="303"/>
      <c r="I162" s="303"/>
      <c r="J162" s="160"/>
      <c r="K162" s="162">
        <v>1.75</v>
      </c>
      <c r="L162" s="160"/>
      <c r="M162" s="160"/>
      <c r="N162" s="160"/>
      <c r="O162" s="160"/>
      <c r="P162" s="160"/>
      <c r="Q162" s="160"/>
      <c r="R162" s="163"/>
      <c r="T162" s="164"/>
      <c r="U162" s="160"/>
      <c r="V162" s="160"/>
      <c r="W162" s="160"/>
      <c r="X162" s="160"/>
      <c r="Y162" s="160"/>
      <c r="Z162" s="160"/>
      <c r="AA162" s="165"/>
      <c r="AT162" s="166" t="s">
        <v>179</v>
      </c>
      <c r="AU162" s="166" t="s">
        <v>135</v>
      </c>
      <c r="AV162" s="11" t="s">
        <v>135</v>
      </c>
      <c r="AW162" s="11" t="s">
        <v>35</v>
      </c>
      <c r="AX162" s="11" t="s">
        <v>21</v>
      </c>
      <c r="AY162" s="166" t="s">
        <v>167</v>
      </c>
    </row>
    <row r="163" spans="2:63" s="9" customFormat="1" ht="29.85" customHeight="1">
      <c r="B163" s="130"/>
      <c r="C163" s="131"/>
      <c r="D163" s="140" t="s">
        <v>226</v>
      </c>
      <c r="E163" s="140"/>
      <c r="F163" s="140"/>
      <c r="G163" s="140"/>
      <c r="H163" s="140"/>
      <c r="I163" s="140"/>
      <c r="J163" s="140"/>
      <c r="K163" s="140"/>
      <c r="L163" s="140"/>
      <c r="M163" s="140"/>
      <c r="N163" s="298">
        <f>BK163</f>
        <v>0</v>
      </c>
      <c r="O163" s="299"/>
      <c r="P163" s="299"/>
      <c r="Q163" s="299"/>
      <c r="R163" s="133"/>
      <c r="T163" s="134"/>
      <c r="U163" s="131"/>
      <c r="V163" s="131"/>
      <c r="W163" s="135">
        <f>SUM(W164:W188)</f>
        <v>777.9817859999999</v>
      </c>
      <c r="X163" s="131"/>
      <c r="Y163" s="135">
        <f>SUM(Y164:Y188)</f>
        <v>243.09038116000002</v>
      </c>
      <c r="Z163" s="131"/>
      <c r="AA163" s="136">
        <f>SUM(AA164:AA188)</f>
        <v>0</v>
      </c>
      <c r="AR163" s="137" t="s">
        <v>21</v>
      </c>
      <c r="AT163" s="138" t="s">
        <v>77</v>
      </c>
      <c r="AU163" s="138" t="s">
        <v>21</v>
      </c>
      <c r="AY163" s="137" t="s">
        <v>167</v>
      </c>
      <c r="BK163" s="139">
        <f>SUM(BK164:BK188)</f>
        <v>0</v>
      </c>
    </row>
    <row r="164" spans="2:65" s="1" customFormat="1" ht="31.5" customHeight="1">
      <c r="B164" s="141"/>
      <c r="C164" s="142" t="s">
        <v>281</v>
      </c>
      <c r="D164" s="142" t="s">
        <v>168</v>
      </c>
      <c r="E164" s="143" t="s">
        <v>282</v>
      </c>
      <c r="F164" s="293" t="s">
        <v>283</v>
      </c>
      <c r="G164" s="293"/>
      <c r="H164" s="293"/>
      <c r="I164" s="293"/>
      <c r="J164" s="144" t="s">
        <v>176</v>
      </c>
      <c r="K164" s="145">
        <v>94.1</v>
      </c>
      <c r="L164" s="294"/>
      <c r="M164" s="294"/>
      <c r="N164" s="294">
        <f>ROUND(L164*K164,2)</f>
        <v>0</v>
      </c>
      <c r="O164" s="294"/>
      <c r="P164" s="294"/>
      <c r="Q164" s="294"/>
      <c r="R164" s="146"/>
      <c r="T164" s="147" t="s">
        <v>5</v>
      </c>
      <c r="U164" s="44" t="s">
        <v>43</v>
      </c>
      <c r="V164" s="148">
        <v>1.2</v>
      </c>
      <c r="W164" s="148">
        <f>V164*K164</f>
        <v>112.91999999999999</v>
      </c>
      <c r="X164" s="148">
        <v>2.45602</v>
      </c>
      <c r="Y164" s="148">
        <f>X164*K164</f>
        <v>231.111482</v>
      </c>
      <c r="Z164" s="148">
        <v>0</v>
      </c>
      <c r="AA164" s="149">
        <f>Z164*K164</f>
        <v>0</v>
      </c>
      <c r="AR164" s="21" t="s">
        <v>172</v>
      </c>
      <c r="AT164" s="21" t="s">
        <v>168</v>
      </c>
      <c r="AU164" s="21" t="s">
        <v>135</v>
      </c>
      <c r="AY164" s="21" t="s">
        <v>167</v>
      </c>
      <c r="BE164" s="150">
        <f>IF(U164="základní",N164,0)</f>
        <v>0</v>
      </c>
      <c r="BF164" s="150">
        <f>IF(U164="snížená",N164,0)</f>
        <v>0</v>
      </c>
      <c r="BG164" s="150">
        <f>IF(U164="zákl. přenesená",N164,0)</f>
        <v>0</v>
      </c>
      <c r="BH164" s="150">
        <f>IF(U164="sníž. přenesená",N164,0)</f>
        <v>0</v>
      </c>
      <c r="BI164" s="150">
        <f>IF(U164="nulová",N164,0)</f>
        <v>0</v>
      </c>
      <c r="BJ164" s="21" t="s">
        <v>21</v>
      </c>
      <c r="BK164" s="150">
        <f>ROUND(L164*K164,2)</f>
        <v>0</v>
      </c>
      <c r="BL164" s="21" t="s">
        <v>172</v>
      </c>
      <c r="BM164" s="21" t="s">
        <v>284</v>
      </c>
    </row>
    <row r="165" spans="2:51" s="11" customFormat="1" ht="22.5" customHeight="1">
      <c r="B165" s="159"/>
      <c r="C165" s="160"/>
      <c r="D165" s="160"/>
      <c r="E165" s="161" t="s">
        <v>5</v>
      </c>
      <c r="F165" s="308" t="s">
        <v>285</v>
      </c>
      <c r="G165" s="309"/>
      <c r="H165" s="309"/>
      <c r="I165" s="309"/>
      <c r="J165" s="160"/>
      <c r="K165" s="162">
        <v>67.2</v>
      </c>
      <c r="L165" s="160"/>
      <c r="M165" s="160"/>
      <c r="N165" s="160"/>
      <c r="O165" s="160"/>
      <c r="P165" s="160"/>
      <c r="Q165" s="160"/>
      <c r="R165" s="163"/>
      <c r="T165" s="164"/>
      <c r="U165" s="160"/>
      <c r="V165" s="160"/>
      <c r="W165" s="160"/>
      <c r="X165" s="160"/>
      <c r="Y165" s="160"/>
      <c r="Z165" s="160"/>
      <c r="AA165" s="165"/>
      <c r="AT165" s="166" t="s">
        <v>179</v>
      </c>
      <c r="AU165" s="166" t="s">
        <v>135</v>
      </c>
      <c r="AV165" s="11" t="s">
        <v>135</v>
      </c>
      <c r="AW165" s="11" t="s">
        <v>35</v>
      </c>
      <c r="AX165" s="11" t="s">
        <v>78</v>
      </c>
      <c r="AY165" s="166" t="s">
        <v>167</v>
      </c>
    </row>
    <row r="166" spans="2:51" s="11" customFormat="1" ht="22.5" customHeight="1">
      <c r="B166" s="159"/>
      <c r="C166" s="160"/>
      <c r="D166" s="160"/>
      <c r="E166" s="161" t="s">
        <v>5</v>
      </c>
      <c r="F166" s="302" t="s">
        <v>286</v>
      </c>
      <c r="G166" s="303"/>
      <c r="H166" s="303"/>
      <c r="I166" s="303"/>
      <c r="J166" s="160"/>
      <c r="K166" s="162">
        <v>14.4</v>
      </c>
      <c r="L166" s="160"/>
      <c r="M166" s="160"/>
      <c r="N166" s="160"/>
      <c r="O166" s="160"/>
      <c r="P166" s="160"/>
      <c r="Q166" s="160"/>
      <c r="R166" s="163"/>
      <c r="T166" s="164"/>
      <c r="U166" s="160"/>
      <c r="V166" s="160"/>
      <c r="W166" s="160"/>
      <c r="X166" s="160"/>
      <c r="Y166" s="160"/>
      <c r="Z166" s="160"/>
      <c r="AA166" s="165"/>
      <c r="AT166" s="166" t="s">
        <v>179</v>
      </c>
      <c r="AU166" s="166" t="s">
        <v>135</v>
      </c>
      <c r="AV166" s="11" t="s">
        <v>135</v>
      </c>
      <c r="AW166" s="11" t="s">
        <v>35</v>
      </c>
      <c r="AX166" s="11" t="s">
        <v>78</v>
      </c>
      <c r="AY166" s="166" t="s">
        <v>167</v>
      </c>
    </row>
    <row r="167" spans="2:51" s="11" customFormat="1" ht="22.5" customHeight="1">
      <c r="B167" s="159"/>
      <c r="C167" s="160"/>
      <c r="D167" s="160"/>
      <c r="E167" s="161" t="s">
        <v>5</v>
      </c>
      <c r="F167" s="302" t="s">
        <v>287</v>
      </c>
      <c r="G167" s="303"/>
      <c r="H167" s="303"/>
      <c r="I167" s="303"/>
      <c r="J167" s="160"/>
      <c r="K167" s="162">
        <v>12.5</v>
      </c>
      <c r="L167" s="160"/>
      <c r="M167" s="160"/>
      <c r="N167" s="160"/>
      <c r="O167" s="160"/>
      <c r="P167" s="160"/>
      <c r="Q167" s="160"/>
      <c r="R167" s="163"/>
      <c r="T167" s="164"/>
      <c r="U167" s="160"/>
      <c r="V167" s="160"/>
      <c r="W167" s="160"/>
      <c r="X167" s="160"/>
      <c r="Y167" s="160"/>
      <c r="Z167" s="160"/>
      <c r="AA167" s="165"/>
      <c r="AT167" s="166" t="s">
        <v>179</v>
      </c>
      <c r="AU167" s="166" t="s">
        <v>135</v>
      </c>
      <c r="AV167" s="11" t="s">
        <v>135</v>
      </c>
      <c r="AW167" s="11" t="s">
        <v>35</v>
      </c>
      <c r="AX167" s="11" t="s">
        <v>78</v>
      </c>
      <c r="AY167" s="166" t="s">
        <v>167</v>
      </c>
    </row>
    <row r="168" spans="2:51" s="12" customFormat="1" ht="22.5" customHeight="1">
      <c r="B168" s="167"/>
      <c r="C168" s="168"/>
      <c r="D168" s="168"/>
      <c r="E168" s="169" t="s">
        <v>5</v>
      </c>
      <c r="F168" s="306" t="s">
        <v>183</v>
      </c>
      <c r="G168" s="307"/>
      <c r="H168" s="307"/>
      <c r="I168" s="307"/>
      <c r="J168" s="168"/>
      <c r="K168" s="170">
        <v>94.1</v>
      </c>
      <c r="L168" s="168"/>
      <c r="M168" s="168"/>
      <c r="N168" s="168"/>
      <c r="O168" s="168"/>
      <c r="P168" s="168"/>
      <c r="Q168" s="168"/>
      <c r="R168" s="171"/>
      <c r="T168" s="172"/>
      <c r="U168" s="168"/>
      <c r="V168" s="168"/>
      <c r="W168" s="168"/>
      <c r="X168" s="168"/>
      <c r="Y168" s="168"/>
      <c r="Z168" s="168"/>
      <c r="AA168" s="173"/>
      <c r="AT168" s="174" t="s">
        <v>179</v>
      </c>
      <c r="AU168" s="174" t="s">
        <v>135</v>
      </c>
      <c r="AV168" s="12" t="s">
        <v>172</v>
      </c>
      <c r="AW168" s="12" t="s">
        <v>35</v>
      </c>
      <c r="AX168" s="12" t="s">
        <v>21</v>
      </c>
      <c r="AY168" s="174" t="s">
        <v>167</v>
      </c>
    </row>
    <row r="169" spans="2:65" s="1" customFormat="1" ht="22.5" customHeight="1">
      <c r="B169" s="141"/>
      <c r="C169" s="142" t="s">
        <v>288</v>
      </c>
      <c r="D169" s="142" t="s">
        <v>168</v>
      </c>
      <c r="E169" s="143" t="s">
        <v>289</v>
      </c>
      <c r="F169" s="293" t="s">
        <v>290</v>
      </c>
      <c r="G169" s="293"/>
      <c r="H169" s="293"/>
      <c r="I169" s="293"/>
      <c r="J169" s="144" t="s">
        <v>199</v>
      </c>
      <c r="K169" s="145">
        <v>420</v>
      </c>
      <c r="L169" s="294"/>
      <c r="M169" s="294"/>
      <c r="N169" s="294">
        <f>ROUND(L169*K169,2)</f>
        <v>0</v>
      </c>
      <c r="O169" s="294"/>
      <c r="P169" s="294"/>
      <c r="Q169" s="294"/>
      <c r="R169" s="146"/>
      <c r="T169" s="147" t="s">
        <v>5</v>
      </c>
      <c r="U169" s="44" t="s">
        <v>43</v>
      </c>
      <c r="V169" s="148">
        <v>0.497</v>
      </c>
      <c r="W169" s="148">
        <f>V169*K169</f>
        <v>208.74</v>
      </c>
      <c r="X169" s="148">
        <v>0.00282</v>
      </c>
      <c r="Y169" s="148">
        <f>X169*K169</f>
        <v>1.1844000000000001</v>
      </c>
      <c r="Z169" s="148">
        <v>0</v>
      </c>
      <c r="AA169" s="149">
        <f>Z169*K169</f>
        <v>0</v>
      </c>
      <c r="AR169" s="21" t="s">
        <v>172</v>
      </c>
      <c r="AT169" s="21" t="s">
        <v>168</v>
      </c>
      <c r="AU169" s="21" t="s">
        <v>135</v>
      </c>
      <c r="AY169" s="21" t="s">
        <v>167</v>
      </c>
      <c r="BE169" s="150">
        <f>IF(U169="základní",N169,0)</f>
        <v>0</v>
      </c>
      <c r="BF169" s="150">
        <f>IF(U169="snížená",N169,0)</f>
        <v>0</v>
      </c>
      <c r="BG169" s="150">
        <f>IF(U169="zákl. přenesená",N169,0)</f>
        <v>0</v>
      </c>
      <c r="BH169" s="150">
        <f>IF(U169="sníž. přenesená",N169,0)</f>
        <v>0</v>
      </c>
      <c r="BI169" s="150">
        <f>IF(U169="nulová",N169,0)</f>
        <v>0</v>
      </c>
      <c r="BJ169" s="21" t="s">
        <v>21</v>
      </c>
      <c r="BK169" s="150">
        <f>ROUND(L169*K169,2)</f>
        <v>0</v>
      </c>
      <c r="BL169" s="21" t="s">
        <v>172</v>
      </c>
      <c r="BM169" s="21" t="s">
        <v>291</v>
      </c>
    </row>
    <row r="170" spans="2:51" s="11" customFormat="1" ht="22.5" customHeight="1">
      <c r="B170" s="159"/>
      <c r="C170" s="160"/>
      <c r="D170" s="160"/>
      <c r="E170" s="161" t="s">
        <v>5</v>
      </c>
      <c r="F170" s="308" t="s">
        <v>292</v>
      </c>
      <c r="G170" s="309"/>
      <c r="H170" s="309"/>
      <c r="I170" s="309"/>
      <c r="J170" s="160"/>
      <c r="K170" s="162">
        <v>224</v>
      </c>
      <c r="L170" s="160"/>
      <c r="M170" s="160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179</v>
      </c>
      <c r="AU170" s="166" t="s">
        <v>135</v>
      </c>
      <c r="AV170" s="11" t="s">
        <v>135</v>
      </c>
      <c r="AW170" s="11" t="s">
        <v>35</v>
      </c>
      <c r="AX170" s="11" t="s">
        <v>78</v>
      </c>
      <c r="AY170" s="166" t="s">
        <v>167</v>
      </c>
    </row>
    <row r="171" spans="2:51" s="11" customFormat="1" ht="22.5" customHeight="1">
      <c r="B171" s="159"/>
      <c r="C171" s="160"/>
      <c r="D171" s="160"/>
      <c r="E171" s="161" t="s">
        <v>5</v>
      </c>
      <c r="F171" s="302" t="s">
        <v>293</v>
      </c>
      <c r="G171" s="303"/>
      <c r="H171" s="303"/>
      <c r="I171" s="303"/>
      <c r="J171" s="160"/>
      <c r="K171" s="162">
        <v>96</v>
      </c>
      <c r="L171" s="160"/>
      <c r="M171" s="160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179</v>
      </c>
      <c r="AU171" s="166" t="s">
        <v>135</v>
      </c>
      <c r="AV171" s="11" t="s">
        <v>135</v>
      </c>
      <c r="AW171" s="11" t="s">
        <v>35</v>
      </c>
      <c r="AX171" s="11" t="s">
        <v>78</v>
      </c>
      <c r="AY171" s="166" t="s">
        <v>167</v>
      </c>
    </row>
    <row r="172" spans="2:51" s="11" customFormat="1" ht="22.5" customHeight="1">
      <c r="B172" s="159"/>
      <c r="C172" s="160"/>
      <c r="D172" s="160"/>
      <c r="E172" s="161" t="s">
        <v>5</v>
      </c>
      <c r="F172" s="302" t="s">
        <v>294</v>
      </c>
      <c r="G172" s="303"/>
      <c r="H172" s="303"/>
      <c r="I172" s="303"/>
      <c r="J172" s="160"/>
      <c r="K172" s="162">
        <v>100</v>
      </c>
      <c r="L172" s="160"/>
      <c r="M172" s="160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179</v>
      </c>
      <c r="AU172" s="166" t="s">
        <v>135</v>
      </c>
      <c r="AV172" s="11" t="s">
        <v>135</v>
      </c>
      <c r="AW172" s="11" t="s">
        <v>35</v>
      </c>
      <c r="AX172" s="11" t="s">
        <v>78</v>
      </c>
      <c r="AY172" s="166" t="s">
        <v>167</v>
      </c>
    </row>
    <row r="173" spans="2:51" s="12" customFormat="1" ht="22.5" customHeight="1">
      <c r="B173" s="167"/>
      <c r="C173" s="168"/>
      <c r="D173" s="168"/>
      <c r="E173" s="169" t="s">
        <v>5</v>
      </c>
      <c r="F173" s="306" t="s">
        <v>183</v>
      </c>
      <c r="G173" s="307"/>
      <c r="H173" s="307"/>
      <c r="I173" s="307"/>
      <c r="J173" s="168"/>
      <c r="K173" s="170">
        <v>420</v>
      </c>
      <c r="L173" s="168"/>
      <c r="M173" s="168"/>
      <c r="N173" s="168"/>
      <c r="O173" s="168"/>
      <c r="P173" s="168"/>
      <c r="Q173" s="168"/>
      <c r="R173" s="171"/>
      <c r="T173" s="172"/>
      <c r="U173" s="168"/>
      <c r="V173" s="168"/>
      <c r="W173" s="168"/>
      <c r="X173" s="168"/>
      <c r="Y173" s="168"/>
      <c r="Z173" s="168"/>
      <c r="AA173" s="173"/>
      <c r="AT173" s="174" t="s">
        <v>179</v>
      </c>
      <c r="AU173" s="174" t="s">
        <v>135</v>
      </c>
      <c r="AV173" s="12" t="s">
        <v>172</v>
      </c>
      <c r="AW173" s="12" t="s">
        <v>35</v>
      </c>
      <c r="AX173" s="12" t="s">
        <v>21</v>
      </c>
      <c r="AY173" s="174" t="s">
        <v>167</v>
      </c>
    </row>
    <row r="174" spans="2:65" s="1" customFormat="1" ht="22.5" customHeight="1">
      <c r="B174" s="141"/>
      <c r="C174" s="142" t="s">
        <v>295</v>
      </c>
      <c r="D174" s="142" t="s">
        <v>168</v>
      </c>
      <c r="E174" s="143" t="s">
        <v>296</v>
      </c>
      <c r="F174" s="293" t="s">
        <v>297</v>
      </c>
      <c r="G174" s="293"/>
      <c r="H174" s="293"/>
      <c r="I174" s="293"/>
      <c r="J174" s="144" t="s">
        <v>199</v>
      </c>
      <c r="K174" s="145">
        <v>120</v>
      </c>
      <c r="L174" s="294"/>
      <c r="M174" s="294"/>
      <c r="N174" s="294">
        <f>ROUND(L174*K174,2)</f>
        <v>0</v>
      </c>
      <c r="O174" s="294"/>
      <c r="P174" s="294"/>
      <c r="Q174" s="294"/>
      <c r="R174" s="146"/>
      <c r="T174" s="147" t="s">
        <v>5</v>
      </c>
      <c r="U174" s="44" t="s">
        <v>43</v>
      </c>
      <c r="V174" s="148">
        <v>0.497</v>
      </c>
      <c r="W174" s="148">
        <f>V174*K174</f>
        <v>59.64</v>
      </c>
      <c r="X174" s="148">
        <v>0.00282</v>
      </c>
      <c r="Y174" s="148">
        <f>X174*K174</f>
        <v>0.3384</v>
      </c>
      <c r="Z174" s="148">
        <v>0</v>
      </c>
      <c r="AA174" s="149">
        <f>Z174*K174</f>
        <v>0</v>
      </c>
      <c r="AR174" s="21" t="s">
        <v>172</v>
      </c>
      <c r="AT174" s="21" t="s">
        <v>168</v>
      </c>
      <c r="AU174" s="21" t="s">
        <v>135</v>
      </c>
      <c r="AY174" s="21" t="s">
        <v>167</v>
      </c>
      <c r="BE174" s="150">
        <f>IF(U174="základní",N174,0)</f>
        <v>0</v>
      </c>
      <c r="BF174" s="150">
        <f>IF(U174="snížená",N174,0)</f>
        <v>0</v>
      </c>
      <c r="BG174" s="150">
        <f>IF(U174="zákl. přenesená",N174,0)</f>
        <v>0</v>
      </c>
      <c r="BH174" s="150">
        <f>IF(U174="sníž. přenesená",N174,0)</f>
        <v>0</v>
      </c>
      <c r="BI174" s="150">
        <f>IF(U174="nulová",N174,0)</f>
        <v>0</v>
      </c>
      <c r="BJ174" s="21" t="s">
        <v>21</v>
      </c>
      <c r="BK174" s="150">
        <f>ROUND(L174*K174,2)</f>
        <v>0</v>
      </c>
      <c r="BL174" s="21" t="s">
        <v>172</v>
      </c>
      <c r="BM174" s="21" t="s">
        <v>298</v>
      </c>
    </row>
    <row r="175" spans="2:51" s="11" customFormat="1" ht="22.5" customHeight="1">
      <c r="B175" s="159"/>
      <c r="C175" s="160"/>
      <c r="D175" s="160"/>
      <c r="E175" s="161" t="s">
        <v>5</v>
      </c>
      <c r="F175" s="308" t="s">
        <v>299</v>
      </c>
      <c r="G175" s="309"/>
      <c r="H175" s="309"/>
      <c r="I175" s="309"/>
      <c r="J175" s="160"/>
      <c r="K175" s="162">
        <v>84</v>
      </c>
      <c r="L175" s="160"/>
      <c r="M175" s="160"/>
      <c r="N175" s="160"/>
      <c r="O175" s="160"/>
      <c r="P175" s="160"/>
      <c r="Q175" s="160"/>
      <c r="R175" s="163"/>
      <c r="T175" s="164"/>
      <c r="U175" s="160"/>
      <c r="V175" s="160"/>
      <c r="W175" s="160"/>
      <c r="X175" s="160"/>
      <c r="Y175" s="160"/>
      <c r="Z175" s="160"/>
      <c r="AA175" s="165"/>
      <c r="AT175" s="166" t="s">
        <v>179</v>
      </c>
      <c r="AU175" s="166" t="s">
        <v>135</v>
      </c>
      <c r="AV175" s="11" t="s">
        <v>135</v>
      </c>
      <c r="AW175" s="11" t="s">
        <v>35</v>
      </c>
      <c r="AX175" s="11" t="s">
        <v>78</v>
      </c>
      <c r="AY175" s="166" t="s">
        <v>167</v>
      </c>
    </row>
    <row r="176" spans="2:51" s="11" customFormat="1" ht="22.5" customHeight="1">
      <c r="B176" s="159"/>
      <c r="C176" s="160"/>
      <c r="D176" s="160"/>
      <c r="E176" s="161" t="s">
        <v>5</v>
      </c>
      <c r="F176" s="302" t="s">
        <v>300</v>
      </c>
      <c r="G176" s="303"/>
      <c r="H176" s="303"/>
      <c r="I176" s="303"/>
      <c r="J176" s="160"/>
      <c r="K176" s="162">
        <v>36</v>
      </c>
      <c r="L176" s="160"/>
      <c r="M176" s="160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179</v>
      </c>
      <c r="AU176" s="166" t="s">
        <v>135</v>
      </c>
      <c r="AV176" s="11" t="s">
        <v>135</v>
      </c>
      <c r="AW176" s="11" t="s">
        <v>35</v>
      </c>
      <c r="AX176" s="11" t="s">
        <v>78</v>
      </c>
      <c r="AY176" s="166" t="s">
        <v>167</v>
      </c>
    </row>
    <row r="177" spans="2:51" s="12" customFormat="1" ht="22.5" customHeight="1">
      <c r="B177" s="167"/>
      <c r="C177" s="168"/>
      <c r="D177" s="168"/>
      <c r="E177" s="169" t="s">
        <v>5</v>
      </c>
      <c r="F177" s="306" t="s">
        <v>183</v>
      </c>
      <c r="G177" s="307"/>
      <c r="H177" s="307"/>
      <c r="I177" s="307"/>
      <c r="J177" s="168"/>
      <c r="K177" s="170">
        <v>120</v>
      </c>
      <c r="L177" s="168"/>
      <c r="M177" s="168"/>
      <c r="N177" s="168"/>
      <c r="O177" s="168"/>
      <c r="P177" s="168"/>
      <c r="Q177" s="168"/>
      <c r="R177" s="171"/>
      <c r="T177" s="172"/>
      <c r="U177" s="168"/>
      <c r="V177" s="168"/>
      <c r="W177" s="168"/>
      <c r="X177" s="168"/>
      <c r="Y177" s="168"/>
      <c r="Z177" s="168"/>
      <c r="AA177" s="173"/>
      <c r="AT177" s="174" t="s">
        <v>179</v>
      </c>
      <c r="AU177" s="174" t="s">
        <v>135</v>
      </c>
      <c r="AV177" s="12" t="s">
        <v>172</v>
      </c>
      <c r="AW177" s="12" t="s">
        <v>35</v>
      </c>
      <c r="AX177" s="12" t="s">
        <v>21</v>
      </c>
      <c r="AY177" s="174" t="s">
        <v>167</v>
      </c>
    </row>
    <row r="178" spans="2:65" s="1" customFormat="1" ht="22.5" customHeight="1">
      <c r="B178" s="141"/>
      <c r="C178" s="142" t="s">
        <v>301</v>
      </c>
      <c r="D178" s="142" t="s">
        <v>168</v>
      </c>
      <c r="E178" s="143" t="s">
        <v>302</v>
      </c>
      <c r="F178" s="293" t="s">
        <v>303</v>
      </c>
      <c r="G178" s="293"/>
      <c r="H178" s="293"/>
      <c r="I178" s="293"/>
      <c r="J178" s="144" t="s">
        <v>199</v>
      </c>
      <c r="K178" s="145">
        <v>420</v>
      </c>
      <c r="L178" s="294"/>
      <c r="M178" s="294"/>
      <c r="N178" s="294">
        <f>ROUND(L178*K178,2)</f>
        <v>0</v>
      </c>
      <c r="O178" s="294"/>
      <c r="P178" s="294"/>
      <c r="Q178" s="294"/>
      <c r="R178" s="146"/>
      <c r="T178" s="147" t="s">
        <v>5</v>
      </c>
      <c r="U178" s="44" t="s">
        <v>43</v>
      </c>
      <c r="V178" s="148">
        <v>0.346</v>
      </c>
      <c r="W178" s="148">
        <f>V178*K178</f>
        <v>145.32</v>
      </c>
      <c r="X178" s="148">
        <v>0</v>
      </c>
      <c r="Y178" s="148">
        <f>X178*K178</f>
        <v>0</v>
      </c>
      <c r="Z178" s="148">
        <v>0</v>
      </c>
      <c r="AA178" s="149">
        <f>Z178*K178</f>
        <v>0</v>
      </c>
      <c r="AR178" s="21" t="s">
        <v>172</v>
      </c>
      <c r="AT178" s="21" t="s">
        <v>168</v>
      </c>
      <c r="AU178" s="21" t="s">
        <v>135</v>
      </c>
      <c r="AY178" s="21" t="s">
        <v>167</v>
      </c>
      <c r="BE178" s="150">
        <f>IF(U178="základní",N178,0)</f>
        <v>0</v>
      </c>
      <c r="BF178" s="150">
        <f>IF(U178="snížená",N178,0)</f>
        <v>0</v>
      </c>
      <c r="BG178" s="150">
        <f>IF(U178="zákl. přenesená",N178,0)</f>
        <v>0</v>
      </c>
      <c r="BH178" s="150">
        <f>IF(U178="sníž. přenesená",N178,0)</f>
        <v>0</v>
      </c>
      <c r="BI178" s="150">
        <f>IF(U178="nulová",N178,0)</f>
        <v>0</v>
      </c>
      <c r="BJ178" s="21" t="s">
        <v>21</v>
      </c>
      <c r="BK178" s="150">
        <f>ROUND(L178*K178,2)</f>
        <v>0</v>
      </c>
      <c r="BL178" s="21" t="s">
        <v>172</v>
      </c>
      <c r="BM178" s="21" t="s">
        <v>304</v>
      </c>
    </row>
    <row r="179" spans="2:65" s="1" customFormat="1" ht="31.5" customHeight="1">
      <c r="B179" s="141"/>
      <c r="C179" s="142" t="s">
        <v>305</v>
      </c>
      <c r="D179" s="142" t="s">
        <v>168</v>
      </c>
      <c r="E179" s="143" t="s">
        <v>306</v>
      </c>
      <c r="F179" s="293" t="s">
        <v>307</v>
      </c>
      <c r="G179" s="293"/>
      <c r="H179" s="293"/>
      <c r="I179" s="293"/>
      <c r="J179" s="144" t="s">
        <v>210</v>
      </c>
      <c r="K179" s="145">
        <v>9.016</v>
      </c>
      <c r="L179" s="294"/>
      <c r="M179" s="294"/>
      <c r="N179" s="294">
        <f>ROUND(L179*K179,2)</f>
        <v>0</v>
      </c>
      <c r="O179" s="294"/>
      <c r="P179" s="294"/>
      <c r="Q179" s="294"/>
      <c r="R179" s="146"/>
      <c r="T179" s="147" t="s">
        <v>5</v>
      </c>
      <c r="U179" s="44" t="s">
        <v>43</v>
      </c>
      <c r="V179" s="148">
        <v>25.271</v>
      </c>
      <c r="W179" s="148">
        <f>V179*K179</f>
        <v>227.843336</v>
      </c>
      <c r="X179" s="148">
        <v>1.0134</v>
      </c>
      <c r="Y179" s="148">
        <f>X179*K179</f>
        <v>9.1368144</v>
      </c>
      <c r="Z179" s="148">
        <v>0</v>
      </c>
      <c r="AA179" s="149">
        <f>Z179*K179</f>
        <v>0</v>
      </c>
      <c r="AR179" s="21" t="s">
        <v>172</v>
      </c>
      <c r="AT179" s="21" t="s">
        <v>168</v>
      </c>
      <c r="AU179" s="21" t="s">
        <v>135</v>
      </c>
      <c r="AY179" s="21" t="s">
        <v>167</v>
      </c>
      <c r="BE179" s="150">
        <f>IF(U179="základní",N179,0)</f>
        <v>0</v>
      </c>
      <c r="BF179" s="150">
        <f>IF(U179="snížená",N179,0)</f>
        <v>0</v>
      </c>
      <c r="BG179" s="150">
        <f>IF(U179="zákl. přenesená",N179,0)</f>
        <v>0</v>
      </c>
      <c r="BH179" s="150">
        <f>IF(U179="sníž. přenesená",N179,0)</f>
        <v>0</v>
      </c>
      <c r="BI179" s="150">
        <f>IF(U179="nulová",N179,0)</f>
        <v>0</v>
      </c>
      <c r="BJ179" s="21" t="s">
        <v>21</v>
      </c>
      <c r="BK179" s="150">
        <f>ROUND(L179*K179,2)</f>
        <v>0</v>
      </c>
      <c r="BL179" s="21" t="s">
        <v>172</v>
      </c>
      <c r="BM179" s="21" t="s">
        <v>308</v>
      </c>
    </row>
    <row r="180" spans="2:51" s="10" customFormat="1" ht="22.5" customHeight="1">
      <c r="B180" s="151"/>
      <c r="C180" s="152"/>
      <c r="D180" s="152"/>
      <c r="E180" s="153" t="s">
        <v>5</v>
      </c>
      <c r="F180" s="300" t="s">
        <v>279</v>
      </c>
      <c r="G180" s="301"/>
      <c r="H180" s="301"/>
      <c r="I180" s="301"/>
      <c r="J180" s="152"/>
      <c r="K180" s="154" t="s">
        <v>5</v>
      </c>
      <c r="L180" s="152"/>
      <c r="M180" s="152"/>
      <c r="N180" s="152"/>
      <c r="O180" s="152"/>
      <c r="P180" s="152"/>
      <c r="Q180" s="152"/>
      <c r="R180" s="155"/>
      <c r="T180" s="156"/>
      <c r="U180" s="152"/>
      <c r="V180" s="152"/>
      <c r="W180" s="152"/>
      <c r="X180" s="152"/>
      <c r="Y180" s="152"/>
      <c r="Z180" s="152"/>
      <c r="AA180" s="157"/>
      <c r="AT180" s="158" t="s">
        <v>179</v>
      </c>
      <c r="AU180" s="158" t="s">
        <v>135</v>
      </c>
      <c r="AV180" s="10" t="s">
        <v>21</v>
      </c>
      <c r="AW180" s="10" t="s">
        <v>35</v>
      </c>
      <c r="AX180" s="10" t="s">
        <v>78</v>
      </c>
      <c r="AY180" s="158" t="s">
        <v>167</v>
      </c>
    </row>
    <row r="181" spans="2:51" s="11" customFormat="1" ht="22.5" customHeight="1">
      <c r="B181" s="159"/>
      <c r="C181" s="160"/>
      <c r="D181" s="160"/>
      <c r="E181" s="161" t="s">
        <v>5</v>
      </c>
      <c r="F181" s="302" t="s">
        <v>292</v>
      </c>
      <c r="G181" s="303"/>
      <c r="H181" s="303"/>
      <c r="I181" s="303"/>
      <c r="J181" s="160"/>
      <c r="K181" s="162">
        <v>224</v>
      </c>
      <c r="L181" s="160"/>
      <c r="M181" s="160"/>
      <c r="N181" s="160"/>
      <c r="O181" s="160"/>
      <c r="P181" s="160"/>
      <c r="Q181" s="160"/>
      <c r="R181" s="163"/>
      <c r="T181" s="164"/>
      <c r="U181" s="160"/>
      <c r="V181" s="160"/>
      <c r="W181" s="160"/>
      <c r="X181" s="160"/>
      <c r="Y181" s="160"/>
      <c r="Z181" s="160"/>
      <c r="AA181" s="165"/>
      <c r="AT181" s="166" t="s">
        <v>179</v>
      </c>
      <c r="AU181" s="166" t="s">
        <v>135</v>
      </c>
      <c r="AV181" s="11" t="s">
        <v>135</v>
      </c>
      <c r="AW181" s="11" t="s">
        <v>35</v>
      </c>
      <c r="AX181" s="11" t="s">
        <v>78</v>
      </c>
      <c r="AY181" s="166" t="s">
        <v>167</v>
      </c>
    </row>
    <row r="182" spans="2:51" s="11" customFormat="1" ht="22.5" customHeight="1">
      <c r="B182" s="159"/>
      <c r="C182" s="160"/>
      <c r="D182" s="160"/>
      <c r="E182" s="161" t="s">
        <v>5</v>
      </c>
      <c r="F182" s="302" t="s">
        <v>309</v>
      </c>
      <c r="G182" s="303"/>
      <c r="H182" s="303"/>
      <c r="I182" s="303"/>
      <c r="J182" s="160"/>
      <c r="K182" s="162">
        <v>48</v>
      </c>
      <c r="L182" s="160"/>
      <c r="M182" s="160"/>
      <c r="N182" s="160"/>
      <c r="O182" s="160"/>
      <c r="P182" s="160"/>
      <c r="Q182" s="160"/>
      <c r="R182" s="163"/>
      <c r="T182" s="164"/>
      <c r="U182" s="160"/>
      <c r="V182" s="160"/>
      <c r="W182" s="160"/>
      <c r="X182" s="160"/>
      <c r="Y182" s="160"/>
      <c r="Z182" s="160"/>
      <c r="AA182" s="165"/>
      <c r="AT182" s="166" t="s">
        <v>179</v>
      </c>
      <c r="AU182" s="166" t="s">
        <v>135</v>
      </c>
      <c r="AV182" s="11" t="s">
        <v>135</v>
      </c>
      <c r="AW182" s="11" t="s">
        <v>35</v>
      </c>
      <c r="AX182" s="11" t="s">
        <v>78</v>
      </c>
      <c r="AY182" s="166" t="s">
        <v>167</v>
      </c>
    </row>
    <row r="183" spans="2:51" s="11" customFormat="1" ht="22.5" customHeight="1">
      <c r="B183" s="159"/>
      <c r="C183" s="160"/>
      <c r="D183" s="160"/>
      <c r="E183" s="161" t="s">
        <v>5</v>
      </c>
      <c r="F183" s="302" t="s">
        <v>310</v>
      </c>
      <c r="G183" s="303"/>
      <c r="H183" s="303"/>
      <c r="I183" s="303"/>
      <c r="J183" s="160"/>
      <c r="K183" s="162">
        <v>50</v>
      </c>
      <c r="L183" s="160"/>
      <c r="M183" s="160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179</v>
      </c>
      <c r="AU183" s="166" t="s">
        <v>135</v>
      </c>
      <c r="AV183" s="11" t="s">
        <v>135</v>
      </c>
      <c r="AW183" s="11" t="s">
        <v>35</v>
      </c>
      <c r="AX183" s="11" t="s">
        <v>78</v>
      </c>
      <c r="AY183" s="166" t="s">
        <v>167</v>
      </c>
    </row>
    <row r="184" spans="2:51" s="12" customFormat="1" ht="22.5" customHeight="1">
      <c r="B184" s="167"/>
      <c r="C184" s="168"/>
      <c r="D184" s="168"/>
      <c r="E184" s="169" t="s">
        <v>5</v>
      </c>
      <c r="F184" s="306" t="s">
        <v>183</v>
      </c>
      <c r="G184" s="307"/>
      <c r="H184" s="307"/>
      <c r="I184" s="307"/>
      <c r="J184" s="168"/>
      <c r="K184" s="170">
        <v>322</v>
      </c>
      <c r="L184" s="168"/>
      <c r="M184" s="168"/>
      <c r="N184" s="168"/>
      <c r="O184" s="168"/>
      <c r="P184" s="168"/>
      <c r="Q184" s="168"/>
      <c r="R184" s="171"/>
      <c r="T184" s="172"/>
      <c r="U184" s="168"/>
      <c r="V184" s="168"/>
      <c r="W184" s="168"/>
      <c r="X184" s="168"/>
      <c r="Y184" s="168"/>
      <c r="Z184" s="168"/>
      <c r="AA184" s="173"/>
      <c r="AT184" s="174" t="s">
        <v>179</v>
      </c>
      <c r="AU184" s="174" t="s">
        <v>135</v>
      </c>
      <c r="AV184" s="12" t="s">
        <v>172</v>
      </c>
      <c r="AW184" s="12" t="s">
        <v>35</v>
      </c>
      <c r="AX184" s="12" t="s">
        <v>78</v>
      </c>
      <c r="AY184" s="174" t="s">
        <v>167</v>
      </c>
    </row>
    <row r="185" spans="2:51" s="11" customFormat="1" ht="22.5" customHeight="1">
      <c r="B185" s="159"/>
      <c r="C185" s="160"/>
      <c r="D185" s="160"/>
      <c r="E185" s="161" t="s">
        <v>5</v>
      </c>
      <c r="F185" s="302" t="s">
        <v>311</v>
      </c>
      <c r="G185" s="303"/>
      <c r="H185" s="303"/>
      <c r="I185" s="303"/>
      <c r="J185" s="160"/>
      <c r="K185" s="162">
        <v>9.016</v>
      </c>
      <c r="L185" s="160"/>
      <c r="M185" s="160"/>
      <c r="N185" s="160"/>
      <c r="O185" s="160"/>
      <c r="P185" s="160"/>
      <c r="Q185" s="160"/>
      <c r="R185" s="163"/>
      <c r="T185" s="164"/>
      <c r="U185" s="160"/>
      <c r="V185" s="160"/>
      <c r="W185" s="160"/>
      <c r="X185" s="160"/>
      <c r="Y185" s="160"/>
      <c r="Z185" s="160"/>
      <c r="AA185" s="165"/>
      <c r="AT185" s="166" t="s">
        <v>179</v>
      </c>
      <c r="AU185" s="166" t="s">
        <v>135</v>
      </c>
      <c r="AV185" s="11" t="s">
        <v>135</v>
      </c>
      <c r="AW185" s="11" t="s">
        <v>35</v>
      </c>
      <c r="AX185" s="11" t="s">
        <v>21</v>
      </c>
      <c r="AY185" s="166" t="s">
        <v>167</v>
      </c>
    </row>
    <row r="186" spans="2:65" s="1" customFormat="1" ht="31.5" customHeight="1">
      <c r="B186" s="141"/>
      <c r="C186" s="142" t="s">
        <v>10</v>
      </c>
      <c r="D186" s="142" t="s">
        <v>168</v>
      </c>
      <c r="E186" s="143" t="s">
        <v>312</v>
      </c>
      <c r="F186" s="293" t="s">
        <v>313</v>
      </c>
      <c r="G186" s="293"/>
      <c r="H186" s="293"/>
      <c r="I186" s="293"/>
      <c r="J186" s="144" t="s">
        <v>210</v>
      </c>
      <c r="K186" s="145">
        <v>1.294</v>
      </c>
      <c r="L186" s="294"/>
      <c r="M186" s="294"/>
      <c r="N186" s="294">
        <f>ROUND(L186*K186,2)</f>
        <v>0</v>
      </c>
      <c r="O186" s="294"/>
      <c r="P186" s="294"/>
      <c r="Q186" s="294"/>
      <c r="R186" s="146"/>
      <c r="T186" s="147" t="s">
        <v>5</v>
      </c>
      <c r="U186" s="44" t="s">
        <v>43</v>
      </c>
      <c r="V186" s="148">
        <v>18.175</v>
      </c>
      <c r="W186" s="148">
        <f>V186*K186</f>
        <v>23.51845</v>
      </c>
      <c r="X186" s="148">
        <v>0.01954</v>
      </c>
      <c r="Y186" s="148">
        <f>X186*K186</f>
        <v>0.02528476</v>
      </c>
      <c r="Z186" s="148">
        <v>0</v>
      </c>
      <c r="AA186" s="149">
        <f>Z186*K186</f>
        <v>0</v>
      </c>
      <c r="AR186" s="21" t="s">
        <v>172</v>
      </c>
      <c r="AT186" s="21" t="s">
        <v>168</v>
      </c>
      <c r="AU186" s="21" t="s">
        <v>135</v>
      </c>
      <c r="AY186" s="21" t="s">
        <v>167</v>
      </c>
      <c r="BE186" s="150">
        <f>IF(U186="základní",N186,0)</f>
        <v>0</v>
      </c>
      <c r="BF186" s="150">
        <f>IF(U186="snížená",N186,0)</f>
        <v>0</v>
      </c>
      <c r="BG186" s="150">
        <f>IF(U186="zákl. přenesená",N186,0)</f>
        <v>0</v>
      </c>
      <c r="BH186" s="150">
        <f>IF(U186="sníž. přenesená",N186,0)</f>
        <v>0</v>
      </c>
      <c r="BI186" s="150">
        <f>IF(U186="nulová",N186,0)</f>
        <v>0</v>
      </c>
      <c r="BJ186" s="21" t="s">
        <v>21</v>
      </c>
      <c r="BK186" s="150">
        <f>ROUND(L186*K186,2)</f>
        <v>0</v>
      </c>
      <c r="BL186" s="21" t="s">
        <v>172</v>
      </c>
      <c r="BM186" s="21" t="s">
        <v>314</v>
      </c>
    </row>
    <row r="187" spans="2:51" s="11" customFormat="1" ht="22.5" customHeight="1">
      <c r="B187" s="159"/>
      <c r="C187" s="160"/>
      <c r="D187" s="160"/>
      <c r="E187" s="161" t="s">
        <v>5</v>
      </c>
      <c r="F187" s="308" t="s">
        <v>315</v>
      </c>
      <c r="G187" s="309"/>
      <c r="H187" s="309"/>
      <c r="I187" s="309"/>
      <c r="J187" s="160"/>
      <c r="K187" s="162">
        <v>1.294</v>
      </c>
      <c r="L187" s="160"/>
      <c r="M187" s="160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179</v>
      </c>
      <c r="AU187" s="166" t="s">
        <v>135</v>
      </c>
      <c r="AV187" s="11" t="s">
        <v>135</v>
      </c>
      <c r="AW187" s="11" t="s">
        <v>35</v>
      </c>
      <c r="AX187" s="11" t="s">
        <v>21</v>
      </c>
      <c r="AY187" s="166" t="s">
        <v>167</v>
      </c>
    </row>
    <row r="188" spans="2:65" s="1" customFormat="1" ht="22.5" customHeight="1">
      <c r="B188" s="141"/>
      <c r="C188" s="178" t="s">
        <v>316</v>
      </c>
      <c r="D188" s="178" t="s">
        <v>317</v>
      </c>
      <c r="E188" s="179" t="s">
        <v>318</v>
      </c>
      <c r="F188" s="313" t="s">
        <v>319</v>
      </c>
      <c r="G188" s="313"/>
      <c r="H188" s="313"/>
      <c r="I188" s="313"/>
      <c r="J188" s="180" t="s">
        <v>210</v>
      </c>
      <c r="K188" s="181">
        <v>1.294</v>
      </c>
      <c r="L188" s="314"/>
      <c r="M188" s="314"/>
      <c r="N188" s="314">
        <f>ROUND(L188*K188,2)</f>
        <v>0</v>
      </c>
      <c r="O188" s="294"/>
      <c r="P188" s="294"/>
      <c r="Q188" s="294"/>
      <c r="R188" s="146"/>
      <c r="T188" s="147" t="s">
        <v>5</v>
      </c>
      <c r="U188" s="44" t="s">
        <v>43</v>
      </c>
      <c r="V188" s="148">
        <v>0</v>
      </c>
      <c r="W188" s="148">
        <f>V188*K188</f>
        <v>0</v>
      </c>
      <c r="X188" s="148">
        <v>1</v>
      </c>
      <c r="Y188" s="148">
        <f>X188*K188</f>
        <v>1.294</v>
      </c>
      <c r="Z188" s="148">
        <v>0</v>
      </c>
      <c r="AA188" s="149">
        <f>Z188*K188</f>
        <v>0</v>
      </c>
      <c r="AR188" s="21" t="s">
        <v>213</v>
      </c>
      <c r="AT188" s="21" t="s">
        <v>317</v>
      </c>
      <c r="AU188" s="21" t="s">
        <v>135</v>
      </c>
      <c r="AY188" s="21" t="s">
        <v>167</v>
      </c>
      <c r="BE188" s="150">
        <f>IF(U188="základní",N188,0)</f>
        <v>0</v>
      </c>
      <c r="BF188" s="150">
        <f>IF(U188="snížená",N188,0)</f>
        <v>0</v>
      </c>
      <c r="BG188" s="150">
        <f>IF(U188="zákl. přenesená",N188,0)</f>
        <v>0</v>
      </c>
      <c r="BH188" s="150">
        <f>IF(U188="sníž. přenesená",N188,0)</f>
        <v>0</v>
      </c>
      <c r="BI188" s="150">
        <f>IF(U188="nulová",N188,0)</f>
        <v>0</v>
      </c>
      <c r="BJ188" s="21" t="s">
        <v>21</v>
      </c>
      <c r="BK188" s="150">
        <f>ROUND(L188*K188,2)</f>
        <v>0</v>
      </c>
      <c r="BL188" s="21" t="s">
        <v>172</v>
      </c>
      <c r="BM188" s="21" t="s">
        <v>320</v>
      </c>
    </row>
    <row r="189" spans="2:63" s="9" customFormat="1" ht="29.85" customHeight="1">
      <c r="B189" s="130"/>
      <c r="C189" s="131"/>
      <c r="D189" s="140" t="s">
        <v>227</v>
      </c>
      <c r="E189" s="140"/>
      <c r="F189" s="140"/>
      <c r="G189" s="140"/>
      <c r="H189" s="140"/>
      <c r="I189" s="140"/>
      <c r="J189" s="140"/>
      <c r="K189" s="140"/>
      <c r="L189" s="140"/>
      <c r="M189" s="140"/>
      <c r="N189" s="310">
        <f>BK189</f>
        <v>0</v>
      </c>
      <c r="O189" s="311"/>
      <c r="P189" s="311"/>
      <c r="Q189" s="311"/>
      <c r="R189" s="133"/>
      <c r="T189" s="134"/>
      <c r="U189" s="131"/>
      <c r="V189" s="131"/>
      <c r="W189" s="135">
        <f>SUM(W190:W196)</f>
        <v>13.2293</v>
      </c>
      <c r="X189" s="131"/>
      <c r="Y189" s="135">
        <f>SUM(Y190:Y196)</f>
        <v>3.231074</v>
      </c>
      <c r="Z189" s="131"/>
      <c r="AA189" s="136">
        <f>SUM(AA190:AA196)</f>
        <v>0</v>
      </c>
      <c r="AR189" s="137" t="s">
        <v>21</v>
      </c>
      <c r="AT189" s="138" t="s">
        <v>77</v>
      </c>
      <c r="AU189" s="138" t="s">
        <v>21</v>
      </c>
      <c r="AY189" s="137" t="s">
        <v>167</v>
      </c>
      <c r="BK189" s="139">
        <f>SUM(BK190:BK196)</f>
        <v>0</v>
      </c>
    </row>
    <row r="190" spans="2:65" s="1" customFormat="1" ht="22.5" customHeight="1">
      <c r="B190" s="141"/>
      <c r="C190" s="142" t="s">
        <v>321</v>
      </c>
      <c r="D190" s="142" t="s">
        <v>168</v>
      </c>
      <c r="E190" s="143" t="s">
        <v>322</v>
      </c>
      <c r="F190" s="293" t="s">
        <v>323</v>
      </c>
      <c r="G190" s="293"/>
      <c r="H190" s="293"/>
      <c r="I190" s="293"/>
      <c r="J190" s="144" t="s">
        <v>176</v>
      </c>
      <c r="K190" s="145">
        <v>1.25</v>
      </c>
      <c r="L190" s="294"/>
      <c r="M190" s="294"/>
      <c r="N190" s="294">
        <f>ROUND(L190*K190,2)</f>
        <v>0</v>
      </c>
      <c r="O190" s="294"/>
      <c r="P190" s="294"/>
      <c r="Q190" s="294"/>
      <c r="R190" s="146"/>
      <c r="T190" s="147" t="s">
        <v>5</v>
      </c>
      <c r="U190" s="44" t="s">
        <v>43</v>
      </c>
      <c r="V190" s="148">
        <v>1.448</v>
      </c>
      <c r="W190" s="148">
        <f>V190*K190</f>
        <v>1.81</v>
      </c>
      <c r="X190" s="148">
        <v>2.4534</v>
      </c>
      <c r="Y190" s="148">
        <f>X190*K190</f>
        <v>3.06675</v>
      </c>
      <c r="Z190" s="148">
        <v>0</v>
      </c>
      <c r="AA190" s="149">
        <f>Z190*K190</f>
        <v>0</v>
      </c>
      <c r="AR190" s="21" t="s">
        <v>172</v>
      </c>
      <c r="AT190" s="21" t="s">
        <v>168</v>
      </c>
      <c r="AU190" s="21" t="s">
        <v>135</v>
      </c>
      <c r="AY190" s="21" t="s">
        <v>167</v>
      </c>
      <c r="BE190" s="150">
        <f>IF(U190="základní",N190,0)</f>
        <v>0</v>
      </c>
      <c r="BF190" s="150">
        <f>IF(U190="snížená",N190,0)</f>
        <v>0</v>
      </c>
      <c r="BG190" s="150">
        <f>IF(U190="zákl. přenesená",N190,0)</f>
        <v>0</v>
      </c>
      <c r="BH190" s="150">
        <f>IF(U190="sníž. přenesená",N190,0)</f>
        <v>0</v>
      </c>
      <c r="BI190" s="150">
        <f>IF(U190="nulová",N190,0)</f>
        <v>0</v>
      </c>
      <c r="BJ190" s="21" t="s">
        <v>21</v>
      </c>
      <c r="BK190" s="150">
        <f>ROUND(L190*K190,2)</f>
        <v>0</v>
      </c>
      <c r="BL190" s="21" t="s">
        <v>172</v>
      </c>
      <c r="BM190" s="21" t="s">
        <v>324</v>
      </c>
    </row>
    <row r="191" spans="2:51" s="11" customFormat="1" ht="22.5" customHeight="1">
      <c r="B191" s="159"/>
      <c r="C191" s="160"/>
      <c r="D191" s="160"/>
      <c r="E191" s="161" t="s">
        <v>5</v>
      </c>
      <c r="F191" s="308" t="s">
        <v>325</v>
      </c>
      <c r="G191" s="309"/>
      <c r="H191" s="309"/>
      <c r="I191" s="309"/>
      <c r="J191" s="160"/>
      <c r="K191" s="162">
        <v>1.25</v>
      </c>
      <c r="L191" s="160"/>
      <c r="M191" s="160"/>
      <c r="N191" s="160"/>
      <c r="O191" s="160"/>
      <c r="P191" s="160"/>
      <c r="Q191" s="160"/>
      <c r="R191" s="163"/>
      <c r="T191" s="164"/>
      <c r="U191" s="160"/>
      <c r="V191" s="160"/>
      <c r="W191" s="160"/>
      <c r="X191" s="160"/>
      <c r="Y191" s="160"/>
      <c r="Z191" s="160"/>
      <c r="AA191" s="165"/>
      <c r="AT191" s="166" t="s">
        <v>179</v>
      </c>
      <c r="AU191" s="166" t="s">
        <v>135</v>
      </c>
      <c r="AV191" s="11" t="s">
        <v>135</v>
      </c>
      <c r="AW191" s="11" t="s">
        <v>35</v>
      </c>
      <c r="AX191" s="11" t="s">
        <v>21</v>
      </c>
      <c r="AY191" s="166" t="s">
        <v>167</v>
      </c>
    </row>
    <row r="192" spans="2:65" s="1" customFormat="1" ht="22.5" customHeight="1">
      <c r="B192" s="141"/>
      <c r="C192" s="142" t="s">
        <v>326</v>
      </c>
      <c r="D192" s="142" t="s">
        <v>168</v>
      </c>
      <c r="E192" s="143" t="s">
        <v>327</v>
      </c>
      <c r="F192" s="293" t="s">
        <v>328</v>
      </c>
      <c r="G192" s="293"/>
      <c r="H192" s="293"/>
      <c r="I192" s="293"/>
      <c r="J192" s="144" t="s">
        <v>199</v>
      </c>
      <c r="K192" s="145">
        <v>12</v>
      </c>
      <c r="L192" s="294"/>
      <c r="M192" s="294"/>
      <c r="N192" s="294">
        <f>ROUND(L192*K192,2)</f>
        <v>0</v>
      </c>
      <c r="O192" s="294"/>
      <c r="P192" s="294"/>
      <c r="Q192" s="294"/>
      <c r="R192" s="146"/>
      <c r="T192" s="147" t="s">
        <v>5</v>
      </c>
      <c r="U192" s="44" t="s">
        <v>43</v>
      </c>
      <c r="V192" s="148">
        <v>0.481</v>
      </c>
      <c r="W192" s="148">
        <f>V192*K192</f>
        <v>5.772</v>
      </c>
      <c r="X192" s="148">
        <v>0.00522</v>
      </c>
      <c r="Y192" s="148">
        <f>X192*K192</f>
        <v>0.06264</v>
      </c>
      <c r="Z192" s="148">
        <v>0</v>
      </c>
      <c r="AA192" s="149">
        <f>Z192*K192</f>
        <v>0</v>
      </c>
      <c r="AR192" s="21" t="s">
        <v>172</v>
      </c>
      <c r="AT192" s="21" t="s">
        <v>168</v>
      </c>
      <c r="AU192" s="21" t="s">
        <v>135</v>
      </c>
      <c r="AY192" s="21" t="s">
        <v>167</v>
      </c>
      <c r="BE192" s="150">
        <f>IF(U192="základní",N192,0)</f>
        <v>0</v>
      </c>
      <c r="BF192" s="150">
        <f>IF(U192="snížená",N192,0)</f>
        <v>0</v>
      </c>
      <c r="BG192" s="150">
        <f>IF(U192="zákl. přenesená",N192,0)</f>
        <v>0</v>
      </c>
      <c r="BH192" s="150">
        <f>IF(U192="sníž. přenesená",N192,0)</f>
        <v>0</v>
      </c>
      <c r="BI192" s="150">
        <f>IF(U192="nulová",N192,0)</f>
        <v>0</v>
      </c>
      <c r="BJ192" s="21" t="s">
        <v>21</v>
      </c>
      <c r="BK192" s="150">
        <f>ROUND(L192*K192,2)</f>
        <v>0</v>
      </c>
      <c r="BL192" s="21" t="s">
        <v>172</v>
      </c>
      <c r="BM192" s="21" t="s">
        <v>329</v>
      </c>
    </row>
    <row r="193" spans="2:51" s="11" customFormat="1" ht="22.5" customHeight="1">
      <c r="B193" s="159"/>
      <c r="C193" s="160"/>
      <c r="D193" s="160"/>
      <c r="E193" s="161" t="s">
        <v>5</v>
      </c>
      <c r="F193" s="308" t="s">
        <v>330</v>
      </c>
      <c r="G193" s="309"/>
      <c r="H193" s="309"/>
      <c r="I193" s="309"/>
      <c r="J193" s="160"/>
      <c r="K193" s="162">
        <v>12</v>
      </c>
      <c r="L193" s="160"/>
      <c r="M193" s="160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179</v>
      </c>
      <c r="AU193" s="166" t="s">
        <v>135</v>
      </c>
      <c r="AV193" s="11" t="s">
        <v>135</v>
      </c>
      <c r="AW193" s="11" t="s">
        <v>35</v>
      </c>
      <c r="AX193" s="11" t="s">
        <v>21</v>
      </c>
      <c r="AY193" s="166" t="s">
        <v>167</v>
      </c>
    </row>
    <row r="194" spans="2:65" s="1" customFormat="1" ht="22.5" customHeight="1">
      <c r="B194" s="141"/>
      <c r="C194" s="142" t="s">
        <v>331</v>
      </c>
      <c r="D194" s="142" t="s">
        <v>168</v>
      </c>
      <c r="E194" s="143" t="s">
        <v>332</v>
      </c>
      <c r="F194" s="293" t="s">
        <v>333</v>
      </c>
      <c r="G194" s="293"/>
      <c r="H194" s="293"/>
      <c r="I194" s="293"/>
      <c r="J194" s="144" t="s">
        <v>199</v>
      </c>
      <c r="K194" s="145">
        <v>12</v>
      </c>
      <c r="L194" s="294"/>
      <c r="M194" s="294"/>
      <c r="N194" s="294">
        <f>ROUND(L194*K194,2)</f>
        <v>0</v>
      </c>
      <c r="O194" s="294"/>
      <c r="P194" s="294"/>
      <c r="Q194" s="294"/>
      <c r="R194" s="146"/>
      <c r="T194" s="147" t="s">
        <v>5</v>
      </c>
      <c r="U194" s="44" t="s">
        <v>43</v>
      </c>
      <c r="V194" s="148">
        <v>0.24</v>
      </c>
      <c r="W194" s="148">
        <f>V194*K194</f>
        <v>2.88</v>
      </c>
      <c r="X194" s="148">
        <v>0</v>
      </c>
      <c r="Y194" s="148">
        <f>X194*K194</f>
        <v>0</v>
      </c>
      <c r="Z194" s="148">
        <v>0</v>
      </c>
      <c r="AA194" s="149">
        <f>Z194*K194</f>
        <v>0</v>
      </c>
      <c r="AR194" s="21" t="s">
        <v>172</v>
      </c>
      <c r="AT194" s="21" t="s">
        <v>168</v>
      </c>
      <c r="AU194" s="21" t="s">
        <v>135</v>
      </c>
      <c r="AY194" s="21" t="s">
        <v>167</v>
      </c>
      <c r="BE194" s="150">
        <f>IF(U194="základní",N194,0)</f>
        <v>0</v>
      </c>
      <c r="BF194" s="150">
        <f>IF(U194="snížená",N194,0)</f>
        <v>0</v>
      </c>
      <c r="BG194" s="150">
        <f>IF(U194="zákl. přenesená",N194,0)</f>
        <v>0</v>
      </c>
      <c r="BH194" s="150">
        <f>IF(U194="sníž. přenesená",N194,0)</f>
        <v>0</v>
      </c>
      <c r="BI194" s="150">
        <f>IF(U194="nulová",N194,0)</f>
        <v>0</v>
      </c>
      <c r="BJ194" s="21" t="s">
        <v>21</v>
      </c>
      <c r="BK194" s="150">
        <f>ROUND(L194*K194,2)</f>
        <v>0</v>
      </c>
      <c r="BL194" s="21" t="s">
        <v>172</v>
      </c>
      <c r="BM194" s="21" t="s">
        <v>334</v>
      </c>
    </row>
    <row r="195" spans="2:65" s="1" customFormat="1" ht="31.5" customHeight="1">
      <c r="B195" s="141"/>
      <c r="C195" s="142" t="s">
        <v>335</v>
      </c>
      <c r="D195" s="142" t="s">
        <v>168</v>
      </c>
      <c r="E195" s="143" t="s">
        <v>336</v>
      </c>
      <c r="F195" s="293" t="s">
        <v>337</v>
      </c>
      <c r="G195" s="293"/>
      <c r="H195" s="293"/>
      <c r="I195" s="293"/>
      <c r="J195" s="144" t="s">
        <v>210</v>
      </c>
      <c r="K195" s="145">
        <v>0.1</v>
      </c>
      <c r="L195" s="294"/>
      <c r="M195" s="294"/>
      <c r="N195" s="294">
        <f>ROUND(L195*K195,2)</f>
        <v>0</v>
      </c>
      <c r="O195" s="294"/>
      <c r="P195" s="294"/>
      <c r="Q195" s="294"/>
      <c r="R195" s="146"/>
      <c r="T195" s="147" t="s">
        <v>5</v>
      </c>
      <c r="U195" s="44" t="s">
        <v>43</v>
      </c>
      <c r="V195" s="148">
        <v>27.673</v>
      </c>
      <c r="W195" s="148">
        <f>V195*K195</f>
        <v>2.7673</v>
      </c>
      <c r="X195" s="148">
        <v>1.01684</v>
      </c>
      <c r="Y195" s="148">
        <f>X195*K195</f>
        <v>0.101684</v>
      </c>
      <c r="Z195" s="148">
        <v>0</v>
      </c>
      <c r="AA195" s="149">
        <f>Z195*K195</f>
        <v>0</v>
      </c>
      <c r="AR195" s="21" t="s">
        <v>172</v>
      </c>
      <c r="AT195" s="21" t="s">
        <v>168</v>
      </c>
      <c r="AU195" s="21" t="s">
        <v>135</v>
      </c>
      <c r="AY195" s="21" t="s">
        <v>167</v>
      </c>
      <c r="BE195" s="150">
        <f>IF(U195="základní",N195,0)</f>
        <v>0</v>
      </c>
      <c r="BF195" s="150">
        <f>IF(U195="snížená",N195,0)</f>
        <v>0</v>
      </c>
      <c r="BG195" s="150">
        <f>IF(U195="zákl. přenesená",N195,0)</f>
        <v>0</v>
      </c>
      <c r="BH195" s="150">
        <f>IF(U195="sníž. přenesená",N195,0)</f>
        <v>0</v>
      </c>
      <c r="BI195" s="150">
        <f>IF(U195="nulová",N195,0)</f>
        <v>0</v>
      </c>
      <c r="BJ195" s="21" t="s">
        <v>21</v>
      </c>
      <c r="BK195" s="150">
        <f>ROUND(L195*K195,2)</f>
        <v>0</v>
      </c>
      <c r="BL195" s="21" t="s">
        <v>172</v>
      </c>
      <c r="BM195" s="21" t="s">
        <v>338</v>
      </c>
    </row>
    <row r="196" spans="2:51" s="11" customFormat="1" ht="22.5" customHeight="1">
      <c r="B196" s="159"/>
      <c r="C196" s="160"/>
      <c r="D196" s="160"/>
      <c r="E196" s="161" t="s">
        <v>5</v>
      </c>
      <c r="F196" s="308" t="s">
        <v>339</v>
      </c>
      <c r="G196" s="309"/>
      <c r="H196" s="309"/>
      <c r="I196" s="309"/>
      <c r="J196" s="160"/>
      <c r="K196" s="162">
        <v>0.1</v>
      </c>
      <c r="L196" s="160"/>
      <c r="M196" s="160"/>
      <c r="N196" s="160"/>
      <c r="O196" s="160"/>
      <c r="P196" s="160"/>
      <c r="Q196" s="160"/>
      <c r="R196" s="163"/>
      <c r="T196" s="164"/>
      <c r="U196" s="160"/>
      <c r="V196" s="160"/>
      <c r="W196" s="160"/>
      <c r="X196" s="160"/>
      <c r="Y196" s="160"/>
      <c r="Z196" s="160"/>
      <c r="AA196" s="165"/>
      <c r="AT196" s="166" t="s">
        <v>179</v>
      </c>
      <c r="AU196" s="166" t="s">
        <v>135</v>
      </c>
      <c r="AV196" s="11" t="s">
        <v>135</v>
      </c>
      <c r="AW196" s="11" t="s">
        <v>35</v>
      </c>
      <c r="AX196" s="11" t="s">
        <v>21</v>
      </c>
      <c r="AY196" s="166" t="s">
        <v>167</v>
      </c>
    </row>
    <row r="197" spans="2:63" s="9" customFormat="1" ht="29.85" customHeight="1">
      <c r="B197" s="130"/>
      <c r="C197" s="131"/>
      <c r="D197" s="140" t="s">
        <v>150</v>
      </c>
      <c r="E197" s="140"/>
      <c r="F197" s="140"/>
      <c r="G197" s="140"/>
      <c r="H197" s="140"/>
      <c r="I197" s="140"/>
      <c r="J197" s="140"/>
      <c r="K197" s="140"/>
      <c r="L197" s="140"/>
      <c r="M197" s="140"/>
      <c r="N197" s="298">
        <f>BK197</f>
        <v>0</v>
      </c>
      <c r="O197" s="299"/>
      <c r="P197" s="299"/>
      <c r="Q197" s="299"/>
      <c r="R197" s="133"/>
      <c r="T197" s="134"/>
      <c r="U197" s="131"/>
      <c r="V197" s="131"/>
      <c r="W197" s="135">
        <f>W198</f>
        <v>95.908</v>
      </c>
      <c r="X197" s="131"/>
      <c r="Y197" s="135">
        <f>Y198</f>
        <v>13.71528</v>
      </c>
      <c r="Z197" s="131"/>
      <c r="AA197" s="136">
        <f>AA198</f>
        <v>0</v>
      </c>
      <c r="AR197" s="137" t="s">
        <v>21</v>
      </c>
      <c r="AT197" s="138" t="s">
        <v>77</v>
      </c>
      <c r="AU197" s="138" t="s">
        <v>21</v>
      </c>
      <c r="AY197" s="137" t="s">
        <v>167</v>
      </c>
      <c r="BK197" s="139">
        <f>BK198</f>
        <v>0</v>
      </c>
    </row>
    <row r="198" spans="2:65" s="1" customFormat="1" ht="22.5" customHeight="1">
      <c r="B198" s="141"/>
      <c r="C198" s="142" t="s">
        <v>340</v>
      </c>
      <c r="D198" s="142" t="s">
        <v>168</v>
      </c>
      <c r="E198" s="143" t="s">
        <v>341</v>
      </c>
      <c r="F198" s="293" t="s">
        <v>342</v>
      </c>
      <c r="G198" s="293"/>
      <c r="H198" s="293"/>
      <c r="I198" s="293"/>
      <c r="J198" s="144" t="s">
        <v>259</v>
      </c>
      <c r="K198" s="145">
        <v>4</v>
      </c>
      <c r="L198" s="294"/>
      <c r="M198" s="294"/>
      <c r="N198" s="294">
        <f>ROUND(L198*K198,2)</f>
        <v>0</v>
      </c>
      <c r="O198" s="294"/>
      <c r="P198" s="294"/>
      <c r="Q198" s="294"/>
      <c r="R198" s="146"/>
      <c r="T198" s="147" t="s">
        <v>5</v>
      </c>
      <c r="U198" s="44" t="s">
        <v>43</v>
      </c>
      <c r="V198" s="148">
        <v>23.977</v>
      </c>
      <c r="W198" s="148">
        <f>V198*K198</f>
        <v>95.908</v>
      </c>
      <c r="X198" s="148">
        <v>3.42882</v>
      </c>
      <c r="Y198" s="148">
        <f>X198*K198</f>
        <v>13.71528</v>
      </c>
      <c r="Z198" s="148">
        <v>0</v>
      </c>
      <c r="AA198" s="149">
        <f>Z198*K198</f>
        <v>0</v>
      </c>
      <c r="AR198" s="21" t="s">
        <v>172</v>
      </c>
      <c r="AT198" s="21" t="s">
        <v>168</v>
      </c>
      <c r="AU198" s="21" t="s">
        <v>135</v>
      </c>
      <c r="AY198" s="21" t="s">
        <v>167</v>
      </c>
      <c r="BE198" s="150">
        <f>IF(U198="základní",N198,0)</f>
        <v>0</v>
      </c>
      <c r="BF198" s="150">
        <f>IF(U198="snížená",N198,0)</f>
        <v>0</v>
      </c>
      <c r="BG198" s="150">
        <f>IF(U198="zákl. přenesená",N198,0)</f>
        <v>0</v>
      </c>
      <c r="BH198" s="150">
        <f>IF(U198="sníž. přenesená",N198,0)</f>
        <v>0</v>
      </c>
      <c r="BI198" s="150">
        <f>IF(U198="nulová",N198,0)</f>
        <v>0</v>
      </c>
      <c r="BJ198" s="21" t="s">
        <v>21</v>
      </c>
      <c r="BK198" s="150">
        <f>ROUND(L198*K198,2)</f>
        <v>0</v>
      </c>
      <c r="BL198" s="21" t="s">
        <v>172</v>
      </c>
      <c r="BM198" s="21" t="s">
        <v>343</v>
      </c>
    </row>
    <row r="199" spans="2:63" s="9" customFormat="1" ht="29.85" customHeight="1">
      <c r="B199" s="130"/>
      <c r="C199" s="131"/>
      <c r="D199" s="140" t="s">
        <v>228</v>
      </c>
      <c r="E199" s="140"/>
      <c r="F199" s="140"/>
      <c r="G199" s="140"/>
      <c r="H199" s="140"/>
      <c r="I199" s="140"/>
      <c r="J199" s="140"/>
      <c r="K199" s="140"/>
      <c r="L199" s="140"/>
      <c r="M199" s="140"/>
      <c r="N199" s="310">
        <f>BK199</f>
        <v>0</v>
      </c>
      <c r="O199" s="311"/>
      <c r="P199" s="311"/>
      <c r="Q199" s="311"/>
      <c r="R199" s="133"/>
      <c r="T199" s="134"/>
      <c r="U199" s="131"/>
      <c r="V199" s="131"/>
      <c r="W199" s="135">
        <f>SUM(W200:W201)</f>
        <v>15.75</v>
      </c>
      <c r="X199" s="131"/>
      <c r="Y199" s="135">
        <f>SUM(Y200:Y201)</f>
        <v>0.026250000000000002</v>
      </c>
      <c r="Z199" s="131"/>
      <c r="AA199" s="136">
        <f>SUM(AA200:AA201)</f>
        <v>0</v>
      </c>
      <c r="AR199" s="137" t="s">
        <v>21</v>
      </c>
      <c r="AT199" s="138" t="s">
        <v>77</v>
      </c>
      <c r="AU199" s="138" t="s">
        <v>21</v>
      </c>
      <c r="AY199" s="137" t="s">
        <v>167</v>
      </c>
      <c r="BK199" s="139">
        <f>SUM(BK200:BK201)</f>
        <v>0</v>
      </c>
    </row>
    <row r="200" spans="2:65" s="1" customFormat="1" ht="44.25" customHeight="1">
      <c r="B200" s="141"/>
      <c r="C200" s="142" t="s">
        <v>344</v>
      </c>
      <c r="D200" s="142" t="s">
        <v>168</v>
      </c>
      <c r="E200" s="143" t="s">
        <v>345</v>
      </c>
      <c r="F200" s="293" t="s">
        <v>346</v>
      </c>
      <c r="G200" s="293"/>
      <c r="H200" s="293"/>
      <c r="I200" s="293"/>
      <c r="J200" s="144" t="s">
        <v>199</v>
      </c>
      <c r="K200" s="145">
        <v>125</v>
      </c>
      <c r="L200" s="294"/>
      <c r="M200" s="294"/>
      <c r="N200" s="294">
        <f>ROUND(L200*K200,2)</f>
        <v>0</v>
      </c>
      <c r="O200" s="294"/>
      <c r="P200" s="294"/>
      <c r="Q200" s="294"/>
      <c r="R200" s="146"/>
      <c r="T200" s="147" t="s">
        <v>5</v>
      </c>
      <c r="U200" s="44" t="s">
        <v>43</v>
      </c>
      <c r="V200" s="148">
        <v>0.126</v>
      </c>
      <c r="W200" s="148">
        <f>V200*K200</f>
        <v>15.75</v>
      </c>
      <c r="X200" s="148">
        <v>0.00021</v>
      </c>
      <c r="Y200" s="148">
        <f>X200*K200</f>
        <v>0.026250000000000002</v>
      </c>
      <c r="Z200" s="148">
        <v>0</v>
      </c>
      <c r="AA200" s="149">
        <f>Z200*K200</f>
        <v>0</v>
      </c>
      <c r="AR200" s="21" t="s">
        <v>172</v>
      </c>
      <c r="AT200" s="21" t="s">
        <v>168</v>
      </c>
      <c r="AU200" s="21" t="s">
        <v>135</v>
      </c>
      <c r="AY200" s="21" t="s">
        <v>167</v>
      </c>
      <c r="BE200" s="150">
        <f>IF(U200="základní",N200,0)</f>
        <v>0</v>
      </c>
      <c r="BF200" s="150">
        <f>IF(U200="snížená",N200,0)</f>
        <v>0</v>
      </c>
      <c r="BG200" s="150">
        <f>IF(U200="zákl. přenesená",N200,0)</f>
        <v>0</v>
      </c>
      <c r="BH200" s="150">
        <f>IF(U200="sníž. přenesená",N200,0)</f>
        <v>0</v>
      </c>
      <c r="BI200" s="150">
        <f>IF(U200="nulová",N200,0)</f>
        <v>0</v>
      </c>
      <c r="BJ200" s="21" t="s">
        <v>21</v>
      </c>
      <c r="BK200" s="150">
        <f>ROUND(L200*K200,2)</f>
        <v>0</v>
      </c>
      <c r="BL200" s="21" t="s">
        <v>172</v>
      </c>
      <c r="BM200" s="21" t="s">
        <v>347</v>
      </c>
    </row>
    <row r="201" spans="2:51" s="11" customFormat="1" ht="22.5" customHeight="1">
      <c r="B201" s="159"/>
      <c r="C201" s="160"/>
      <c r="D201" s="160"/>
      <c r="E201" s="161" t="s">
        <v>5</v>
      </c>
      <c r="F201" s="308" t="s">
        <v>348</v>
      </c>
      <c r="G201" s="309"/>
      <c r="H201" s="309"/>
      <c r="I201" s="309"/>
      <c r="J201" s="160"/>
      <c r="K201" s="162">
        <v>125</v>
      </c>
      <c r="L201" s="160"/>
      <c r="M201" s="160"/>
      <c r="N201" s="160"/>
      <c r="O201" s="160"/>
      <c r="P201" s="160"/>
      <c r="Q201" s="160"/>
      <c r="R201" s="163"/>
      <c r="T201" s="164"/>
      <c r="U201" s="160"/>
      <c r="V201" s="160"/>
      <c r="W201" s="160"/>
      <c r="X201" s="160"/>
      <c r="Y201" s="160"/>
      <c r="Z201" s="160"/>
      <c r="AA201" s="165"/>
      <c r="AT201" s="166" t="s">
        <v>179</v>
      </c>
      <c r="AU201" s="166" t="s">
        <v>135</v>
      </c>
      <c r="AV201" s="11" t="s">
        <v>135</v>
      </c>
      <c r="AW201" s="11" t="s">
        <v>35</v>
      </c>
      <c r="AX201" s="11" t="s">
        <v>21</v>
      </c>
      <c r="AY201" s="166" t="s">
        <v>167</v>
      </c>
    </row>
    <row r="202" spans="2:63" s="9" customFormat="1" ht="29.85" customHeight="1">
      <c r="B202" s="130"/>
      <c r="C202" s="131"/>
      <c r="D202" s="140" t="s">
        <v>151</v>
      </c>
      <c r="E202" s="140"/>
      <c r="F202" s="140"/>
      <c r="G202" s="140"/>
      <c r="H202" s="140"/>
      <c r="I202" s="140"/>
      <c r="J202" s="140"/>
      <c r="K202" s="140"/>
      <c r="L202" s="140"/>
      <c r="M202" s="140"/>
      <c r="N202" s="298">
        <f>BK202</f>
        <v>0</v>
      </c>
      <c r="O202" s="299"/>
      <c r="P202" s="299"/>
      <c r="Q202" s="299"/>
      <c r="R202" s="133"/>
      <c r="T202" s="134"/>
      <c r="U202" s="131"/>
      <c r="V202" s="131"/>
      <c r="W202" s="135">
        <f>W203</f>
        <v>206.20958400000004</v>
      </c>
      <c r="X202" s="131"/>
      <c r="Y202" s="135">
        <f>Y203</f>
        <v>0</v>
      </c>
      <c r="Z202" s="131"/>
      <c r="AA202" s="136">
        <f>AA203</f>
        <v>0</v>
      </c>
      <c r="AR202" s="137" t="s">
        <v>21</v>
      </c>
      <c r="AT202" s="138" t="s">
        <v>77</v>
      </c>
      <c r="AU202" s="138" t="s">
        <v>21</v>
      </c>
      <c r="AY202" s="137" t="s">
        <v>167</v>
      </c>
      <c r="BK202" s="139">
        <f>BK203</f>
        <v>0</v>
      </c>
    </row>
    <row r="203" spans="2:65" s="1" customFormat="1" ht="22.5" customHeight="1">
      <c r="B203" s="141"/>
      <c r="C203" s="142" t="s">
        <v>349</v>
      </c>
      <c r="D203" s="142" t="s">
        <v>168</v>
      </c>
      <c r="E203" s="143" t="s">
        <v>222</v>
      </c>
      <c r="F203" s="293" t="s">
        <v>223</v>
      </c>
      <c r="G203" s="293"/>
      <c r="H203" s="293"/>
      <c r="I203" s="293"/>
      <c r="J203" s="144" t="s">
        <v>210</v>
      </c>
      <c r="K203" s="145">
        <v>613.719</v>
      </c>
      <c r="L203" s="294"/>
      <c r="M203" s="294"/>
      <c r="N203" s="294">
        <f>ROUND(L203*K203,2)</f>
        <v>0</v>
      </c>
      <c r="O203" s="294"/>
      <c r="P203" s="294"/>
      <c r="Q203" s="294"/>
      <c r="R203" s="146"/>
      <c r="T203" s="147" t="s">
        <v>5</v>
      </c>
      <c r="U203" s="175" t="s">
        <v>43</v>
      </c>
      <c r="V203" s="176">
        <v>0.336</v>
      </c>
      <c r="W203" s="176">
        <f>V203*K203</f>
        <v>206.20958400000004</v>
      </c>
      <c r="X203" s="176">
        <v>0</v>
      </c>
      <c r="Y203" s="176">
        <f>X203*K203</f>
        <v>0</v>
      </c>
      <c r="Z203" s="176">
        <v>0</v>
      </c>
      <c r="AA203" s="177">
        <f>Z203*K203</f>
        <v>0</v>
      </c>
      <c r="AR203" s="21" t="s">
        <v>172</v>
      </c>
      <c r="AT203" s="21" t="s">
        <v>168</v>
      </c>
      <c r="AU203" s="21" t="s">
        <v>135</v>
      </c>
      <c r="AY203" s="21" t="s">
        <v>167</v>
      </c>
      <c r="BE203" s="150">
        <f>IF(U203="základní",N203,0)</f>
        <v>0</v>
      </c>
      <c r="BF203" s="150">
        <f>IF(U203="snížená",N203,0)</f>
        <v>0</v>
      </c>
      <c r="BG203" s="150">
        <f>IF(U203="zákl. přenesená",N203,0)</f>
        <v>0</v>
      </c>
      <c r="BH203" s="150">
        <f>IF(U203="sníž. přenesená",N203,0)</f>
        <v>0</v>
      </c>
      <c r="BI203" s="150">
        <f>IF(U203="nulová",N203,0)</f>
        <v>0</v>
      </c>
      <c r="BJ203" s="21" t="s">
        <v>21</v>
      </c>
      <c r="BK203" s="150">
        <f>ROUND(L203*K203,2)</f>
        <v>0</v>
      </c>
      <c r="BL203" s="21" t="s">
        <v>172</v>
      </c>
      <c r="BM203" s="21" t="s">
        <v>350</v>
      </c>
    </row>
    <row r="204" spans="2:18" s="1" customFormat="1" ht="6.95" customHeight="1"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1"/>
    </row>
  </sheetData>
  <mergeCells count="203">
    <mergeCell ref="H1:K1"/>
    <mergeCell ref="S2:AC2"/>
    <mergeCell ref="N117:Q117"/>
    <mergeCell ref="N118:Q118"/>
    <mergeCell ref="N119:Q119"/>
    <mergeCell ref="N134:Q134"/>
    <mergeCell ref="N163:Q163"/>
    <mergeCell ref="N189:Q189"/>
    <mergeCell ref="N197:Q197"/>
    <mergeCell ref="F186:I186"/>
    <mergeCell ref="L186:M186"/>
    <mergeCell ref="N186:Q186"/>
    <mergeCell ref="F187:I187"/>
    <mergeCell ref="F188:I188"/>
    <mergeCell ref="L188:M188"/>
    <mergeCell ref="N188:Q188"/>
    <mergeCell ref="F190:I190"/>
    <mergeCell ref="L190:M190"/>
    <mergeCell ref="N190:Q190"/>
    <mergeCell ref="F179:I179"/>
    <mergeCell ref="L179:M179"/>
    <mergeCell ref="N179:Q179"/>
    <mergeCell ref="F180:I180"/>
    <mergeCell ref="F181:I181"/>
    <mergeCell ref="F203:I203"/>
    <mergeCell ref="L203:M203"/>
    <mergeCell ref="N203:Q203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L195:M195"/>
    <mergeCell ref="N195:Q195"/>
    <mergeCell ref="N199:Q199"/>
    <mergeCell ref="N202:Q202"/>
    <mergeCell ref="F196:I196"/>
    <mergeCell ref="F198:I198"/>
    <mergeCell ref="L198:M198"/>
    <mergeCell ref="N198:Q198"/>
    <mergeCell ref="F200:I200"/>
    <mergeCell ref="L200:M200"/>
    <mergeCell ref="N200:Q200"/>
    <mergeCell ref="F201:I201"/>
    <mergeCell ref="F182:I182"/>
    <mergeCell ref="F183:I183"/>
    <mergeCell ref="F184:I184"/>
    <mergeCell ref="F185:I185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4:I164"/>
    <mergeCell ref="L164:M164"/>
    <mergeCell ref="N164:Q164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5:I125"/>
    <mergeCell ref="L125:M125"/>
    <mergeCell ref="N125:Q125"/>
    <mergeCell ref="F126:I126"/>
    <mergeCell ref="F127:I127"/>
    <mergeCell ref="F128:I128"/>
    <mergeCell ref="F129:I129"/>
    <mergeCell ref="F130:I130"/>
    <mergeCell ref="L130:M130"/>
    <mergeCell ref="N130:Q130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4:I124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1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86"/>
  <sheetViews>
    <sheetView showGridLines="0" view="pageBreakPreview" zoomScaleSheetLayoutView="100" workbookViewId="0" topLeftCell="A1">
      <pane ySplit="1" topLeftCell="A2" activePane="bottomLeft" state="frozen"/>
      <selection pane="topLeft" activeCell="AE85" sqref="AE84:AE85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92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351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N97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ROUNDUP((SUM(BE97:BE98)+SUM(BE116:BE185)),2)</f>
        <v>0</v>
      </c>
      <c r="I32" s="275"/>
      <c r="J32" s="275"/>
      <c r="K32" s="36"/>
      <c r="L32" s="36"/>
      <c r="M32" s="279">
        <f>ROUNDUP(ROUNDUP((SUM(BE97:BE98)+SUM(BE116:BE185)),2)*F32,1)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ROUNDUP((SUM(BF97:BF98)+SUM(BF116:BF185)),2)</f>
        <v>0</v>
      </c>
      <c r="I33" s="275"/>
      <c r="J33" s="275"/>
      <c r="K33" s="36"/>
      <c r="L33" s="36"/>
      <c r="M33" s="279">
        <f>ROUNDUP(ROUNDUP((SUM(BF97:BF98)+SUM(BF116:BF185)),2)*F33,1)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ROUNDUP((SUM(BG97:BG98)+SUM(BG116:BG185)),2)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ROUNDUP((SUM(BH97:BH98)+SUM(BH116:BH185)),2)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ROUNDUP((SUM(BI97:BI98)+SUM(BI116:BI185)),2)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SO.1.03 - Objekt ČOV - dosazovací nádrže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N116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N117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N118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N137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226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N154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150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N180</f>
        <v>0</v>
      </c>
      <c r="O93" s="288"/>
      <c r="P93" s="288"/>
      <c r="Q93" s="288"/>
      <c r="R93" s="120"/>
    </row>
    <row r="94" spans="2:18" s="7" customFormat="1" ht="19.9" customHeight="1">
      <c r="B94" s="117"/>
      <c r="C94" s="118"/>
      <c r="D94" s="119" t="s">
        <v>228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N182</f>
        <v>0</v>
      </c>
      <c r="O94" s="288"/>
      <c r="P94" s="288"/>
      <c r="Q94" s="288"/>
      <c r="R94" s="120"/>
    </row>
    <row r="95" spans="2:18" s="7" customFormat="1" ht="19.9" customHeight="1">
      <c r="B95" s="117"/>
      <c r="C95" s="118"/>
      <c r="D95" s="119" t="s">
        <v>151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87">
        <f>N184</f>
        <v>0</v>
      </c>
      <c r="O95" s="288"/>
      <c r="P95" s="288"/>
      <c r="Q95" s="288"/>
      <c r="R95" s="120"/>
    </row>
    <row r="96" spans="2:18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21" s="1" customFormat="1" ht="29.25" customHeight="1">
      <c r="B97" s="35"/>
      <c r="C97" s="112" t="s">
        <v>152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84">
        <v>0</v>
      </c>
      <c r="O97" s="289"/>
      <c r="P97" s="289"/>
      <c r="Q97" s="289"/>
      <c r="R97" s="37"/>
      <c r="T97" s="121"/>
      <c r="U97" s="122" t="s">
        <v>42</v>
      </c>
    </row>
    <row r="98" spans="2:18" s="1" customFormat="1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18" s="1" customFormat="1" ht="29.25" customHeight="1">
      <c r="B99" s="35"/>
      <c r="C99" s="103" t="s">
        <v>129</v>
      </c>
      <c r="D99" s="104"/>
      <c r="E99" s="104"/>
      <c r="F99" s="104"/>
      <c r="G99" s="104"/>
      <c r="H99" s="104"/>
      <c r="I99" s="104"/>
      <c r="J99" s="104"/>
      <c r="K99" s="104"/>
      <c r="L99" s="268">
        <f>ROUNDUP(SUM(N88+N97),2)</f>
        <v>0</v>
      </c>
      <c r="M99" s="268"/>
      <c r="N99" s="268"/>
      <c r="O99" s="268"/>
      <c r="P99" s="268"/>
      <c r="Q99" s="268"/>
      <c r="R99" s="37"/>
    </row>
    <row r="100" spans="2:18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18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18" s="1" customFormat="1" ht="36.95" customHeight="1">
      <c r="B105" s="35"/>
      <c r="C105" s="237" t="s">
        <v>153</v>
      </c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37"/>
    </row>
    <row r="106" spans="2:18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18" s="1" customFormat="1" ht="30" customHeight="1">
      <c r="B107" s="35"/>
      <c r="C107" s="32" t="s">
        <v>16</v>
      </c>
      <c r="D107" s="36"/>
      <c r="E107" s="36"/>
      <c r="F107" s="273" t="str">
        <f>F6</f>
        <v>ČOV a splašková kanalizace Žinkovy</v>
      </c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36"/>
      <c r="R107" s="37"/>
    </row>
    <row r="108" spans="2:18" s="1" customFormat="1" ht="36.95" customHeight="1">
      <c r="B108" s="35"/>
      <c r="C108" s="69" t="s">
        <v>137</v>
      </c>
      <c r="D108" s="36"/>
      <c r="E108" s="36"/>
      <c r="F108" s="254" t="str">
        <f>F7</f>
        <v>SO.1.03 - Objekt ČOV - dosazovací nádrže</v>
      </c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8" customHeight="1">
      <c r="B110" s="35"/>
      <c r="C110" s="32" t="s">
        <v>22</v>
      </c>
      <c r="D110" s="36"/>
      <c r="E110" s="36"/>
      <c r="F110" s="30" t="str">
        <f>F9</f>
        <v>Žinkovy</v>
      </c>
      <c r="G110" s="36"/>
      <c r="H110" s="36"/>
      <c r="I110" s="36"/>
      <c r="J110" s="36"/>
      <c r="K110" s="32" t="s">
        <v>24</v>
      </c>
      <c r="L110" s="36"/>
      <c r="M110" s="276">
        <f>IF(O9="","",O9)</f>
        <v>42912</v>
      </c>
      <c r="N110" s="276"/>
      <c r="O110" s="276"/>
      <c r="P110" s="276"/>
      <c r="Q110" s="36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5">
      <c r="B112" s="35"/>
      <c r="C112" s="32" t="s">
        <v>27</v>
      </c>
      <c r="D112" s="36"/>
      <c r="E112" s="36"/>
      <c r="F112" s="30" t="str">
        <f>E12</f>
        <v>Obec Žinkovy</v>
      </c>
      <c r="G112" s="36"/>
      <c r="H112" s="36"/>
      <c r="I112" s="36"/>
      <c r="J112" s="36"/>
      <c r="K112" s="32" t="s">
        <v>33</v>
      </c>
      <c r="L112" s="36"/>
      <c r="M112" s="277" t="str">
        <f>E18</f>
        <v>PIK Vítek s.r.o.</v>
      </c>
      <c r="N112" s="277"/>
      <c r="O112" s="277"/>
      <c r="P112" s="277"/>
      <c r="Q112" s="277"/>
      <c r="R112" s="37"/>
    </row>
    <row r="113" spans="2:18" s="1" customFormat="1" ht="14.45" customHeight="1">
      <c r="B113" s="35"/>
      <c r="C113" s="32" t="s">
        <v>31</v>
      </c>
      <c r="D113" s="36"/>
      <c r="E113" s="36"/>
      <c r="F113" s="30" t="str">
        <f>IF(E15="","",E15)</f>
        <v xml:space="preserve"> </v>
      </c>
      <c r="G113" s="36"/>
      <c r="H113" s="36"/>
      <c r="I113" s="36"/>
      <c r="J113" s="36"/>
      <c r="K113" s="32" t="s">
        <v>36</v>
      </c>
      <c r="L113" s="36"/>
      <c r="M113" s="277" t="str">
        <f>E21</f>
        <v>Acrone s.r.o.</v>
      </c>
      <c r="N113" s="277"/>
      <c r="O113" s="277"/>
      <c r="P113" s="277"/>
      <c r="Q113" s="277"/>
      <c r="R113" s="37"/>
    </row>
    <row r="114" spans="2:18" s="1" customFormat="1" ht="10.3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27" s="8" customFormat="1" ht="29.25" customHeight="1">
      <c r="B115" s="123"/>
      <c r="C115" s="124" t="s">
        <v>154</v>
      </c>
      <c r="D115" s="125" t="s">
        <v>155</v>
      </c>
      <c r="E115" s="125" t="s">
        <v>60</v>
      </c>
      <c r="F115" s="290" t="s">
        <v>156</v>
      </c>
      <c r="G115" s="290"/>
      <c r="H115" s="290"/>
      <c r="I115" s="290"/>
      <c r="J115" s="125" t="s">
        <v>157</v>
      </c>
      <c r="K115" s="125" t="s">
        <v>158</v>
      </c>
      <c r="L115" s="291" t="s">
        <v>159</v>
      </c>
      <c r="M115" s="291"/>
      <c r="N115" s="290" t="s">
        <v>144</v>
      </c>
      <c r="O115" s="290"/>
      <c r="P115" s="290"/>
      <c r="Q115" s="292"/>
      <c r="R115" s="126"/>
      <c r="T115" s="76" t="s">
        <v>160</v>
      </c>
      <c r="U115" s="77" t="s">
        <v>42</v>
      </c>
      <c r="V115" s="77" t="s">
        <v>161</v>
      </c>
      <c r="W115" s="77" t="s">
        <v>162</v>
      </c>
      <c r="X115" s="77" t="s">
        <v>163</v>
      </c>
      <c r="Y115" s="77" t="s">
        <v>164</v>
      </c>
      <c r="Z115" s="77" t="s">
        <v>165</v>
      </c>
      <c r="AA115" s="78" t="s">
        <v>166</v>
      </c>
    </row>
    <row r="116" spans="2:63" s="1" customFormat="1" ht="29.25" customHeight="1">
      <c r="B116" s="35"/>
      <c r="C116" s="80" t="s">
        <v>140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95">
        <f>BK116</f>
        <v>0</v>
      </c>
      <c r="O116" s="296"/>
      <c r="P116" s="296"/>
      <c r="Q116" s="296"/>
      <c r="R116" s="37"/>
      <c r="T116" s="79"/>
      <c r="U116" s="51"/>
      <c r="V116" s="51"/>
      <c r="W116" s="127">
        <f>W117</f>
        <v>946.1328070000001</v>
      </c>
      <c r="X116" s="51"/>
      <c r="Y116" s="127">
        <f>Y117</f>
        <v>137.71620464000003</v>
      </c>
      <c r="Z116" s="51"/>
      <c r="AA116" s="128">
        <f>AA117</f>
        <v>0</v>
      </c>
      <c r="AT116" s="21" t="s">
        <v>77</v>
      </c>
      <c r="AU116" s="21" t="s">
        <v>146</v>
      </c>
      <c r="BK116" s="129">
        <f>BK117</f>
        <v>0</v>
      </c>
    </row>
    <row r="117" spans="2:63" s="9" customFormat="1" ht="37.35" customHeight="1">
      <c r="B117" s="130"/>
      <c r="C117" s="131"/>
      <c r="D117" s="132" t="s">
        <v>147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297">
        <f>BK117</f>
        <v>0</v>
      </c>
      <c r="O117" s="285"/>
      <c r="P117" s="285"/>
      <c r="Q117" s="285"/>
      <c r="R117" s="133"/>
      <c r="T117" s="134"/>
      <c r="U117" s="131"/>
      <c r="V117" s="131"/>
      <c r="W117" s="135">
        <f>W118+W137+W154+W180+W182+W184</f>
        <v>946.1328070000001</v>
      </c>
      <c r="X117" s="131"/>
      <c r="Y117" s="135">
        <f>Y118+Y137+Y154+Y180+Y182+Y184</f>
        <v>137.71620464000003</v>
      </c>
      <c r="Z117" s="131"/>
      <c r="AA117" s="136">
        <f>AA118+AA137+AA154+AA180+AA182+AA184</f>
        <v>0</v>
      </c>
      <c r="AR117" s="137" t="s">
        <v>21</v>
      </c>
      <c r="AT117" s="138" t="s">
        <v>77</v>
      </c>
      <c r="AU117" s="138" t="s">
        <v>78</v>
      </c>
      <c r="AY117" s="137" t="s">
        <v>167</v>
      </c>
      <c r="BK117" s="139">
        <f>BK118+BK137+BK154+BK180+BK182+BK184</f>
        <v>0</v>
      </c>
    </row>
    <row r="118" spans="2:63" s="9" customFormat="1" ht="19.9" customHeight="1">
      <c r="B118" s="130"/>
      <c r="C118" s="131"/>
      <c r="D118" s="140" t="s">
        <v>148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298">
        <f>BK118</f>
        <v>0</v>
      </c>
      <c r="O118" s="299"/>
      <c r="P118" s="299"/>
      <c r="Q118" s="299"/>
      <c r="R118" s="133"/>
      <c r="T118" s="134"/>
      <c r="U118" s="131"/>
      <c r="V118" s="131"/>
      <c r="W118" s="135">
        <f>SUM(W119:W136)</f>
        <v>382.854412</v>
      </c>
      <c r="X118" s="131"/>
      <c r="Y118" s="135">
        <f>SUM(Y119:Y136)</f>
        <v>0</v>
      </c>
      <c r="Z118" s="131"/>
      <c r="AA118" s="136">
        <f>SUM(AA119:AA136)</f>
        <v>0</v>
      </c>
      <c r="AR118" s="137" t="s">
        <v>21</v>
      </c>
      <c r="AT118" s="138" t="s">
        <v>77</v>
      </c>
      <c r="AU118" s="138" t="s">
        <v>21</v>
      </c>
      <c r="AY118" s="137" t="s">
        <v>167</v>
      </c>
      <c r="BK118" s="139">
        <f>SUM(BK119:BK136)</f>
        <v>0</v>
      </c>
    </row>
    <row r="119" spans="2:65" s="1" customFormat="1" ht="22.5" customHeight="1">
      <c r="B119" s="141"/>
      <c r="C119" s="142" t="s">
        <v>21</v>
      </c>
      <c r="D119" s="142" t="s">
        <v>168</v>
      </c>
      <c r="E119" s="143" t="s">
        <v>229</v>
      </c>
      <c r="F119" s="293" t="s">
        <v>352</v>
      </c>
      <c r="G119" s="293"/>
      <c r="H119" s="293"/>
      <c r="I119" s="293"/>
      <c r="J119" s="144" t="s">
        <v>171</v>
      </c>
      <c r="K119" s="145">
        <v>2</v>
      </c>
      <c r="L119" s="294"/>
      <c r="M119" s="294"/>
      <c r="N119" s="294">
        <f>ROUND(L119*K119,2)</f>
        <v>0</v>
      </c>
      <c r="O119" s="294"/>
      <c r="P119" s="294"/>
      <c r="Q119" s="294"/>
      <c r="R119" s="146"/>
      <c r="T119" s="147" t="s">
        <v>5</v>
      </c>
      <c r="U119" s="44" t="s">
        <v>43</v>
      </c>
      <c r="V119" s="148">
        <v>0.2</v>
      </c>
      <c r="W119" s="148">
        <f>V119*K119</f>
        <v>0.4</v>
      </c>
      <c r="X119" s="148">
        <v>0</v>
      </c>
      <c r="Y119" s="148">
        <f>X119*K119</f>
        <v>0</v>
      </c>
      <c r="Z119" s="148">
        <v>0</v>
      </c>
      <c r="AA119" s="149">
        <f>Z119*K119</f>
        <v>0</v>
      </c>
      <c r="AR119" s="21" t="s">
        <v>172</v>
      </c>
      <c r="AT119" s="21" t="s">
        <v>168</v>
      </c>
      <c r="AU119" s="21" t="s">
        <v>135</v>
      </c>
      <c r="AY119" s="21" t="s">
        <v>167</v>
      </c>
      <c r="BE119" s="150">
        <f>IF(U119="základní",N119,0)</f>
        <v>0</v>
      </c>
      <c r="BF119" s="150">
        <f>IF(U119="snížená",N119,0)</f>
        <v>0</v>
      </c>
      <c r="BG119" s="150">
        <f>IF(U119="zákl. přenesená",N119,0)</f>
        <v>0</v>
      </c>
      <c r="BH119" s="150">
        <f>IF(U119="sníž. přenesená",N119,0)</f>
        <v>0</v>
      </c>
      <c r="BI119" s="150">
        <f>IF(U119="nulová",N119,0)</f>
        <v>0</v>
      </c>
      <c r="BJ119" s="21" t="s">
        <v>21</v>
      </c>
      <c r="BK119" s="150">
        <f>ROUND(L119*K119,2)</f>
        <v>0</v>
      </c>
      <c r="BL119" s="21" t="s">
        <v>172</v>
      </c>
      <c r="BM119" s="21" t="s">
        <v>353</v>
      </c>
    </row>
    <row r="120" spans="2:65" s="1" customFormat="1" ht="31.5" customHeight="1">
      <c r="B120" s="141"/>
      <c r="C120" s="142" t="s">
        <v>135</v>
      </c>
      <c r="D120" s="142" t="s">
        <v>168</v>
      </c>
      <c r="E120" s="143" t="s">
        <v>233</v>
      </c>
      <c r="F120" s="293" t="s">
        <v>234</v>
      </c>
      <c r="G120" s="293"/>
      <c r="H120" s="293"/>
      <c r="I120" s="293"/>
      <c r="J120" s="144" t="s">
        <v>235</v>
      </c>
      <c r="K120" s="145">
        <v>900</v>
      </c>
      <c r="L120" s="294"/>
      <c r="M120" s="294"/>
      <c r="N120" s="294">
        <f>ROUND(L120*K120,2)</f>
        <v>0</v>
      </c>
      <c r="O120" s="294"/>
      <c r="P120" s="294"/>
      <c r="Q120" s="294"/>
      <c r="R120" s="146"/>
      <c r="T120" s="147" t="s">
        <v>5</v>
      </c>
      <c r="U120" s="44" t="s">
        <v>43</v>
      </c>
      <c r="V120" s="148">
        <v>0.2</v>
      </c>
      <c r="W120" s="148">
        <f>V120*K120</f>
        <v>180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172</v>
      </c>
      <c r="AT120" s="21" t="s">
        <v>168</v>
      </c>
      <c r="AU120" s="21" t="s">
        <v>135</v>
      </c>
      <c r="AY120" s="21" t="s">
        <v>167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21</v>
      </c>
      <c r="BK120" s="150">
        <f>ROUND(L120*K120,2)</f>
        <v>0</v>
      </c>
      <c r="BL120" s="21" t="s">
        <v>172</v>
      </c>
      <c r="BM120" s="21" t="s">
        <v>236</v>
      </c>
    </row>
    <row r="121" spans="2:51" s="11" customFormat="1" ht="22.5" customHeight="1">
      <c r="B121" s="159"/>
      <c r="C121" s="160"/>
      <c r="D121" s="160"/>
      <c r="E121" s="161" t="s">
        <v>5</v>
      </c>
      <c r="F121" s="308" t="s">
        <v>354</v>
      </c>
      <c r="G121" s="309"/>
      <c r="H121" s="309"/>
      <c r="I121" s="309"/>
      <c r="J121" s="160"/>
      <c r="K121" s="162">
        <v>900</v>
      </c>
      <c r="L121" s="160"/>
      <c r="M121" s="160"/>
      <c r="N121" s="160"/>
      <c r="O121" s="160"/>
      <c r="P121" s="160"/>
      <c r="Q121" s="160"/>
      <c r="R121" s="163"/>
      <c r="T121" s="164"/>
      <c r="U121" s="160"/>
      <c r="V121" s="160"/>
      <c r="W121" s="160"/>
      <c r="X121" s="160"/>
      <c r="Y121" s="160"/>
      <c r="Z121" s="160"/>
      <c r="AA121" s="165"/>
      <c r="AT121" s="166" t="s">
        <v>179</v>
      </c>
      <c r="AU121" s="166" t="s">
        <v>135</v>
      </c>
      <c r="AV121" s="11" t="s">
        <v>135</v>
      </c>
      <c r="AW121" s="11" t="s">
        <v>35</v>
      </c>
      <c r="AX121" s="11" t="s">
        <v>21</v>
      </c>
      <c r="AY121" s="166" t="s">
        <v>167</v>
      </c>
    </row>
    <row r="122" spans="2:65" s="1" customFormat="1" ht="31.5" customHeight="1">
      <c r="B122" s="141"/>
      <c r="C122" s="142" t="s">
        <v>184</v>
      </c>
      <c r="D122" s="142" t="s">
        <v>168</v>
      </c>
      <c r="E122" s="143" t="s">
        <v>239</v>
      </c>
      <c r="F122" s="293" t="s">
        <v>240</v>
      </c>
      <c r="G122" s="293"/>
      <c r="H122" s="293"/>
      <c r="I122" s="293"/>
      <c r="J122" s="144" t="s">
        <v>176</v>
      </c>
      <c r="K122" s="145">
        <v>239.5</v>
      </c>
      <c r="L122" s="294"/>
      <c r="M122" s="294"/>
      <c r="N122" s="294">
        <f>ROUND(L122*K122,2)</f>
        <v>0</v>
      </c>
      <c r="O122" s="294"/>
      <c r="P122" s="294"/>
      <c r="Q122" s="294"/>
      <c r="R122" s="146"/>
      <c r="T122" s="147" t="s">
        <v>5</v>
      </c>
      <c r="U122" s="44" t="s">
        <v>43</v>
      </c>
      <c r="V122" s="148">
        <v>0.467</v>
      </c>
      <c r="W122" s="148">
        <f>V122*K122</f>
        <v>111.8465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172</v>
      </c>
      <c r="AT122" s="21" t="s">
        <v>168</v>
      </c>
      <c r="AU122" s="21" t="s">
        <v>135</v>
      </c>
      <c r="AY122" s="21" t="s">
        <v>167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21</v>
      </c>
      <c r="BK122" s="150">
        <f>ROUND(L122*K122,2)</f>
        <v>0</v>
      </c>
      <c r="BL122" s="21" t="s">
        <v>172</v>
      </c>
      <c r="BM122" s="21" t="s">
        <v>241</v>
      </c>
    </row>
    <row r="123" spans="2:51" s="11" customFormat="1" ht="22.5" customHeight="1">
      <c r="B123" s="159"/>
      <c r="C123" s="160"/>
      <c r="D123" s="160"/>
      <c r="E123" s="161" t="s">
        <v>5</v>
      </c>
      <c r="F123" s="308" t="s">
        <v>355</v>
      </c>
      <c r="G123" s="309"/>
      <c r="H123" s="309"/>
      <c r="I123" s="309"/>
      <c r="J123" s="160"/>
      <c r="K123" s="162">
        <v>48.75</v>
      </c>
      <c r="L123" s="160"/>
      <c r="M123" s="160"/>
      <c r="N123" s="160"/>
      <c r="O123" s="160"/>
      <c r="P123" s="160"/>
      <c r="Q123" s="160"/>
      <c r="R123" s="163"/>
      <c r="T123" s="164"/>
      <c r="U123" s="160"/>
      <c r="V123" s="160"/>
      <c r="W123" s="160"/>
      <c r="X123" s="160"/>
      <c r="Y123" s="160"/>
      <c r="Z123" s="160"/>
      <c r="AA123" s="165"/>
      <c r="AT123" s="166" t="s">
        <v>179</v>
      </c>
      <c r="AU123" s="166" t="s">
        <v>135</v>
      </c>
      <c r="AV123" s="11" t="s">
        <v>135</v>
      </c>
      <c r="AW123" s="11" t="s">
        <v>35</v>
      </c>
      <c r="AX123" s="11" t="s">
        <v>78</v>
      </c>
      <c r="AY123" s="166" t="s">
        <v>167</v>
      </c>
    </row>
    <row r="124" spans="2:51" s="11" customFormat="1" ht="22.5" customHeight="1">
      <c r="B124" s="159"/>
      <c r="C124" s="160"/>
      <c r="D124" s="160"/>
      <c r="E124" s="161" t="s">
        <v>5</v>
      </c>
      <c r="F124" s="302" t="s">
        <v>356</v>
      </c>
      <c r="G124" s="303"/>
      <c r="H124" s="303"/>
      <c r="I124" s="303"/>
      <c r="J124" s="160"/>
      <c r="K124" s="162">
        <v>117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78</v>
      </c>
      <c r="AY124" s="166" t="s">
        <v>167</v>
      </c>
    </row>
    <row r="125" spans="2:51" s="11" customFormat="1" ht="22.5" customHeight="1">
      <c r="B125" s="159"/>
      <c r="C125" s="160"/>
      <c r="D125" s="160"/>
      <c r="E125" s="161" t="s">
        <v>5</v>
      </c>
      <c r="F125" s="302" t="s">
        <v>357</v>
      </c>
      <c r="G125" s="303"/>
      <c r="H125" s="303"/>
      <c r="I125" s="303"/>
      <c r="J125" s="160"/>
      <c r="K125" s="162">
        <v>48.75</v>
      </c>
      <c r="L125" s="160"/>
      <c r="M125" s="160"/>
      <c r="N125" s="160"/>
      <c r="O125" s="160"/>
      <c r="P125" s="160"/>
      <c r="Q125" s="160"/>
      <c r="R125" s="163"/>
      <c r="T125" s="164"/>
      <c r="U125" s="160"/>
      <c r="V125" s="160"/>
      <c r="W125" s="160"/>
      <c r="X125" s="160"/>
      <c r="Y125" s="160"/>
      <c r="Z125" s="160"/>
      <c r="AA125" s="165"/>
      <c r="AT125" s="166" t="s">
        <v>179</v>
      </c>
      <c r="AU125" s="166" t="s">
        <v>135</v>
      </c>
      <c r="AV125" s="11" t="s">
        <v>135</v>
      </c>
      <c r="AW125" s="11" t="s">
        <v>35</v>
      </c>
      <c r="AX125" s="11" t="s">
        <v>78</v>
      </c>
      <c r="AY125" s="166" t="s">
        <v>167</v>
      </c>
    </row>
    <row r="126" spans="2:51" s="11" customFormat="1" ht="22.5" customHeight="1">
      <c r="B126" s="159"/>
      <c r="C126" s="160"/>
      <c r="D126" s="160"/>
      <c r="E126" s="161" t="s">
        <v>5</v>
      </c>
      <c r="F126" s="302" t="s">
        <v>331</v>
      </c>
      <c r="G126" s="303"/>
      <c r="H126" s="303"/>
      <c r="I126" s="303"/>
      <c r="J126" s="160"/>
      <c r="K126" s="162">
        <v>25</v>
      </c>
      <c r="L126" s="160"/>
      <c r="M126" s="160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179</v>
      </c>
      <c r="AU126" s="166" t="s">
        <v>135</v>
      </c>
      <c r="AV126" s="11" t="s">
        <v>135</v>
      </c>
      <c r="AW126" s="11" t="s">
        <v>35</v>
      </c>
      <c r="AX126" s="11" t="s">
        <v>78</v>
      </c>
      <c r="AY126" s="166" t="s">
        <v>167</v>
      </c>
    </row>
    <row r="127" spans="2:51" s="12" customFormat="1" ht="22.5" customHeight="1">
      <c r="B127" s="167"/>
      <c r="C127" s="168"/>
      <c r="D127" s="168"/>
      <c r="E127" s="169" t="s">
        <v>5</v>
      </c>
      <c r="F127" s="306" t="s">
        <v>183</v>
      </c>
      <c r="G127" s="307"/>
      <c r="H127" s="307"/>
      <c r="I127" s="307"/>
      <c r="J127" s="168"/>
      <c r="K127" s="170">
        <v>239.5</v>
      </c>
      <c r="L127" s="168"/>
      <c r="M127" s="168"/>
      <c r="N127" s="168"/>
      <c r="O127" s="168"/>
      <c r="P127" s="168"/>
      <c r="Q127" s="168"/>
      <c r="R127" s="171"/>
      <c r="T127" s="172"/>
      <c r="U127" s="168"/>
      <c r="V127" s="168"/>
      <c r="W127" s="168"/>
      <c r="X127" s="168"/>
      <c r="Y127" s="168"/>
      <c r="Z127" s="168"/>
      <c r="AA127" s="173"/>
      <c r="AT127" s="174" t="s">
        <v>179</v>
      </c>
      <c r="AU127" s="174" t="s">
        <v>135</v>
      </c>
      <c r="AV127" s="12" t="s">
        <v>172</v>
      </c>
      <c r="AW127" s="12" t="s">
        <v>35</v>
      </c>
      <c r="AX127" s="12" t="s">
        <v>21</v>
      </c>
      <c r="AY127" s="174" t="s">
        <v>167</v>
      </c>
    </row>
    <row r="128" spans="2:65" s="1" customFormat="1" ht="31.5" customHeight="1">
      <c r="B128" s="141"/>
      <c r="C128" s="142" t="s">
        <v>172</v>
      </c>
      <c r="D128" s="142" t="s">
        <v>168</v>
      </c>
      <c r="E128" s="143" t="s">
        <v>245</v>
      </c>
      <c r="F128" s="293" t="s">
        <v>246</v>
      </c>
      <c r="G128" s="293"/>
      <c r="H128" s="293"/>
      <c r="I128" s="293"/>
      <c r="J128" s="144" t="s">
        <v>176</v>
      </c>
      <c r="K128" s="145">
        <v>239.5</v>
      </c>
      <c r="L128" s="294"/>
      <c r="M128" s="294"/>
      <c r="N128" s="294">
        <f>ROUND(L128*K128,2)</f>
        <v>0</v>
      </c>
      <c r="O128" s="294"/>
      <c r="P128" s="294"/>
      <c r="Q128" s="294"/>
      <c r="R128" s="146"/>
      <c r="T128" s="147" t="s">
        <v>5</v>
      </c>
      <c r="U128" s="44" t="s">
        <v>43</v>
      </c>
      <c r="V128" s="148">
        <v>0.04</v>
      </c>
      <c r="W128" s="148">
        <f>V128*K128</f>
        <v>9.58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172</v>
      </c>
      <c r="AT128" s="21" t="s">
        <v>168</v>
      </c>
      <c r="AU128" s="21" t="s">
        <v>135</v>
      </c>
      <c r="AY128" s="21" t="s">
        <v>167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21</v>
      </c>
      <c r="BK128" s="150">
        <f>ROUND(L128*K128,2)</f>
        <v>0</v>
      </c>
      <c r="BL128" s="21" t="s">
        <v>172</v>
      </c>
      <c r="BM128" s="21" t="s">
        <v>247</v>
      </c>
    </row>
    <row r="129" spans="2:65" s="1" customFormat="1" ht="31.5" customHeight="1">
      <c r="B129" s="141"/>
      <c r="C129" s="142" t="s">
        <v>196</v>
      </c>
      <c r="D129" s="142" t="s">
        <v>168</v>
      </c>
      <c r="E129" s="143" t="s">
        <v>248</v>
      </c>
      <c r="F129" s="293" t="s">
        <v>249</v>
      </c>
      <c r="G129" s="293"/>
      <c r="H129" s="293"/>
      <c r="I129" s="293"/>
      <c r="J129" s="144" t="s">
        <v>176</v>
      </c>
      <c r="K129" s="145">
        <v>239.5</v>
      </c>
      <c r="L129" s="294"/>
      <c r="M129" s="294"/>
      <c r="N129" s="294">
        <f>ROUND(L129*K129,2)</f>
        <v>0</v>
      </c>
      <c r="O129" s="294"/>
      <c r="P129" s="294"/>
      <c r="Q129" s="294"/>
      <c r="R129" s="146"/>
      <c r="T129" s="147" t="s">
        <v>5</v>
      </c>
      <c r="U129" s="44" t="s">
        <v>43</v>
      </c>
      <c r="V129" s="148">
        <v>0.097</v>
      </c>
      <c r="W129" s="148">
        <f>V129*K129</f>
        <v>23.2315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172</v>
      </c>
      <c r="AT129" s="21" t="s">
        <v>168</v>
      </c>
      <c r="AU129" s="21" t="s">
        <v>135</v>
      </c>
      <c r="AY129" s="21" t="s">
        <v>167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21</v>
      </c>
      <c r="BK129" s="150">
        <f>ROUND(L129*K129,2)</f>
        <v>0</v>
      </c>
      <c r="BL129" s="21" t="s">
        <v>172</v>
      </c>
      <c r="BM129" s="21" t="s">
        <v>250</v>
      </c>
    </row>
    <row r="130" spans="2:65" s="1" customFormat="1" ht="44.25" customHeight="1">
      <c r="B130" s="141"/>
      <c r="C130" s="142" t="s">
        <v>203</v>
      </c>
      <c r="D130" s="142" t="s">
        <v>168</v>
      </c>
      <c r="E130" s="143" t="s">
        <v>251</v>
      </c>
      <c r="F130" s="293" t="s">
        <v>252</v>
      </c>
      <c r="G130" s="293"/>
      <c r="H130" s="293"/>
      <c r="I130" s="293"/>
      <c r="J130" s="144" t="s">
        <v>176</v>
      </c>
      <c r="K130" s="145">
        <v>239.5</v>
      </c>
      <c r="L130" s="294"/>
      <c r="M130" s="294"/>
      <c r="N130" s="294">
        <f>ROUND(L130*K130,2)</f>
        <v>0</v>
      </c>
      <c r="O130" s="294"/>
      <c r="P130" s="294"/>
      <c r="Q130" s="294"/>
      <c r="R130" s="146"/>
      <c r="T130" s="147" t="s">
        <v>5</v>
      </c>
      <c r="U130" s="44" t="s">
        <v>43</v>
      </c>
      <c r="V130" s="148">
        <v>0.011</v>
      </c>
      <c r="W130" s="148">
        <f>V130*K130</f>
        <v>2.6345</v>
      </c>
      <c r="X130" s="148">
        <v>0</v>
      </c>
      <c r="Y130" s="148">
        <f>X130*K130</f>
        <v>0</v>
      </c>
      <c r="Z130" s="148">
        <v>0</v>
      </c>
      <c r="AA130" s="149">
        <f>Z130*K130</f>
        <v>0</v>
      </c>
      <c r="AR130" s="21" t="s">
        <v>172</v>
      </c>
      <c r="AT130" s="21" t="s">
        <v>168</v>
      </c>
      <c r="AU130" s="21" t="s">
        <v>135</v>
      </c>
      <c r="AY130" s="21" t="s">
        <v>167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21</v>
      </c>
      <c r="BK130" s="150">
        <f>ROUND(L130*K130,2)</f>
        <v>0</v>
      </c>
      <c r="BL130" s="21" t="s">
        <v>172</v>
      </c>
      <c r="BM130" s="21" t="s">
        <v>253</v>
      </c>
    </row>
    <row r="131" spans="2:65" s="1" customFormat="1" ht="22.5" customHeight="1">
      <c r="B131" s="141"/>
      <c r="C131" s="142" t="s">
        <v>207</v>
      </c>
      <c r="D131" s="142" t="s">
        <v>168</v>
      </c>
      <c r="E131" s="143" t="s">
        <v>254</v>
      </c>
      <c r="F131" s="293" t="s">
        <v>358</v>
      </c>
      <c r="G131" s="293"/>
      <c r="H131" s="293"/>
      <c r="I131" s="293"/>
      <c r="J131" s="144" t="s">
        <v>176</v>
      </c>
      <c r="K131" s="145">
        <v>184.488</v>
      </c>
      <c r="L131" s="294"/>
      <c r="M131" s="294"/>
      <c r="N131" s="294">
        <f>ROUND(L131*K131,2)</f>
        <v>0</v>
      </c>
      <c r="O131" s="294"/>
      <c r="P131" s="294"/>
      <c r="Q131" s="294"/>
      <c r="R131" s="146"/>
      <c r="T131" s="147" t="s">
        <v>5</v>
      </c>
      <c r="U131" s="44" t="s">
        <v>43</v>
      </c>
      <c r="V131" s="148">
        <v>0.299</v>
      </c>
      <c r="W131" s="148">
        <f>V131*K131</f>
        <v>55.161912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21" t="s">
        <v>172</v>
      </c>
      <c r="AT131" s="21" t="s">
        <v>168</v>
      </c>
      <c r="AU131" s="21" t="s">
        <v>135</v>
      </c>
      <c r="AY131" s="21" t="s">
        <v>167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21</v>
      </c>
      <c r="BK131" s="150">
        <f>ROUND(L131*K131,2)</f>
        <v>0</v>
      </c>
      <c r="BL131" s="21" t="s">
        <v>172</v>
      </c>
      <c r="BM131" s="21" t="s">
        <v>256</v>
      </c>
    </row>
    <row r="132" spans="2:51" s="10" customFormat="1" ht="22.5" customHeight="1">
      <c r="B132" s="151"/>
      <c r="C132" s="152"/>
      <c r="D132" s="152"/>
      <c r="E132" s="153" t="s">
        <v>5</v>
      </c>
      <c r="F132" s="300" t="s">
        <v>359</v>
      </c>
      <c r="G132" s="301"/>
      <c r="H132" s="301"/>
      <c r="I132" s="301"/>
      <c r="J132" s="152"/>
      <c r="K132" s="154" t="s">
        <v>5</v>
      </c>
      <c r="L132" s="152"/>
      <c r="M132" s="152"/>
      <c r="N132" s="152"/>
      <c r="O132" s="152"/>
      <c r="P132" s="152"/>
      <c r="Q132" s="152"/>
      <c r="R132" s="155"/>
      <c r="T132" s="156"/>
      <c r="U132" s="152"/>
      <c r="V132" s="152"/>
      <c r="W132" s="152"/>
      <c r="X132" s="152"/>
      <c r="Y132" s="152"/>
      <c r="Z132" s="152"/>
      <c r="AA132" s="157"/>
      <c r="AT132" s="158" t="s">
        <v>179</v>
      </c>
      <c r="AU132" s="158" t="s">
        <v>135</v>
      </c>
      <c r="AV132" s="10" t="s">
        <v>21</v>
      </c>
      <c r="AW132" s="10" t="s">
        <v>35</v>
      </c>
      <c r="AX132" s="10" t="s">
        <v>78</v>
      </c>
      <c r="AY132" s="158" t="s">
        <v>167</v>
      </c>
    </row>
    <row r="133" spans="2:51" s="11" customFormat="1" ht="22.5" customHeight="1">
      <c r="B133" s="159"/>
      <c r="C133" s="160"/>
      <c r="D133" s="160"/>
      <c r="E133" s="161" t="s">
        <v>5</v>
      </c>
      <c r="F133" s="302" t="s">
        <v>360</v>
      </c>
      <c r="G133" s="303"/>
      <c r="H133" s="303"/>
      <c r="I133" s="303"/>
      <c r="J133" s="160"/>
      <c r="K133" s="162">
        <v>239.5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179</v>
      </c>
      <c r="AU133" s="166" t="s">
        <v>135</v>
      </c>
      <c r="AV133" s="11" t="s">
        <v>135</v>
      </c>
      <c r="AW133" s="11" t="s">
        <v>35</v>
      </c>
      <c r="AX133" s="11" t="s">
        <v>78</v>
      </c>
      <c r="AY133" s="166" t="s">
        <v>167</v>
      </c>
    </row>
    <row r="134" spans="2:51" s="10" customFormat="1" ht="22.5" customHeight="1">
      <c r="B134" s="151"/>
      <c r="C134" s="152"/>
      <c r="D134" s="152"/>
      <c r="E134" s="153" t="s">
        <v>5</v>
      </c>
      <c r="F134" s="304" t="s">
        <v>361</v>
      </c>
      <c r="G134" s="305"/>
      <c r="H134" s="305"/>
      <c r="I134" s="305"/>
      <c r="J134" s="152"/>
      <c r="K134" s="154" t="s">
        <v>5</v>
      </c>
      <c r="L134" s="152"/>
      <c r="M134" s="152"/>
      <c r="N134" s="152"/>
      <c r="O134" s="152"/>
      <c r="P134" s="152"/>
      <c r="Q134" s="152"/>
      <c r="R134" s="155"/>
      <c r="T134" s="156"/>
      <c r="U134" s="152"/>
      <c r="V134" s="152"/>
      <c r="W134" s="152"/>
      <c r="X134" s="152"/>
      <c r="Y134" s="152"/>
      <c r="Z134" s="152"/>
      <c r="AA134" s="157"/>
      <c r="AT134" s="158" t="s">
        <v>179</v>
      </c>
      <c r="AU134" s="158" t="s">
        <v>135</v>
      </c>
      <c r="AV134" s="10" t="s">
        <v>21</v>
      </c>
      <c r="AW134" s="10" t="s">
        <v>35</v>
      </c>
      <c r="AX134" s="10" t="s">
        <v>78</v>
      </c>
      <c r="AY134" s="158" t="s">
        <v>167</v>
      </c>
    </row>
    <row r="135" spans="2:51" s="11" customFormat="1" ht="22.5" customHeight="1">
      <c r="B135" s="159"/>
      <c r="C135" s="160"/>
      <c r="D135" s="160"/>
      <c r="E135" s="161" t="s">
        <v>5</v>
      </c>
      <c r="F135" s="302" t="s">
        <v>362</v>
      </c>
      <c r="G135" s="303"/>
      <c r="H135" s="303"/>
      <c r="I135" s="303"/>
      <c r="J135" s="160"/>
      <c r="K135" s="162">
        <v>-55.012</v>
      </c>
      <c r="L135" s="160"/>
      <c r="M135" s="160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179</v>
      </c>
      <c r="AU135" s="166" t="s">
        <v>135</v>
      </c>
      <c r="AV135" s="11" t="s">
        <v>135</v>
      </c>
      <c r="AW135" s="11" t="s">
        <v>35</v>
      </c>
      <c r="AX135" s="11" t="s">
        <v>78</v>
      </c>
      <c r="AY135" s="166" t="s">
        <v>167</v>
      </c>
    </row>
    <row r="136" spans="2:51" s="12" customFormat="1" ht="22.5" customHeight="1">
      <c r="B136" s="167"/>
      <c r="C136" s="168"/>
      <c r="D136" s="168"/>
      <c r="E136" s="169" t="s">
        <v>5</v>
      </c>
      <c r="F136" s="306" t="s">
        <v>183</v>
      </c>
      <c r="G136" s="307"/>
      <c r="H136" s="307"/>
      <c r="I136" s="307"/>
      <c r="J136" s="168"/>
      <c r="K136" s="170">
        <v>184.488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179</v>
      </c>
      <c r="AU136" s="174" t="s">
        <v>135</v>
      </c>
      <c r="AV136" s="12" t="s">
        <v>172</v>
      </c>
      <c r="AW136" s="12" t="s">
        <v>35</v>
      </c>
      <c r="AX136" s="12" t="s">
        <v>21</v>
      </c>
      <c r="AY136" s="174" t="s">
        <v>167</v>
      </c>
    </row>
    <row r="137" spans="2:63" s="9" customFormat="1" ht="29.85" customHeight="1">
      <c r="B137" s="130"/>
      <c r="C137" s="131"/>
      <c r="D137" s="140" t="s">
        <v>149</v>
      </c>
      <c r="E137" s="140"/>
      <c r="F137" s="140"/>
      <c r="G137" s="140"/>
      <c r="H137" s="140"/>
      <c r="I137" s="140"/>
      <c r="J137" s="140"/>
      <c r="K137" s="140"/>
      <c r="L137" s="140"/>
      <c r="M137" s="140"/>
      <c r="N137" s="298">
        <f>BK137</f>
        <v>0</v>
      </c>
      <c r="O137" s="299"/>
      <c r="P137" s="299"/>
      <c r="Q137" s="299"/>
      <c r="R137" s="133"/>
      <c r="T137" s="134"/>
      <c r="U137" s="131"/>
      <c r="V137" s="131"/>
      <c r="W137" s="135">
        <f>SUM(W138:W153)</f>
        <v>17.766852000000004</v>
      </c>
      <c r="X137" s="131"/>
      <c r="Y137" s="135">
        <f>SUM(Y138:Y153)</f>
        <v>22.558179420000005</v>
      </c>
      <c r="Z137" s="131"/>
      <c r="AA137" s="136">
        <f>SUM(AA138:AA153)</f>
        <v>0</v>
      </c>
      <c r="AR137" s="137" t="s">
        <v>21</v>
      </c>
      <c r="AT137" s="138" t="s">
        <v>77</v>
      </c>
      <c r="AU137" s="138" t="s">
        <v>21</v>
      </c>
      <c r="AY137" s="137" t="s">
        <v>167</v>
      </c>
      <c r="BK137" s="139">
        <f>SUM(BK138:BK153)</f>
        <v>0</v>
      </c>
    </row>
    <row r="138" spans="2:65" s="1" customFormat="1" ht="31.5" customHeight="1">
      <c r="B138" s="141"/>
      <c r="C138" s="142" t="s">
        <v>213</v>
      </c>
      <c r="D138" s="142" t="s">
        <v>168</v>
      </c>
      <c r="E138" s="143" t="s">
        <v>257</v>
      </c>
      <c r="F138" s="293" t="s">
        <v>258</v>
      </c>
      <c r="G138" s="293"/>
      <c r="H138" s="293"/>
      <c r="I138" s="293"/>
      <c r="J138" s="144" t="s">
        <v>259</v>
      </c>
      <c r="K138" s="145">
        <v>25</v>
      </c>
      <c r="L138" s="294"/>
      <c r="M138" s="294"/>
      <c r="N138" s="294">
        <f>ROUND(L138*K138,2)</f>
        <v>0</v>
      </c>
      <c r="O138" s="294"/>
      <c r="P138" s="294"/>
      <c r="Q138" s="294"/>
      <c r="R138" s="146"/>
      <c r="T138" s="147" t="s">
        <v>5</v>
      </c>
      <c r="U138" s="44" t="s">
        <v>43</v>
      </c>
      <c r="V138" s="148">
        <v>0.238</v>
      </c>
      <c r="W138" s="148">
        <f>V138*K138</f>
        <v>5.949999999999999</v>
      </c>
      <c r="X138" s="148">
        <v>0.24642</v>
      </c>
      <c r="Y138" s="148">
        <f>X138*K138</f>
        <v>6.1605</v>
      </c>
      <c r="Z138" s="148">
        <v>0</v>
      </c>
      <c r="AA138" s="149">
        <f>Z138*K138</f>
        <v>0</v>
      </c>
      <c r="AR138" s="21" t="s">
        <v>172</v>
      </c>
      <c r="AT138" s="21" t="s">
        <v>168</v>
      </c>
      <c r="AU138" s="21" t="s">
        <v>135</v>
      </c>
      <c r="AY138" s="21" t="s">
        <v>167</v>
      </c>
      <c r="BE138" s="150">
        <f>IF(U138="základní",N138,0)</f>
        <v>0</v>
      </c>
      <c r="BF138" s="150">
        <f>IF(U138="snížená",N138,0)</f>
        <v>0</v>
      </c>
      <c r="BG138" s="150">
        <f>IF(U138="zákl. přenesená",N138,0)</f>
        <v>0</v>
      </c>
      <c r="BH138" s="150">
        <f>IF(U138="sníž. přenesená",N138,0)</f>
        <v>0</v>
      </c>
      <c r="BI138" s="150">
        <f>IF(U138="nulová",N138,0)</f>
        <v>0</v>
      </c>
      <c r="BJ138" s="21" t="s">
        <v>21</v>
      </c>
      <c r="BK138" s="150">
        <f>ROUND(L138*K138,2)</f>
        <v>0</v>
      </c>
      <c r="BL138" s="21" t="s">
        <v>172</v>
      </c>
      <c r="BM138" s="21" t="s">
        <v>260</v>
      </c>
    </row>
    <row r="139" spans="2:51" s="11" customFormat="1" ht="22.5" customHeight="1">
      <c r="B139" s="159"/>
      <c r="C139" s="160"/>
      <c r="D139" s="160"/>
      <c r="E139" s="161" t="s">
        <v>5</v>
      </c>
      <c r="F139" s="308" t="s">
        <v>331</v>
      </c>
      <c r="G139" s="309"/>
      <c r="H139" s="309"/>
      <c r="I139" s="309"/>
      <c r="J139" s="160"/>
      <c r="K139" s="162">
        <v>25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179</v>
      </c>
      <c r="AU139" s="166" t="s">
        <v>135</v>
      </c>
      <c r="AV139" s="11" t="s">
        <v>135</v>
      </c>
      <c r="AW139" s="11" t="s">
        <v>35</v>
      </c>
      <c r="AX139" s="11" t="s">
        <v>21</v>
      </c>
      <c r="AY139" s="166" t="s">
        <v>167</v>
      </c>
    </row>
    <row r="140" spans="2:65" s="1" customFormat="1" ht="31.5" customHeight="1">
      <c r="B140" s="141"/>
      <c r="C140" s="142" t="s">
        <v>218</v>
      </c>
      <c r="D140" s="142" t="s">
        <v>168</v>
      </c>
      <c r="E140" s="143" t="s">
        <v>262</v>
      </c>
      <c r="F140" s="293" t="s">
        <v>263</v>
      </c>
      <c r="G140" s="293"/>
      <c r="H140" s="293"/>
      <c r="I140" s="293"/>
      <c r="J140" s="144" t="s">
        <v>199</v>
      </c>
      <c r="K140" s="145">
        <v>16.5</v>
      </c>
      <c r="L140" s="294"/>
      <c r="M140" s="294"/>
      <c r="N140" s="294">
        <f>ROUND(L140*K140,2)</f>
        <v>0</v>
      </c>
      <c r="O140" s="294"/>
      <c r="P140" s="294"/>
      <c r="Q140" s="294"/>
      <c r="R140" s="146"/>
      <c r="T140" s="147" t="s">
        <v>5</v>
      </c>
      <c r="U140" s="44" t="s">
        <v>43</v>
      </c>
      <c r="V140" s="148">
        <v>0.08</v>
      </c>
      <c r="W140" s="148">
        <f>V140*K140</f>
        <v>1.32</v>
      </c>
      <c r="X140" s="148">
        <v>0.00047</v>
      </c>
      <c r="Y140" s="148">
        <f>X140*K140</f>
        <v>0.007755</v>
      </c>
      <c r="Z140" s="148">
        <v>0</v>
      </c>
      <c r="AA140" s="149">
        <f>Z140*K140</f>
        <v>0</v>
      </c>
      <c r="AR140" s="21" t="s">
        <v>172</v>
      </c>
      <c r="AT140" s="21" t="s">
        <v>168</v>
      </c>
      <c r="AU140" s="21" t="s">
        <v>135</v>
      </c>
      <c r="AY140" s="21" t="s">
        <v>167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21" t="s">
        <v>21</v>
      </c>
      <c r="BK140" s="150">
        <f>ROUND(L140*K140,2)</f>
        <v>0</v>
      </c>
      <c r="BL140" s="21" t="s">
        <v>172</v>
      </c>
      <c r="BM140" s="21" t="s">
        <v>264</v>
      </c>
    </row>
    <row r="141" spans="2:51" s="11" customFormat="1" ht="22.5" customHeight="1">
      <c r="B141" s="159"/>
      <c r="C141" s="160"/>
      <c r="D141" s="160"/>
      <c r="E141" s="161" t="s">
        <v>5</v>
      </c>
      <c r="F141" s="308" t="s">
        <v>363</v>
      </c>
      <c r="G141" s="309"/>
      <c r="H141" s="309"/>
      <c r="I141" s="309"/>
      <c r="J141" s="160"/>
      <c r="K141" s="162">
        <v>16.5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179</v>
      </c>
      <c r="AU141" s="166" t="s">
        <v>135</v>
      </c>
      <c r="AV141" s="11" t="s">
        <v>135</v>
      </c>
      <c r="AW141" s="11" t="s">
        <v>35</v>
      </c>
      <c r="AX141" s="11" t="s">
        <v>21</v>
      </c>
      <c r="AY141" s="166" t="s">
        <v>167</v>
      </c>
    </row>
    <row r="142" spans="2:65" s="1" customFormat="1" ht="22.5" customHeight="1">
      <c r="B142" s="141"/>
      <c r="C142" s="142" t="s">
        <v>25</v>
      </c>
      <c r="D142" s="142" t="s">
        <v>168</v>
      </c>
      <c r="E142" s="143" t="s">
        <v>174</v>
      </c>
      <c r="F142" s="293" t="s">
        <v>175</v>
      </c>
      <c r="G142" s="293"/>
      <c r="H142" s="293"/>
      <c r="I142" s="293"/>
      <c r="J142" s="144" t="s">
        <v>176</v>
      </c>
      <c r="K142" s="145">
        <v>7.5</v>
      </c>
      <c r="L142" s="294"/>
      <c r="M142" s="294"/>
      <c r="N142" s="294">
        <f>ROUND(L142*K142,2)</f>
        <v>0</v>
      </c>
      <c r="O142" s="294"/>
      <c r="P142" s="294"/>
      <c r="Q142" s="294"/>
      <c r="R142" s="146"/>
      <c r="T142" s="147" t="s">
        <v>5</v>
      </c>
      <c r="U142" s="44" t="s">
        <v>43</v>
      </c>
      <c r="V142" s="148">
        <v>1.03</v>
      </c>
      <c r="W142" s="148">
        <f>V142*K142</f>
        <v>7.7250000000000005</v>
      </c>
      <c r="X142" s="148">
        <v>2.0875</v>
      </c>
      <c r="Y142" s="148">
        <f>X142*K142</f>
        <v>15.65625</v>
      </c>
      <c r="Z142" s="148">
        <v>0</v>
      </c>
      <c r="AA142" s="149">
        <f>Z142*K142</f>
        <v>0</v>
      </c>
      <c r="AR142" s="21" t="s">
        <v>172</v>
      </c>
      <c r="AT142" s="21" t="s">
        <v>168</v>
      </c>
      <c r="AU142" s="21" t="s">
        <v>135</v>
      </c>
      <c r="AY142" s="21" t="s">
        <v>167</v>
      </c>
      <c r="BE142" s="150">
        <f>IF(U142="základní",N142,0)</f>
        <v>0</v>
      </c>
      <c r="BF142" s="150">
        <f>IF(U142="snížená",N142,0)</f>
        <v>0</v>
      </c>
      <c r="BG142" s="150">
        <f>IF(U142="zákl. přenesená",N142,0)</f>
        <v>0</v>
      </c>
      <c r="BH142" s="150">
        <f>IF(U142="sníž. přenesená",N142,0)</f>
        <v>0</v>
      </c>
      <c r="BI142" s="150">
        <f>IF(U142="nulová",N142,0)</f>
        <v>0</v>
      </c>
      <c r="BJ142" s="21" t="s">
        <v>21</v>
      </c>
      <c r="BK142" s="150">
        <f>ROUND(L142*K142,2)</f>
        <v>0</v>
      </c>
      <c r="BL142" s="21" t="s">
        <v>172</v>
      </c>
      <c r="BM142" s="21" t="s">
        <v>177</v>
      </c>
    </row>
    <row r="143" spans="2:51" s="11" customFormat="1" ht="22.5" customHeight="1">
      <c r="B143" s="159"/>
      <c r="C143" s="160"/>
      <c r="D143" s="160"/>
      <c r="E143" s="161" t="s">
        <v>5</v>
      </c>
      <c r="F143" s="308" t="s">
        <v>364</v>
      </c>
      <c r="G143" s="309"/>
      <c r="H143" s="309"/>
      <c r="I143" s="309"/>
      <c r="J143" s="160"/>
      <c r="K143" s="162">
        <v>7.5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179</v>
      </c>
      <c r="AU143" s="166" t="s">
        <v>135</v>
      </c>
      <c r="AV143" s="11" t="s">
        <v>135</v>
      </c>
      <c r="AW143" s="11" t="s">
        <v>35</v>
      </c>
      <c r="AX143" s="11" t="s">
        <v>21</v>
      </c>
      <c r="AY143" s="166" t="s">
        <v>167</v>
      </c>
    </row>
    <row r="144" spans="2:65" s="1" customFormat="1" ht="22.5" customHeight="1">
      <c r="B144" s="141"/>
      <c r="C144" s="142" t="s">
        <v>270</v>
      </c>
      <c r="D144" s="142" t="s">
        <v>168</v>
      </c>
      <c r="E144" s="143" t="s">
        <v>185</v>
      </c>
      <c r="F144" s="293" t="s">
        <v>186</v>
      </c>
      <c r="G144" s="293"/>
      <c r="H144" s="293"/>
      <c r="I144" s="293"/>
      <c r="J144" s="144" t="s">
        <v>176</v>
      </c>
      <c r="K144" s="145">
        <v>1.5</v>
      </c>
      <c r="L144" s="294"/>
      <c r="M144" s="294"/>
      <c r="N144" s="294">
        <f>ROUND(L144*K144,2)</f>
        <v>0</v>
      </c>
      <c r="O144" s="294"/>
      <c r="P144" s="294"/>
      <c r="Q144" s="294"/>
      <c r="R144" s="146"/>
      <c r="T144" s="147" t="s">
        <v>5</v>
      </c>
      <c r="U144" s="44" t="s">
        <v>43</v>
      </c>
      <c r="V144" s="148">
        <v>0.266</v>
      </c>
      <c r="W144" s="148">
        <f>V144*K144</f>
        <v>0.399</v>
      </c>
      <c r="X144" s="148">
        <v>0</v>
      </c>
      <c r="Y144" s="148">
        <f>X144*K144</f>
        <v>0</v>
      </c>
      <c r="Z144" s="148">
        <v>0</v>
      </c>
      <c r="AA144" s="149">
        <f>Z144*K144</f>
        <v>0</v>
      </c>
      <c r="AR144" s="21" t="s">
        <v>172</v>
      </c>
      <c r="AT144" s="21" t="s">
        <v>168</v>
      </c>
      <c r="AU144" s="21" t="s">
        <v>135</v>
      </c>
      <c r="AY144" s="21" t="s">
        <v>167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21</v>
      </c>
      <c r="BK144" s="150">
        <f>ROUND(L144*K144,2)</f>
        <v>0</v>
      </c>
      <c r="BL144" s="21" t="s">
        <v>172</v>
      </c>
      <c r="BM144" s="21" t="s">
        <v>187</v>
      </c>
    </row>
    <row r="145" spans="2:51" s="11" customFormat="1" ht="22.5" customHeight="1">
      <c r="B145" s="159"/>
      <c r="C145" s="160"/>
      <c r="D145" s="160"/>
      <c r="E145" s="161" t="s">
        <v>5</v>
      </c>
      <c r="F145" s="308" t="s">
        <v>365</v>
      </c>
      <c r="G145" s="309"/>
      <c r="H145" s="309"/>
      <c r="I145" s="309"/>
      <c r="J145" s="160"/>
      <c r="K145" s="162">
        <v>1.5</v>
      </c>
      <c r="L145" s="160"/>
      <c r="M145" s="160"/>
      <c r="N145" s="160"/>
      <c r="O145" s="160"/>
      <c r="P145" s="160"/>
      <c r="Q145" s="160"/>
      <c r="R145" s="163"/>
      <c r="T145" s="164"/>
      <c r="U145" s="160"/>
      <c r="V145" s="160"/>
      <c r="W145" s="160"/>
      <c r="X145" s="160"/>
      <c r="Y145" s="160"/>
      <c r="Z145" s="160"/>
      <c r="AA145" s="165"/>
      <c r="AT145" s="166" t="s">
        <v>179</v>
      </c>
      <c r="AU145" s="166" t="s">
        <v>135</v>
      </c>
      <c r="AV145" s="11" t="s">
        <v>135</v>
      </c>
      <c r="AW145" s="11" t="s">
        <v>35</v>
      </c>
      <c r="AX145" s="11" t="s">
        <v>21</v>
      </c>
      <c r="AY145" s="166" t="s">
        <v>167</v>
      </c>
    </row>
    <row r="146" spans="2:65" s="1" customFormat="1" ht="31.5" customHeight="1">
      <c r="B146" s="141"/>
      <c r="C146" s="142" t="s">
        <v>273</v>
      </c>
      <c r="D146" s="142" t="s">
        <v>168</v>
      </c>
      <c r="E146" s="143" t="s">
        <v>189</v>
      </c>
      <c r="F146" s="293" t="s">
        <v>274</v>
      </c>
      <c r="G146" s="293"/>
      <c r="H146" s="293"/>
      <c r="I146" s="293"/>
      <c r="J146" s="144" t="s">
        <v>176</v>
      </c>
      <c r="K146" s="145">
        <v>0.281</v>
      </c>
      <c r="L146" s="294"/>
      <c r="M146" s="294"/>
      <c r="N146" s="294">
        <f>ROUND(L146*K146,2)</f>
        <v>0</v>
      </c>
      <c r="O146" s="294"/>
      <c r="P146" s="294"/>
      <c r="Q146" s="294"/>
      <c r="R146" s="146"/>
      <c r="T146" s="147" t="s">
        <v>5</v>
      </c>
      <c r="U146" s="44" t="s">
        <v>43</v>
      </c>
      <c r="V146" s="148">
        <v>1.052</v>
      </c>
      <c r="W146" s="148">
        <f>V146*K146</f>
        <v>0.29561200000000004</v>
      </c>
      <c r="X146" s="148">
        <v>2.55178</v>
      </c>
      <c r="Y146" s="148">
        <f>X146*K146</f>
        <v>0.7170501800000001</v>
      </c>
      <c r="Z146" s="148">
        <v>0</v>
      </c>
      <c r="AA146" s="149">
        <f>Z146*K146</f>
        <v>0</v>
      </c>
      <c r="AR146" s="21" t="s">
        <v>172</v>
      </c>
      <c r="AT146" s="21" t="s">
        <v>168</v>
      </c>
      <c r="AU146" s="21" t="s">
        <v>135</v>
      </c>
      <c r="AY146" s="21" t="s">
        <v>167</v>
      </c>
      <c r="BE146" s="150">
        <f>IF(U146="základní",N146,0)</f>
        <v>0</v>
      </c>
      <c r="BF146" s="150">
        <f>IF(U146="snížená",N146,0)</f>
        <v>0</v>
      </c>
      <c r="BG146" s="150">
        <f>IF(U146="zákl. přenesená",N146,0)</f>
        <v>0</v>
      </c>
      <c r="BH146" s="150">
        <f>IF(U146="sníž. přenesená",N146,0)</f>
        <v>0</v>
      </c>
      <c r="BI146" s="150">
        <f>IF(U146="nulová",N146,0)</f>
        <v>0</v>
      </c>
      <c r="BJ146" s="21" t="s">
        <v>21</v>
      </c>
      <c r="BK146" s="150">
        <f>ROUND(L146*K146,2)</f>
        <v>0</v>
      </c>
      <c r="BL146" s="21" t="s">
        <v>172</v>
      </c>
      <c r="BM146" s="21" t="s">
        <v>191</v>
      </c>
    </row>
    <row r="147" spans="2:51" s="10" customFormat="1" ht="22.5" customHeight="1">
      <c r="B147" s="151"/>
      <c r="C147" s="152"/>
      <c r="D147" s="152"/>
      <c r="E147" s="153" t="s">
        <v>5</v>
      </c>
      <c r="F147" s="300" t="s">
        <v>265</v>
      </c>
      <c r="G147" s="301"/>
      <c r="H147" s="301"/>
      <c r="I147" s="301"/>
      <c r="J147" s="152"/>
      <c r="K147" s="154" t="s">
        <v>5</v>
      </c>
      <c r="L147" s="152"/>
      <c r="M147" s="152"/>
      <c r="N147" s="152"/>
      <c r="O147" s="152"/>
      <c r="P147" s="152"/>
      <c r="Q147" s="152"/>
      <c r="R147" s="155"/>
      <c r="T147" s="156"/>
      <c r="U147" s="152"/>
      <c r="V147" s="152"/>
      <c r="W147" s="152"/>
      <c r="X147" s="152"/>
      <c r="Y147" s="152"/>
      <c r="Z147" s="152"/>
      <c r="AA147" s="157"/>
      <c r="AT147" s="158" t="s">
        <v>179</v>
      </c>
      <c r="AU147" s="158" t="s">
        <v>135</v>
      </c>
      <c r="AV147" s="10" t="s">
        <v>21</v>
      </c>
      <c r="AW147" s="10" t="s">
        <v>35</v>
      </c>
      <c r="AX147" s="10" t="s">
        <v>78</v>
      </c>
      <c r="AY147" s="158" t="s">
        <v>167</v>
      </c>
    </row>
    <row r="148" spans="2:51" s="11" customFormat="1" ht="22.5" customHeight="1">
      <c r="B148" s="159"/>
      <c r="C148" s="160"/>
      <c r="D148" s="160"/>
      <c r="E148" s="161" t="s">
        <v>5</v>
      </c>
      <c r="F148" s="302" t="s">
        <v>366</v>
      </c>
      <c r="G148" s="303"/>
      <c r="H148" s="303"/>
      <c r="I148" s="303"/>
      <c r="J148" s="160"/>
      <c r="K148" s="162">
        <v>0.281</v>
      </c>
      <c r="L148" s="160"/>
      <c r="M148" s="160"/>
      <c r="N148" s="160"/>
      <c r="O148" s="160"/>
      <c r="P148" s="160"/>
      <c r="Q148" s="160"/>
      <c r="R148" s="163"/>
      <c r="T148" s="164"/>
      <c r="U148" s="160"/>
      <c r="V148" s="160"/>
      <c r="W148" s="160"/>
      <c r="X148" s="160"/>
      <c r="Y148" s="160"/>
      <c r="Z148" s="160"/>
      <c r="AA148" s="165"/>
      <c r="AT148" s="166" t="s">
        <v>179</v>
      </c>
      <c r="AU148" s="166" t="s">
        <v>135</v>
      </c>
      <c r="AV148" s="11" t="s">
        <v>135</v>
      </c>
      <c r="AW148" s="11" t="s">
        <v>35</v>
      </c>
      <c r="AX148" s="11" t="s">
        <v>21</v>
      </c>
      <c r="AY148" s="166" t="s">
        <v>167</v>
      </c>
    </row>
    <row r="149" spans="2:65" s="1" customFormat="1" ht="31.5" customHeight="1">
      <c r="B149" s="141"/>
      <c r="C149" s="142" t="s">
        <v>276</v>
      </c>
      <c r="D149" s="142" t="s">
        <v>168</v>
      </c>
      <c r="E149" s="143" t="s">
        <v>197</v>
      </c>
      <c r="F149" s="293" t="s">
        <v>198</v>
      </c>
      <c r="G149" s="293"/>
      <c r="H149" s="293"/>
      <c r="I149" s="293"/>
      <c r="J149" s="144" t="s">
        <v>199</v>
      </c>
      <c r="K149" s="145">
        <v>1.8</v>
      </c>
      <c r="L149" s="294"/>
      <c r="M149" s="294"/>
      <c r="N149" s="294">
        <f>ROUND(L149*K149,2)</f>
        <v>0</v>
      </c>
      <c r="O149" s="294"/>
      <c r="P149" s="294"/>
      <c r="Q149" s="294"/>
      <c r="R149" s="146"/>
      <c r="T149" s="147" t="s">
        <v>5</v>
      </c>
      <c r="U149" s="44" t="s">
        <v>43</v>
      </c>
      <c r="V149" s="148">
        <v>0.721</v>
      </c>
      <c r="W149" s="148">
        <f>V149*K149</f>
        <v>1.2978</v>
      </c>
      <c r="X149" s="148">
        <v>0.00458</v>
      </c>
      <c r="Y149" s="148">
        <f>X149*K149</f>
        <v>0.008244</v>
      </c>
      <c r="Z149" s="148">
        <v>0</v>
      </c>
      <c r="AA149" s="149">
        <f>Z149*K149</f>
        <v>0</v>
      </c>
      <c r="AR149" s="21" t="s">
        <v>172</v>
      </c>
      <c r="AT149" s="21" t="s">
        <v>168</v>
      </c>
      <c r="AU149" s="21" t="s">
        <v>135</v>
      </c>
      <c r="AY149" s="21" t="s">
        <v>167</v>
      </c>
      <c r="BE149" s="150">
        <f>IF(U149="základní",N149,0)</f>
        <v>0</v>
      </c>
      <c r="BF149" s="150">
        <f>IF(U149="snížená",N149,0)</f>
        <v>0</v>
      </c>
      <c r="BG149" s="150">
        <f>IF(U149="zákl. přenesená",N149,0)</f>
        <v>0</v>
      </c>
      <c r="BH149" s="150">
        <f>IF(U149="sníž. přenesená",N149,0)</f>
        <v>0</v>
      </c>
      <c r="BI149" s="150">
        <f>IF(U149="nulová",N149,0)</f>
        <v>0</v>
      </c>
      <c r="BJ149" s="21" t="s">
        <v>21</v>
      </c>
      <c r="BK149" s="150">
        <f>ROUND(L149*K149,2)</f>
        <v>0</v>
      </c>
      <c r="BL149" s="21" t="s">
        <v>172</v>
      </c>
      <c r="BM149" s="21" t="s">
        <v>200</v>
      </c>
    </row>
    <row r="150" spans="2:51" s="11" customFormat="1" ht="22.5" customHeight="1">
      <c r="B150" s="159"/>
      <c r="C150" s="160"/>
      <c r="D150" s="160"/>
      <c r="E150" s="161" t="s">
        <v>5</v>
      </c>
      <c r="F150" s="308" t="s">
        <v>367</v>
      </c>
      <c r="G150" s="309"/>
      <c r="H150" s="309"/>
      <c r="I150" s="309"/>
      <c r="J150" s="160"/>
      <c r="K150" s="162">
        <v>1.8</v>
      </c>
      <c r="L150" s="160"/>
      <c r="M150" s="160"/>
      <c r="N150" s="160"/>
      <c r="O150" s="160"/>
      <c r="P150" s="160"/>
      <c r="Q150" s="160"/>
      <c r="R150" s="163"/>
      <c r="T150" s="164"/>
      <c r="U150" s="160"/>
      <c r="V150" s="160"/>
      <c r="W150" s="160"/>
      <c r="X150" s="160"/>
      <c r="Y150" s="160"/>
      <c r="Z150" s="160"/>
      <c r="AA150" s="165"/>
      <c r="AT150" s="166" t="s">
        <v>179</v>
      </c>
      <c r="AU150" s="166" t="s">
        <v>135</v>
      </c>
      <c r="AV150" s="11" t="s">
        <v>135</v>
      </c>
      <c r="AW150" s="11" t="s">
        <v>35</v>
      </c>
      <c r="AX150" s="11" t="s">
        <v>21</v>
      </c>
      <c r="AY150" s="166" t="s">
        <v>167</v>
      </c>
    </row>
    <row r="151" spans="2:65" s="1" customFormat="1" ht="31.5" customHeight="1">
      <c r="B151" s="141"/>
      <c r="C151" s="142" t="s">
        <v>278</v>
      </c>
      <c r="D151" s="142" t="s">
        <v>168</v>
      </c>
      <c r="E151" s="143" t="s">
        <v>204</v>
      </c>
      <c r="F151" s="293" t="s">
        <v>205</v>
      </c>
      <c r="G151" s="293"/>
      <c r="H151" s="293"/>
      <c r="I151" s="293"/>
      <c r="J151" s="144" t="s">
        <v>199</v>
      </c>
      <c r="K151" s="145">
        <v>1.8</v>
      </c>
      <c r="L151" s="294"/>
      <c r="M151" s="294"/>
      <c r="N151" s="294">
        <f>ROUND(L151*K151,2)</f>
        <v>0</v>
      </c>
      <c r="O151" s="294"/>
      <c r="P151" s="294"/>
      <c r="Q151" s="294"/>
      <c r="R151" s="146"/>
      <c r="T151" s="147" t="s">
        <v>5</v>
      </c>
      <c r="U151" s="44" t="s">
        <v>43</v>
      </c>
      <c r="V151" s="148">
        <v>0.282</v>
      </c>
      <c r="W151" s="148">
        <f>V151*K151</f>
        <v>0.5075999999999999</v>
      </c>
      <c r="X151" s="148">
        <v>0</v>
      </c>
      <c r="Y151" s="148">
        <f>X151*K151</f>
        <v>0</v>
      </c>
      <c r="Z151" s="148">
        <v>0</v>
      </c>
      <c r="AA151" s="149">
        <f>Z151*K151</f>
        <v>0</v>
      </c>
      <c r="AR151" s="21" t="s">
        <v>172</v>
      </c>
      <c r="AT151" s="21" t="s">
        <v>168</v>
      </c>
      <c r="AU151" s="21" t="s">
        <v>135</v>
      </c>
      <c r="AY151" s="21" t="s">
        <v>167</v>
      </c>
      <c r="BE151" s="150">
        <f>IF(U151="základní",N151,0)</f>
        <v>0</v>
      </c>
      <c r="BF151" s="150">
        <f>IF(U151="snížená",N151,0)</f>
        <v>0</v>
      </c>
      <c r="BG151" s="150">
        <f>IF(U151="zákl. přenesená",N151,0)</f>
        <v>0</v>
      </c>
      <c r="BH151" s="150">
        <f>IF(U151="sníž. přenesená",N151,0)</f>
        <v>0</v>
      </c>
      <c r="BI151" s="150">
        <f>IF(U151="nulová",N151,0)</f>
        <v>0</v>
      </c>
      <c r="BJ151" s="21" t="s">
        <v>21</v>
      </c>
      <c r="BK151" s="150">
        <f>ROUND(L151*K151,2)</f>
        <v>0</v>
      </c>
      <c r="BL151" s="21" t="s">
        <v>172</v>
      </c>
      <c r="BM151" s="21" t="s">
        <v>206</v>
      </c>
    </row>
    <row r="152" spans="2:65" s="1" customFormat="1" ht="31.5" customHeight="1">
      <c r="B152" s="141"/>
      <c r="C152" s="142" t="s">
        <v>11</v>
      </c>
      <c r="D152" s="142" t="s">
        <v>168</v>
      </c>
      <c r="E152" s="143" t="s">
        <v>208</v>
      </c>
      <c r="F152" s="293" t="s">
        <v>209</v>
      </c>
      <c r="G152" s="293"/>
      <c r="H152" s="293"/>
      <c r="I152" s="293"/>
      <c r="J152" s="144" t="s">
        <v>210</v>
      </c>
      <c r="K152" s="145">
        <v>0.008</v>
      </c>
      <c r="L152" s="294"/>
      <c r="M152" s="294"/>
      <c r="N152" s="294">
        <f>ROUND(L152*K152,2)</f>
        <v>0</v>
      </c>
      <c r="O152" s="294"/>
      <c r="P152" s="294"/>
      <c r="Q152" s="294"/>
      <c r="R152" s="146"/>
      <c r="T152" s="147" t="s">
        <v>5</v>
      </c>
      <c r="U152" s="44" t="s">
        <v>43</v>
      </c>
      <c r="V152" s="148">
        <v>33.98</v>
      </c>
      <c r="W152" s="148">
        <f>V152*K152</f>
        <v>0.27183999999999997</v>
      </c>
      <c r="X152" s="148">
        <v>1.04753</v>
      </c>
      <c r="Y152" s="148">
        <f>X152*K152</f>
        <v>0.00838024</v>
      </c>
      <c r="Z152" s="148">
        <v>0</v>
      </c>
      <c r="AA152" s="149">
        <f>Z152*K152</f>
        <v>0</v>
      </c>
      <c r="AR152" s="21" t="s">
        <v>172</v>
      </c>
      <c r="AT152" s="21" t="s">
        <v>168</v>
      </c>
      <c r="AU152" s="21" t="s">
        <v>135</v>
      </c>
      <c r="AY152" s="21" t="s">
        <v>167</v>
      </c>
      <c r="BE152" s="150">
        <f>IF(U152="základní",N152,0)</f>
        <v>0</v>
      </c>
      <c r="BF152" s="150">
        <f>IF(U152="snížená",N152,0)</f>
        <v>0</v>
      </c>
      <c r="BG152" s="150">
        <f>IF(U152="zákl. přenesená",N152,0)</f>
        <v>0</v>
      </c>
      <c r="BH152" s="150">
        <f>IF(U152="sníž. přenesená",N152,0)</f>
        <v>0</v>
      </c>
      <c r="BI152" s="150">
        <f>IF(U152="nulová",N152,0)</f>
        <v>0</v>
      </c>
      <c r="BJ152" s="21" t="s">
        <v>21</v>
      </c>
      <c r="BK152" s="150">
        <f>ROUND(L152*K152,2)</f>
        <v>0</v>
      </c>
      <c r="BL152" s="21" t="s">
        <v>172</v>
      </c>
      <c r="BM152" s="21" t="s">
        <v>211</v>
      </c>
    </row>
    <row r="153" spans="2:51" s="11" customFormat="1" ht="22.5" customHeight="1">
      <c r="B153" s="159"/>
      <c r="C153" s="160"/>
      <c r="D153" s="160"/>
      <c r="E153" s="161" t="s">
        <v>5</v>
      </c>
      <c r="F153" s="308" t="s">
        <v>368</v>
      </c>
      <c r="G153" s="309"/>
      <c r="H153" s="309"/>
      <c r="I153" s="309"/>
      <c r="J153" s="160"/>
      <c r="K153" s="162">
        <v>0.008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179</v>
      </c>
      <c r="AU153" s="166" t="s">
        <v>135</v>
      </c>
      <c r="AV153" s="11" t="s">
        <v>135</v>
      </c>
      <c r="AW153" s="11" t="s">
        <v>35</v>
      </c>
      <c r="AX153" s="11" t="s">
        <v>21</v>
      </c>
      <c r="AY153" s="166" t="s">
        <v>167</v>
      </c>
    </row>
    <row r="154" spans="2:63" s="9" customFormat="1" ht="29.85" customHeight="1">
      <c r="B154" s="130"/>
      <c r="C154" s="131"/>
      <c r="D154" s="140" t="s">
        <v>226</v>
      </c>
      <c r="E154" s="140"/>
      <c r="F154" s="140"/>
      <c r="G154" s="140"/>
      <c r="H154" s="140"/>
      <c r="I154" s="140"/>
      <c r="J154" s="140"/>
      <c r="K154" s="140"/>
      <c r="L154" s="140"/>
      <c r="M154" s="140"/>
      <c r="N154" s="298">
        <f>BK154</f>
        <v>0</v>
      </c>
      <c r="O154" s="299"/>
      <c r="P154" s="299"/>
      <c r="Q154" s="299"/>
      <c r="R154" s="133"/>
      <c r="T154" s="134"/>
      <c r="U154" s="131"/>
      <c r="V154" s="131"/>
      <c r="W154" s="135">
        <f>SUM(W155:W179)</f>
        <v>252.41296699999998</v>
      </c>
      <c r="X154" s="131"/>
      <c r="Y154" s="135">
        <f>SUM(Y155:Y179)</f>
        <v>80.85806522</v>
      </c>
      <c r="Z154" s="131"/>
      <c r="AA154" s="136">
        <f>SUM(AA155:AA179)</f>
        <v>0</v>
      </c>
      <c r="AR154" s="137" t="s">
        <v>21</v>
      </c>
      <c r="AT154" s="138" t="s">
        <v>77</v>
      </c>
      <c r="AU154" s="138" t="s">
        <v>21</v>
      </c>
      <c r="AY154" s="137" t="s">
        <v>167</v>
      </c>
      <c r="BK154" s="139">
        <f>SUM(BK155:BK179)</f>
        <v>0</v>
      </c>
    </row>
    <row r="155" spans="2:65" s="1" customFormat="1" ht="31.5" customHeight="1">
      <c r="B155" s="141"/>
      <c r="C155" s="142" t="s">
        <v>281</v>
      </c>
      <c r="D155" s="142" t="s">
        <v>168</v>
      </c>
      <c r="E155" s="143" t="s">
        <v>282</v>
      </c>
      <c r="F155" s="293" t="s">
        <v>283</v>
      </c>
      <c r="G155" s="293"/>
      <c r="H155" s="293"/>
      <c r="I155" s="293"/>
      <c r="J155" s="144" t="s">
        <v>176</v>
      </c>
      <c r="K155" s="145">
        <v>31.955</v>
      </c>
      <c r="L155" s="294"/>
      <c r="M155" s="294"/>
      <c r="N155" s="294">
        <f>ROUND(L155*K155,2)</f>
        <v>0</v>
      </c>
      <c r="O155" s="294"/>
      <c r="P155" s="294"/>
      <c r="Q155" s="294"/>
      <c r="R155" s="146"/>
      <c r="T155" s="147" t="s">
        <v>5</v>
      </c>
      <c r="U155" s="44" t="s">
        <v>43</v>
      </c>
      <c r="V155" s="148">
        <v>1.2</v>
      </c>
      <c r="W155" s="148">
        <f>V155*K155</f>
        <v>38.346</v>
      </c>
      <c r="X155" s="148">
        <v>2.45602</v>
      </c>
      <c r="Y155" s="148">
        <f>X155*K155</f>
        <v>78.4821191</v>
      </c>
      <c r="Z155" s="148">
        <v>0</v>
      </c>
      <c r="AA155" s="149">
        <f>Z155*K155</f>
        <v>0</v>
      </c>
      <c r="AR155" s="21" t="s">
        <v>172</v>
      </c>
      <c r="AT155" s="21" t="s">
        <v>168</v>
      </c>
      <c r="AU155" s="21" t="s">
        <v>135</v>
      </c>
      <c r="AY155" s="21" t="s">
        <v>167</v>
      </c>
      <c r="BE155" s="150">
        <f>IF(U155="základní",N155,0)</f>
        <v>0</v>
      </c>
      <c r="BF155" s="150">
        <f>IF(U155="snížená",N155,0)</f>
        <v>0</v>
      </c>
      <c r="BG155" s="150">
        <f>IF(U155="zákl. přenesená",N155,0)</f>
        <v>0</v>
      </c>
      <c r="BH155" s="150">
        <f>IF(U155="sníž. přenesená",N155,0)</f>
        <v>0</v>
      </c>
      <c r="BI155" s="150">
        <f>IF(U155="nulová",N155,0)</f>
        <v>0</v>
      </c>
      <c r="BJ155" s="21" t="s">
        <v>21</v>
      </c>
      <c r="BK155" s="150">
        <f>ROUND(L155*K155,2)</f>
        <v>0</v>
      </c>
      <c r="BL155" s="21" t="s">
        <v>172</v>
      </c>
      <c r="BM155" s="21" t="s">
        <v>284</v>
      </c>
    </row>
    <row r="156" spans="2:51" s="10" customFormat="1" ht="22.5" customHeight="1">
      <c r="B156" s="151"/>
      <c r="C156" s="152"/>
      <c r="D156" s="152"/>
      <c r="E156" s="153" t="s">
        <v>5</v>
      </c>
      <c r="F156" s="300" t="s">
        <v>369</v>
      </c>
      <c r="G156" s="301"/>
      <c r="H156" s="301"/>
      <c r="I156" s="301"/>
      <c r="J156" s="152"/>
      <c r="K156" s="154" t="s">
        <v>5</v>
      </c>
      <c r="L156" s="152"/>
      <c r="M156" s="152"/>
      <c r="N156" s="152"/>
      <c r="O156" s="152"/>
      <c r="P156" s="152"/>
      <c r="Q156" s="152"/>
      <c r="R156" s="155"/>
      <c r="T156" s="156"/>
      <c r="U156" s="152"/>
      <c r="V156" s="152"/>
      <c r="W156" s="152"/>
      <c r="X156" s="152"/>
      <c r="Y156" s="152"/>
      <c r="Z156" s="152"/>
      <c r="AA156" s="157"/>
      <c r="AT156" s="158" t="s">
        <v>179</v>
      </c>
      <c r="AU156" s="158" t="s">
        <v>135</v>
      </c>
      <c r="AV156" s="10" t="s">
        <v>21</v>
      </c>
      <c r="AW156" s="10" t="s">
        <v>35</v>
      </c>
      <c r="AX156" s="10" t="s">
        <v>78</v>
      </c>
      <c r="AY156" s="158" t="s">
        <v>167</v>
      </c>
    </row>
    <row r="157" spans="2:51" s="11" customFormat="1" ht="22.5" customHeight="1">
      <c r="B157" s="159"/>
      <c r="C157" s="160"/>
      <c r="D157" s="160"/>
      <c r="E157" s="161" t="s">
        <v>5</v>
      </c>
      <c r="F157" s="302" t="s">
        <v>370</v>
      </c>
      <c r="G157" s="303"/>
      <c r="H157" s="303"/>
      <c r="I157" s="303"/>
      <c r="J157" s="160"/>
      <c r="K157" s="162">
        <v>17.092</v>
      </c>
      <c r="L157" s="160"/>
      <c r="M157" s="160"/>
      <c r="N157" s="160"/>
      <c r="O157" s="160"/>
      <c r="P157" s="160"/>
      <c r="Q157" s="160"/>
      <c r="R157" s="163"/>
      <c r="T157" s="164"/>
      <c r="U157" s="160"/>
      <c r="V157" s="160"/>
      <c r="W157" s="160"/>
      <c r="X157" s="160"/>
      <c r="Y157" s="160"/>
      <c r="Z157" s="160"/>
      <c r="AA157" s="165"/>
      <c r="AT157" s="166" t="s">
        <v>179</v>
      </c>
      <c r="AU157" s="166" t="s">
        <v>135</v>
      </c>
      <c r="AV157" s="11" t="s">
        <v>135</v>
      </c>
      <c r="AW157" s="11" t="s">
        <v>35</v>
      </c>
      <c r="AX157" s="11" t="s">
        <v>78</v>
      </c>
      <c r="AY157" s="166" t="s">
        <v>167</v>
      </c>
    </row>
    <row r="158" spans="2:51" s="10" customFormat="1" ht="22.5" customHeight="1">
      <c r="B158" s="151"/>
      <c r="C158" s="152"/>
      <c r="D158" s="152"/>
      <c r="E158" s="153" t="s">
        <v>5</v>
      </c>
      <c r="F158" s="304" t="s">
        <v>371</v>
      </c>
      <c r="G158" s="305"/>
      <c r="H158" s="305"/>
      <c r="I158" s="305"/>
      <c r="J158" s="152"/>
      <c r="K158" s="154" t="s">
        <v>5</v>
      </c>
      <c r="L158" s="152"/>
      <c r="M158" s="152"/>
      <c r="N158" s="152"/>
      <c r="O158" s="152"/>
      <c r="P158" s="152"/>
      <c r="Q158" s="152"/>
      <c r="R158" s="155"/>
      <c r="T158" s="156"/>
      <c r="U158" s="152"/>
      <c r="V158" s="152"/>
      <c r="W158" s="152"/>
      <c r="X158" s="152"/>
      <c r="Y158" s="152"/>
      <c r="Z158" s="152"/>
      <c r="AA158" s="157"/>
      <c r="AT158" s="158" t="s">
        <v>179</v>
      </c>
      <c r="AU158" s="158" t="s">
        <v>135</v>
      </c>
      <c r="AV158" s="10" t="s">
        <v>21</v>
      </c>
      <c r="AW158" s="10" t="s">
        <v>35</v>
      </c>
      <c r="AX158" s="10" t="s">
        <v>78</v>
      </c>
      <c r="AY158" s="158" t="s">
        <v>167</v>
      </c>
    </row>
    <row r="159" spans="2:51" s="11" customFormat="1" ht="22.5" customHeight="1">
      <c r="B159" s="159"/>
      <c r="C159" s="160"/>
      <c r="D159" s="160"/>
      <c r="E159" s="161" t="s">
        <v>5</v>
      </c>
      <c r="F159" s="302" t="s">
        <v>372</v>
      </c>
      <c r="G159" s="303"/>
      <c r="H159" s="303"/>
      <c r="I159" s="303"/>
      <c r="J159" s="160"/>
      <c r="K159" s="162">
        <v>9.413</v>
      </c>
      <c r="L159" s="160"/>
      <c r="M159" s="160"/>
      <c r="N159" s="160"/>
      <c r="O159" s="160"/>
      <c r="P159" s="160"/>
      <c r="Q159" s="160"/>
      <c r="R159" s="163"/>
      <c r="T159" s="164"/>
      <c r="U159" s="160"/>
      <c r="V159" s="160"/>
      <c r="W159" s="160"/>
      <c r="X159" s="160"/>
      <c r="Y159" s="160"/>
      <c r="Z159" s="160"/>
      <c r="AA159" s="165"/>
      <c r="AT159" s="166" t="s">
        <v>179</v>
      </c>
      <c r="AU159" s="166" t="s">
        <v>135</v>
      </c>
      <c r="AV159" s="11" t="s">
        <v>135</v>
      </c>
      <c r="AW159" s="11" t="s">
        <v>35</v>
      </c>
      <c r="AX159" s="11" t="s">
        <v>78</v>
      </c>
      <c r="AY159" s="166" t="s">
        <v>167</v>
      </c>
    </row>
    <row r="160" spans="2:51" s="11" customFormat="1" ht="22.5" customHeight="1">
      <c r="B160" s="159"/>
      <c r="C160" s="160"/>
      <c r="D160" s="160"/>
      <c r="E160" s="161" t="s">
        <v>5</v>
      </c>
      <c r="F160" s="302" t="s">
        <v>373</v>
      </c>
      <c r="G160" s="303"/>
      <c r="H160" s="303"/>
      <c r="I160" s="303"/>
      <c r="J160" s="160"/>
      <c r="K160" s="162">
        <v>5.45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179</v>
      </c>
      <c r="AU160" s="166" t="s">
        <v>135</v>
      </c>
      <c r="AV160" s="11" t="s">
        <v>135</v>
      </c>
      <c r="AW160" s="11" t="s">
        <v>35</v>
      </c>
      <c r="AX160" s="11" t="s">
        <v>78</v>
      </c>
      <c r="AY160" s="166" t="s">
        <v>167</v>
      </c>
    </row>
    <row r="161" spans="2:51" s="12" customFormat="1" ht="22.5" customHeight="1">
      <c r="B161" s="167"/>
      <c r="C161" s="168"/>
      <c r="D161" s="168"/>
      <c r="E161" s="169" t="s">
        <v>5</v>
      </c>
      <c r="F161" s="306" t="s">
        <v>183</v>
      </c>
      <c r="G161" s="307"/>
      <c r="H161" s="307"/>
      <c r="I161" s="307"/>
      <c r="J161" s="168"/>
      <c r="K161" s="170">
        <v>31.955</v>
      </c>
      <c r="L161" s="168"/>
      <c r="M161" s="168"/>
      <c r="N161" s="168"/>
      <c r="O161" s="168"/>
      <c r="P161" s="168"/>
      <c r="Q161" s="168"/>
      <c r="R161" s="171"/>
      <c r="T161" s="172"/>
      <c r="U161" s="168"/>
      <c r="V161" s="168"/>
      <c r="W161" s="168"/>
      <c r="X161" s="168"/>
      <c r="Y161" s="168"/>
      <c r="Z161" s="168"/>
      <c r="AA161" s="173"/>
      <c r="AT161" s="174" t="s">
        <v>179</v>
      </c>
      <c r="AU161" s="174" t="s">
        <v>135</v>
      </c>
      <c r="AV161" s="12" t="s">
        <v>172</v>
      </c>
      <c r="AW161" s="12" t="s">
        <v>35</v>
      </c>
      <c r="AX161" s="12" t="s">
        <v>21</v>
      </c>
      <c r="AY161" s="174" t="s">
        <v>167</v>
      </c>
    </row>
    <row r="162" spans="2:65" s="1" customFormat="1" ht="31.5" customHeight="1">
      <c r="B162" s="141"/>
      <c r="C162" s="142" t="s">
        <v>288</v>
      </c>
      <c r="D162" s="142" t="s">
        <v>168</v>
      </c>
      <c r="E162" s="143" t="s">
        <v>374</v>
      </c>
      <c r="F162" s="293" t="s">
        <v>375</v>
      </c>
      <c r="G162" s="293"/>
      <c r="H162" s="293"/>
      <c r="I162" s="293"/>
      <c r="J162" s="144" t="s">
        <v>171</v>
      </c>
      <c r="K162" s="145">
        <v>2</v>
      </c>
      <c r="L162" s="294"/>
      <c r="M162" s="294"/>
      <c r="N162" s="294">
        <f>ROUND(L162*K162,2)</f>
        <v>0</v>
      </c>
      <c r="O162" s="294"/>
      <c r="P162" s="294"/>
      <c r="Q162" s="294"/>
      <c r="R162" s="146"/>
      <c r="T162" s="147" t="s">
        <v>5</v>
      </c>
      <c r="U162" s="44" t="s">
        <v>43</v>
      </c>
      <c r="V162" s="148">
        <v>0.282</v>
      </c>
      <c r="W162" s="148">
        <f>V162*K162</f>
        <v>0.564</v>
      </c>
      <c r="X162" s="148">
        <v>0</v>
      </c>
      <c r="Y162" s="148">
        <f>X162*K162</f>
        <v>0</v>
      </c>
      <c r="Z162" s="148">
        <v>0</v>
      </c>
      <c r="AA162" s="149">
        <f>Z162*K162</f>
        <v>0</v>
      </c>
      <c r="AR162" s="21" t="s">
        <v>172</v>
      </c>
      <c r="AT162" s="21" t="s">
        <v>168</v>
      </c>
      <c r="AU162" s="21" t="s">
        <v>135</v>
      </c>
      <c r="AY162" s="21" t="s">
        <v>167</v>
      </c>
      <c r="BE162" s="150">
        <f>IF(U162="základní",N162,0)</f>
        <v>0</v>
      </c>
      <c r="BF162" s="150">
        <f>IF(U162="snížená",N162,0)</f>
        <v>0</v>
      </c>
      <c r="BG162" s="150">
        <f>IF(U162="zákl. přenesená",N162,0)</f>
        <v>0</v>
      </c>
      <c r="BH162" s="150">
        <f>IF(U162="sníž. přenesená",N162,0)</f>
        <v>0</v>
      </c>
      <c r="BI162" s="150">
        <f>IF(U162="nulová",N162,0)</f>
        <v>0</v>
      </c>
      <c r="BJ162" s="21" t="s">
        <v>21</v>
      </c>
      <c r="BK162" s="150">
        <f>ROUND(L162*K162,2)</f>
        <v>0</v>
      </c>
      <c r="BL162" s="21" t="s">
        <v>172</v>
      </c>
      <c r="BM162" s="21" t="s">
        <v>376</v>
      </c>
    </row>
    <row r="163" spans="2:65" s="1" customFormat="1" ht="22.5" customHeight="1">
      <c r="B163" s="141"/>
      <c r="C163" s="142" t="s">
        <v>295</v>
      </c>
      <c r="D163" s="142" t="s">
        <v>168</v>
      </c>
      <c r="E163" s="143" t="s">
        <v>289</v>
      </c>
      <c r="F163" s="293" t="s">
        <v>290</v>
      </c>
      <c r="G163" s="293"/>
      <c r="H163" s="293"/>
      <c r="I163" s="293"/>
      <c r="J163" s="144" t="s">
        <v>199</v>
      </c>
      <c r="K163" s="145">
        <v>199.636</v>
      </c>
      <c r="L163" s="294"/>
      <c r="M163" s="294"/>
      <c r="N163" s="294">
        <f>ROUND(L163*K163,2)</f>
        <v>0</v>
      </c>
      <c r="O163" s="294"/>
      <c r="P163" s="294"/>
      <c r="Q163" s="294"/>
      <c r="R163" s="146"/>
      <c r="T163" s="147" t="s">
        <v>5</v>
      </c>
      <c r="U163" s="44" t="s">
        <v>43</v>
      </c>
      <c r="V163" s="148">
        <v>0.497</v>
      </c>
      <c r="W163" s="148">
        <f>V163*K163</f>
        <v>99.219092</v>
      </c>
      <c r="X163" s="148">
        <v>0.00282</v>
      </c>
      <c r="Y163" s="148">
        <f>X163*K163</f>
        <v>0.56297352</v>
      </c>
      <c r="Z163" s="148">
        <v>0</v>
      </c>
      <c r="AA163" s="149">
        <f>Z163*K163</f>
        <v>0</v>
      </c>
      <c r="AR163" s="21" t="s">
        <v>172</v>
      </c>
      <c r="AT163" s="21" t="s">
        <v>168</v>
      </c>
      <c r="AU163" s="21" t="s">
        <v>135</v>
      </c>
      <c r="AY163" s="21" t="s">
        <v>167</v>
      </c>
      <c r="BE163" s="150">
        <f>IF(U163="základní",N163,0)</f>
        <v>0</v>
      </c>
      <c r="BF163" s="150">
        <f>IF(U163="snížená",N163,0)</f>
        <v>0</v>
      </c>
      <c r="BG163" s="150">
        <f>IF(U163="zákl. přenesená",N163,0)</f>
        <v>0</v>
      </c>
      <c r="BH163" s="150">
        <f>IF(U163="sníž. přenesená",N163,0)</f>
        <v>0</v>
      </c>
      <c r="BI163" s="150">
        <f>IF(U163="nulová",N163,0)</f>
        <v>0</v>
      </c>
      <c r="BJ163" s="21" t="s">
        <v>21</v>
      </c>
      <c r="BK163" s="150">
        <f>ROUND(L163*K163,2)</f>
        <v>0</v>
      </c>
      <c r="BL163" s="21" t="s">
        <v>172</v>
      </c>
      <c r="BM163" s="21" t="s">
        <v>291</v>
      </c>
    </row>
    <row r="164" spans="2:51" s="10" customFormat="1" ht="22.5" customHeight="1">
      <c r="B164" s="151"/>
      <c r="C164" s="152"/>
      <c r="D164" s="152"/>
      <c r="E164" s="153" t="s">
        <v>5</v>
      </c>
      <c r="F164" s="300" t="s">
        <v>369</v>
      </c>
      <c r="G164" s="301"/>
      <c r="H164" s="301"/>
      <c r="I164" s="301"/>
      <c r="J164" s="152"/>
      <c r="K164" s="154" t="s">
        <v>5</v>
      </c>
      <c r="L164" s="152"/>
      <c r="M164" s="152"/>
      <c r="N164" s="152"/>
      <c r="O164" s="152"/>
      <c r="P164" s="152"/>
      <c r="Q164" s="152"/>
      <c r="R164" s="155"/>
      <c r="T164" s="156"/>
      <c r="U164" s="152"/>
      <c r="V164" s="152"/>
      <c r="W164" s="152"/>
      <c r="X164" s="152"/>
      <c r="Y164" s="152"/>
      <c r="Z164" s="152"/>
      <c r="AA164" s="157"/>
      <c r="AT164" s="158" t="s">
        <v>179</v>
      </c>
      <c r="AU164" s="158" t="s">
        <v>135</v>
      </c>
      <c r="AV164" s="10" t="s">
        <v>21</v>
      </c>
      <c r="AW164" s="10" t="s">
        <v>35</v>
      </c>
      <c r="AX164" s="10" t="s">
        <v>78</v>
      </c>
      <c r="AY164" s="158" t="s">
        <v>167</v>
      </c>
    </row>
    <row r="165" spans="2:51" s="11" customFormat="1" ht="22.5" customHeight="1">
      <c r="B165" s="159"/>
      <c r="C165" s="160"/>
      <c r="D165" s="160"/>
      <c r="E165" s="161" t="s">
        <v>5</v>
      </c>
      <c r="F165" s="302" t="s">
        <v>377</v>
      </c>
      <c r="G165" s="303"/>
      <c r="H165" s="303"/>
      <c r="I165" s="303"/>
      <c r="J165" s="160"/>
      <c r="K165" s="162">
        <v>80.736</v>
      </c>
      <c r="L165" s="160"/>
      <c r="M165" s="160"/>
      <c r="N165" s="160"/>
      <c r="O165" s="160"/>
      <c r="P165" s="160"/>
      <c r="Q165" s="160"/>
      <c r="R165" s="163"/>
      <c r="T165" s="164"/>
      <c r="U165" s="160"/>
      <c r="V165" s="160"/>
      <c r="W165" s="160"/>
      <c r="X165" s="160"/>
      <c r="Y165" s="160"/>
      <c r="Z165" s="160"/>
      <c r="AA165" s="165"/>
      <c r="AT165" s="166" t="s">
        <v>179</v>
      </c>
      <c r="AU165" s="166" t="s">
        <v>135</v>
      </c>
      <c r="AV165" s="11" t="s">
        <v>135</v>
      </c>
      <c r="AW165" s="11" t="s">
        <v>35</v>
      </c>
      <c r="AX165" s="11" t="s">
        <v>78</v>
      </c>
      <c r="AY165" s="166" t="s">
        <v>167</v>
      </c>
    </row>
    <row r="166" spans="2:51" s="10" customFormat="1" ht="22.5" customHeight="1">
      <c r="B166" s="151"/>
      <c r="C166" s="152"/>
      <c r="D166" s="152"/>
      <c r="E166" s="153" t="s">
        <v>5</v>
      </c>
      <c r="F166" s="304" t="s">
        <v>371</v>
      </c>
      <c r="G166" s="305"/>
      <c r="H166" s="305"/>
      <c r="I166" s="305"/>
      <c r="J166" s="152"/>
      <c r="K166" s="154" t="s">
        <v>5</v>
      </c>
      <c r="L166" s="152"/>
      <c r="M166" s="152"/>
      <c r="N166" s="152"/>
      <c r="O166" s="152"/>
      <c r="P166" s="152"/>
      <c r="Q166" s="152"/>
      <c r="R166" s="155"/>
      <c r="T166" s="156"/>
      <c r="U166" s="152"/>
      <c r="V166" s="152"/>
      <c r="W166" s="152"/>
      <c r="X166" s="152"/>
      <c r="Y166" s="152"/>
      <c r="Z166" s="152"/>
      <c r="AA166" s="157"/>
      <c r="AT166" s="158" t="s">
        <v>179</v>
      </c>
      <c r="AU166" s="158" t="s">
        <v>135</v>
      </c>
      <c r="AV166" s="10" t="s">
        <v>21</v>
      </c>
      <c r="AW166" s="10" t="s">
        <v>35</v>
      </c>
      <c r="AX166" s="10" t="s">
        <v>78</v>
      </c>
      <c r="AY166" s="158" t="s">
        <v>167</v>
      </c>
    </row>
    <row r="167" spans="2:51" s="11" customFormat="1" ht="22.5" customHeight="1">
      <c r="B167" s="159"/>
      <c r="C167" s="160"/>
      <c r="D167" s="160"/>
      <c r="E167" s="161" t="s">
        <v>5</v>
      </c>
      <c r="F167" s="302" t="s">
        <v>378</v>
      </c>
      <c r="G167" s="303"/>
      <c r="H167" s="303"/>
      <c r="I167" s="303"/>
      <c r="J167" s="160"/>
      <c r="K167" s="162">
        <v>75.3</v>
      </c>
      <c r="L167" s="160"/>
      <c r="M167" s="160"/>
      <c r="N167" s="160"/>
      <c r="O167" s="160"/>
      <c r="P167" s="160"/>
      <c r="Q167" s="160"/>
      <c r="R167" s="163"/>
      <c r="T167" s="164"/>
      <c r="U167" s="160"/>
      <c r="V167" s="160"/>
      <c r="W167" s="160"/>
      <c r="X167" s="160"/>
      <c r="Y167" s="160"/>
      <c r="Z167" s="160"/>
      <c r="AA167" s="165"/>
      <c r="AT167" s="166" t="s">
        <v>179</v>
      </c>
      <c r="AU167" s="166" t="s">
        <v>135</v>
      </c>
      <c r="AV167" s="11" t="s">
        <v>135</v>
      </c>
      <c r="AW167" s="11" t="s">
        <v>35</v>
      </c>
      <c r="AX167" s="11" t="s">
        <v>78</v>
      </c>
      <c r="AY167" s="166" t="s">
        <v>167</v>
      </c>
    </row>
    <row r="168" spans="2:51" s="11" customFormat="1" ht="22.5" customHeight="1">
      <c r="B168" s="159"/>
      <c r="C168" s="160"/>
      <c r="D168" s="160"/>
      <c r="E168" s="161" t="s">
        <v>5</v>
      </c>
      <c r="F168" s="302" t="s">
        <v>379</v>
      </c>
      <c r="G168" s="303"/>
      <c r="H168" s="303"/>
      <c r="I168" s="303"/>
      <c r="J168" s="160"/>
      <c r="K168" s="162">
        <v>43.6</v>
      </c>
      <c r="L168" s="160"/>
      <c r="M168" s="160"/>
      <c r="N168" s="160"/>
      <c r="O168" s="160"/>
      <c r="P168" s="160"/>
      <c r="Q168" s="160"/>
      <c r="R168" s="163"/>
      <c r="T168" s="164"/>
      <c r="U168" s="160"/>
      <c r="V168" s="160"/>
      <c r="W168" s="160"/>
      <c r="X168" s="160"/>
      <c r="Y168" s="160"/>
      <c r="Z168" s="160"/>
      <c r="AA168" s="165"/>
      <c r="AT168" s="166" t="s">
        <v>179</v>
      </c>
      <c r="AU168" s="166" t="s">
        <v>135</v>
      </c>
      <c r="AV168" s="11" t="s">
        <v>135</v>
      </c>
      <c r="AW168" s="11" t="s">
        <v>35</v>
      </c>
      <c r="AX168" s="11" t="s">
        <v>78</v>
      </c>
      <c r="AY168" s="166" t="s">
        <v>167</v>
      </c>
    </row>
    <row r="169" spans="2:51" s="12" customFormat="1" ht="22.5" customHeight="1">
      <c r="B169" s="167"/>
      <c r="C169" s="168"/>
      <c r="D169" s="168"/>
      <c r="E169" s="169" t="s">
        <v>5</v>
      </c>
      <c r="F169" s="306" t="s">
        <v>183</v>
      </c>
      <c r="G169" s="307"/>
      <c r="H169" s="307"/>
      <c r="I169" s="307"/>
      <c r="J169" s="168"/>
      <c r="K169" s="170">
        <v>199.636</v>
      </c>
      <c r="L169" s="168"/>
      <c r="M169" s="168"/>
      <c r="N169" s="168"/>
      <c r="O169" s="168"/>
      <c r="P169" s="168"/>
      <c r="Q169" s="168"/>
      <c r="R169" s="171"/>
      <c r="T169" s="172"/>
      <c r="U169" s="168"/>
      <c r="V169" s="168"/>
      <c r="W169" s="168"/>
      <c r="X169" s="168"/>
      <c r="Y169" s="168"/>
      <c r="Z169" s="168"/>
      <c r="AA169" s="173"/>
      <c r="AT169" s="174" t="s">
        <v>179</v>
      </c>
      <c r="AU169" s="174" t="s">
        <v>135</v>
      </c>
      <c r="AV169" s="12" t="s">
        <v>172</v>
      </c>
      <c r="AW169" s="12" t="s">
        <v>35</v>
      </c>
      <c r="AX169" s="12" t="s">
        <v>21</v>
      </c>
      <c r="AY169" s="174" t="s">
        <v>167</v>
      </c>
    </row>
    <row r="170" spans="2:65" s="1" customFormat="1" ht="22.5" customHeight="1">
      <c r="B170" s="141"/>
      <c r="C170" s="142" t="s">
        <v>301</v>
      </c>
      <c r="D170" s="142" t="s">
        <v>168</v>
      </c>
      <c r="E170" s="143" t="s">
        <v>302</v>
      </c>
      <c r="F170" s="293" t="s">
        <v>303</v>
      </c>
      <c r="G170" s="293"/>
      <c r="H170" s="293"/>
      <c r="I170" s="293"/>
      <c r="J170" s="144" t="s">
        <v>199</v>
      </c>
      <c r="K170" s="145">
        <v>199.636</v>
      </c>
      <c r="L170" s="294"/>
      <c r="M170" s="294"/>
      <c r="N170" s="294">
        <f>ROUND(L170*K170,2)</f>
        <v>0</v>
      </c>
      <c r="O170" s="294"/>
      <c r="P170" s="294"/>
      <c r="Q170" s="294"/>
      <c r="R170" s="146"/>
      <c r="T170" s="147" t="s">
        <v>5</v>
      </c>
      <c r="U170" s="44" t="s">
        <v>43</v>
      </c>
      <c r="V170" s="148">
        <v>0.346</v>
      </c>
      <c r="W170" s="148">
        <f>V170*K170</f>
        <v>69.074056</v>
      </c>
      <c r="X170" s="148">
        <v>0</v>
      </c>
      <c r="Y170" s="148">
        <f>X170*K170</f>
        <v>0</v>
      </c>
      <c r="Z170" s="148">
        <v>0</v>
      </c>
      <c r="AA170" s="149">
        <f>Z170*K170</f>
        <v>0</v>
      </c>
      <c r="AR170" s="21" t="s">
        <v>172</v>
      </c>
      <c r="AT170" s="21" t="s">
        <v>168</v>
      </c>
      <c r="AU170" s="21" t="s">
        <v>135</v>
      </c>
      <c r="AY170" s="21" t="s">
        <v>167</v>
      </c>
      <c r="BE170" s="150">
        <f>IF(U170="základní",N170,0)</f>
        <v>0</v>
      </c>
      <c r="BF170" s="150">
        <f>IF(U170="snížená",N170,0)</f>
        <v>0</v>
      </c>
      <c r="BG170" s="150">
        <f>IF(U170="zákl. přenesená",N170,0)</f>
        <v>0</v>
      </c>
      <c r="BH170" s="150">
        <f>IF(U170="sníž. přenesená",N170,0)</f>
        <v>0</v>
      </c>
      <c r="BI170" s="150">
        <f>IF(U170="nulová",N170,0)</f>
        <v>0</v>
      </c>
      <c r="BJ170" s="21" t="s">
        <v>21</v>
      </c>
      <c r="BK170" s="150">
        <f>ROUND(L170*K170,2)</f>
        <v>0</v>
      </c>
      <c r="BL170" s="21" t="s">
        <v>172</v>
      </c>
      <c r="BM170" s="21" t="s">
        <v>304</v>
      </c>
    </row>
    <row r="171" spans="2:65" s="1" customFormat="1" ht="31.5" customHeight="1">
      <c r="B171" s="141"/>
      <c r="C171" s="142" t="s">
        <v>305</v>
      </c>
      <c r="D171" s="142" t="s">
        <v>168</v>
      </c>
      <c r="E171" s="143" t="s">
        <v>306</v>
      </c>
      <c r="F171" s="293" t="s">
        <v>307</v>
      </c>
      <c r="G171" s="293"/>
      <c r="H171" s="293"/>
      <c r="I171" s="293"/>
      <c r="J171" s="144" t="s">
        <v>210</v>
      </c>
      <c r="K171" s="145">
        <v>1.789</v>
      </c>
      <c r="L171" s="294"/>
      <c r="M171" s="294"/>
      <c r="N171" s="294">
        <f>ROUND(L171*K171,2)</f>
        <v>0</v>
      </c>
      <c r="O171" s="294"/>
      <c r="P171" s="294"/>
      <c r="Q171" s="294"/>
      <c r="R171" s="146"/>
      <c r="T171" s="147" t="s">
        <v>5</v>
      </c>
      <c r="U171" s="44" t="s">
        <v>43</v>
      </c>
      <c r="V171" s="148">
        <v>25.271</v>
      </c>
      <c r="W171" s="148">
        <f>V171*K171</f>
        <v>45.209818999999996</v>
      </c>
      <c r="X171" s="148">
        <v>1.0134</v>
      </c>
      <c r="Y171" s="148">
        <f>X171*K171</f>
        <v>1.8129726000000002</v>
      </c>
      <c r="Z171" s="148">
        <v>0</v>
      </c>
      <c r="AA171" s="149">
        <f>Z171*K171</f>
        <v>0</v>
      </c>
      <c r="AR171" s="21" t="s">
        <v>172</v>
      </c>
      <c r="AT171" s="21" t="s">
        <v>168</v>
      </c>
      <c r="AU171" s="21" t="s">
        <v>135</v>
      </c>
      <c r="AY171" s="21" t="s">
        <v>167</v>
      </c>
      <c r="BE171" s="150">
        <f>IF(U171="základní",N171,0)</f>
        <v>0</v>
      </c>
      <c r="BF171" s="150">
        <f>IF(U171="snížená",N171,0)</f>
        <v>0</v>
      </c>
      <c r="BG171" s="150">
        <f>IF(U171="zákl. přenesená",N171,0)</f>
        <v>0</v>
      </c>
      <c r="BH171" s="150">
        <f>IF(U171="sníž. přenesená",N171,0)</f>
        <v>0</v>
      </c>
      <c r="BI171" s="150">
        <f>IF(U171="nulová",N171,0)</f>
        <v>0</v>
      </c>
      <c r="BJ171" s="21" t="s">
        <v>21</v>
      </c>
      <c r="BK171" s="150">
        <f>ROUND(L171*K171,2)</f>
        <v>0</v>
      </c>
      <c r="BL171" s="21" t="s">
        <v>172</v>
      </c>
      <c r="BM171" s="21" t="s">
        <v>308</v>
      </c>
    </row>
    <row r="172" spans="2:51" s="10" customFormat="1" ht="22.5" customHeight="1">
      <c r="B172" s="151"/>
      <c r="C172" s="152"/>
      <c r="D172" s="152"/>
      <c r="E172" s="153" t="s">
        <v>5</v>
      </c>
      <c r="F172" s="300" t="s">
        <v>369</v>
      </c>
      <c r="G172" s="301"/>
      <c r="H172" s="301"/>
      <c r="I172" s="301"/>
      <c r="J172" s="152"/>
      <c r="K172" s="154" t="s">
        <v>5</v>
      </c>
      <c r="L172" s="152"/>
      <c r="M172" s="152"/>
      <c r="N172" s="152"/>
      <c r="O172" s="152"/>
      <c r="P172" s="152"/>
      <c r="Q172" s="152"/>
      <c r="R172" s="155"/>
      <c r="T172" s="156"/>
      <c r="U172" s="152"/>
      <c r="V172" s="152"/>
      <c r="W172" s="152"/>
      <c r="X172" s="152"/>
      <c r="Y172" s="152"/>
      <c r="Z172" s="152"/>
      <c r="AA172" s="157"/>
      <c r="AT172" s="158" t="s">
        <v>179</v>
      </c>
      <c r="AU172" s="158" t="s">
        <v>135</v>
      </c>
      <c r="AV172" s="10" t="s">
        <v>21</v>
      </c>
      <c r="AW172" s="10" t="s">
        <v>35</v>
      </c>
      <c r="AX172" s="10" t="s">
        <v>78</v>
      </c>
      <c r="AY172" s="158" t="s">
        <v>167</v>
      </c>
    </row>
    <row r="173" spans="2:51" s="11" customFormat="1" ht="22.5" customHeight="1">
      <c r="B173" s="159"/>
      <c r="C173" s="160"/>
      <c r="D173" s="160"/>
      <c r="E173" s="161" t="s">
        <v>5</v>
      </c>
      <c r="F173" s="302" t="s">
        <v>380</v>
      </c>
      <c r="G173" s="303"/>
      <c r="H173" s="303"/>
      <c r="I173" s="303"/>
      <c r="J173" s="160"/>
      <c r="K173" s="162">
        <v>68.368</v>
      </c>
      <c r="L173" s="160"/>
      <c r="M173" s="160"/>
      <c r="N173" s="160"/>
      <c r="O173" s="160"/>
      <c r="P173" s="160"/>
      <c r="Q173" s="160"/>
      <c r="R173" s="163"/>
      <c r="T173" s="164"/>
      <c r="U173" s="160"/>
      <c r="V173" s="160"/>
      <c r="W173" s="160"/>
      <c r="X173" s="160"/>
      <c r="Y173" s="160"/>
      <c r="Z173" s="160"/>
      <c r="AA173" s="165"/>
      <c r="AT173" s="166" t="s">
        <v>179</v>
      </c>
      <c r="AU173" s="166" t="s">
        <v>135</v>
      </c>
      <c r="AV173" s="11" t="s">
        <v>135</v>
      </c>
      <c r="AW173" s="11" t="s">
        <v>35</v>
      </c>
      <c r="AX173" s="11" t="s">
        <v>78</v>
      </c>
      <c r="AY173" s="166" t="s">
        <v>167</v>
      </c>
    </row>
    <row r="174" spans="2:51" s="10" customFormat="1" ht="22.5" customHeight="1">
      <c r="B174" s="151"/>
      <c r="C174" s="152"/>
      <c r="D174" s="152"/>
      <c r="E174" s="153" t="s">
        <v>5</v>
      </c>
      <c r="F174" s="304" t="s">
        <v>371</v>
      </c>
      <c r="G174" s="305"/>
      <c r="H174" s="305"/>
      <c r="I174" s="305"/>
      <c r="J174" s="152"/>
      <c r="K174" s="154" t="s">
        <v>5</v>
      </c>
      <c r="L174" s="152"/>
      <c r="M174" s="152"/>
      <c r="N174" s="152"/>
      <c r="O174" s="152"/>
      <c r="P174" s="152"/>
      <c r="Q174" s="152"/>
      <c r="R174" s="155"/>
      <c r="T174" s="156"/>
      <c r="U174" s="152"/>
      <c r="V174" s="152"/>
      <c r="W174" s="152"/>
      <c r="X174" s="152"/>
      <c r="Y174" s="152"/>
      <c r="Z174" s="152"/>
      <c r="AA174" s="157"/>
      <c r="AT174" s="158" t="s">
        <v>179</v>
      </c>
      <c r="AU174" s="158" t="s">
        <v>135</v>
      </c>
      <c r="AV174" s="10" t="s">
        <v>21</v>
      </c>
      <c r="AW174" s="10" t="s">
        <v>35</v>
      </c>
      <c r="AX174" s="10" t="s">
        <v>78</v>
      </c>
      <c r="AY174" s="158" t="s">
        <v>167</v>
      </c>
    </row>
    <row r="175" spans="2:51" s="11" customFormat="1" ht="22.5" customHeight="1">
      <c r="B175" s="159"/>
      <c r="C175" s="160"/>
      <c r="D175" s="160"/>
      <c r="E175" s="161" t="s">
        <v>5</v>
      </c>
      <c r="F175" s="302" t="s">
        <v>381</v>
      </c>
      <c r="G175" s="303"/>
      <c r="H175" s="303"/>
      <c r="I175" s="303"/>
      <c r="J175" s="160"/>
      <c r="K175" s="162">
        <v>37.65</v>
      </c>
      <c r="L175" s="160"/>
      <c r="M175" s="160"/>
      <c r="N175" s="160"/>
      <c r="O175" s="160"/>
      <c r="P175" s="160"/>
      <c r="Q175" s="160"/>
      <c r="R175" s="163"/>
      <c r="T175" s="164"/>
      <c r="U175" s="160"/>
      <c r="V175" s="160"/>
      <c r="W175" s="160"/>
      <c r="X175" s="160"/>
      <c r="Y175" s="160"/>
      <c r="Z175" s="160"/>
      <c r="AA175" s="165"/>
      <c r="AT175" s="166" t="s">
        <v>179</v>
      </c>
      <c r="AU175" s="166" t="s">
        <v>135</v>
      </c>
      <c r="AV175" s="11" t="s">
        <v>135</v>
      </c>
      <c r="AW175" s="11" t="s">
        <v>35</v>
      </c>
      <c r="AX175" s="11" t="s">
        <v>78</v>
      </c>
      <c r="AY175" s="166" t="s">
        <v>167</v>
      </c>
    </row>
    <row r="176" spans="2:51" s="11" customFormat="1" ht="22.5" customHeight="1">
      <c r="B176" s="159"/>
      <c r="C176" s="160"/>
      <c r="D176" s="160"/>
      <c r="E176" s="161" t="s">
        <v>5</v>
      </c>
      <c r="F176" s="302" t="s">
        <v>382</v>
      </c>
      <c r="G176" s="303"/>
      <c r="H176" s="303"/>
      <c r="I176" s="303"/>
      <c r="J176" s="160"/>
      <c r="K176" s="162">
        <v>21.8</v>
      </c>
      <c r="L176" s="160"/>
      <c r="M176" s="160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179</v>
      </c>
      <c r="AU176" s="166" t="s">
        <v>135</v>
      </c>
      <c r="AV176" s="11" t="s">
        <v>135</v>
      </c>
      <c r="AW176" s="11" t="s">
        <v>35</v>
      </c>
      <c r="AX176" s="11" t="s">
        <v>78</v>
      </c>
      <c r="AY176" s="166" t="s">
        <v>167</v>
      </c>
    </row>
    <row r="177" spans="2:51" s="12" customFormat="1" ht="22.5" customHeight="1">
      <c r="B177" s="167"/>
      <c r="C177" s="168"/>
      <c r="D177" s="168"/>
      <c r="E177" s="169" t="s">
        <v>5</v>
      </c>
      <c r="F177" s="306" t="s">
        <v>183</v>
      </c>
      <c r="G177" s="307"/>
      <c r="H177" s="307"/>
      <c r="I177" s="307"/>
      <c r="J177" s="168"/>
      <c r="K177" s="170">
        <v>127.818</v>
      </c>
      <c r="L177" s="168"/>
      <c r="M177" s="168"/>
      <c r="N177" s="168"/>
      <c r="O177" s="168"/>
      <c r="P177" s="168"/>
      <c r="Q177" s="168"/>
      <c r="R177" s="171"/>
      <c r="T177" s="172"/>
      <c r="U177" s="168"/>
      <c r="V177" s="168"/>
      <c r="W177" s="168"/>
      <c r="X177" s="168"/>
      <c r="Y177" s="168"/>
      <c r="Z177" s="168"/>
      <c r="AA177" s="173"/>
      <c r="AT177" s="174" t="s">
        <v>179</v>
      </c>
      <c r="AU177" s="174" t="s">
        <v>135</v>
      </c>
      <c r="AV177" s="12" t="s">
        <v>172</v>
      </c>
      <c r="AW177" s="12" t="s">
        <v>35</v>
      </c>
      <c r="AX177" s="12" t="s">
        <v>78</v>
      </c>
      <c r="AY177" s="174" t="s">
        <v>167</v>
      </c>
    </row>
    <row r="178" spans="2:51" s="10" customFormat="1" ht="22.5" customHeight="1">
      <c r="B178" s="151"/>
      <c r="C178" s="152"/>
      <c r="D178" s="152"/>
      <c r="E178" s="153" t="s">
        <v>5</v>
      </c>
      <c r="F178" s="304" t="s">
        <v>383</v>
      </c>
      <c r="G178" s="305"/>
      <c r="H178" s="305"/>
      <c r="I178" s="305"/>
      <c r="J178" s="152"/>
      <c r="K178" s="154" t="s">
        <v>5</v>
      </c>
      <c r="L178" s="152"/>
      <c r="M178" s="152"/>
      <c r="N178" s="152"/>
      <c r="O178" s="152"/>
      <c r="P178" s="152"/>
      <c r="Q178" s="152"/>
      <c r="R178" s="155"/>
      <c r="T178" s="156"/>
      <c r="U178" s="152"/>
      <c r="V178" s="152"/>
      <c r="W178" s="152"/>
      <c r="X178" s="152"/>
      <c r="Y178" s="152"/>
      <c r="Z178" s="152"/>
      <c r="AA178" s="157"/>
      <c r="AT178" s="158" t="s">
        <v>179</v>
      </c>
      <c r="AU178" s="158" t="s">
        <v>135</v>
      </c>
      <c r="AV178" s="10" t="s">
        <v>21</v>
      </c>
      <c r="AW178" s="10" t="s">
        <v>35</v>
      </c>
      <c r="AX178" s="10" t="s">
        <v>78</v>
      </c>
      <c r="AY178" s="158" t="s">
        <v>167</v>
      </c>
    </row>
    <row r="179" spans="2:51" s="11" customFormat="1" ht="22.5" customHeight="1">
      <c r="B179" s="159"/>
      <c r="C179" s="160"/>
      <c r="D179" s="160"/>
      <c r="E179" s="161" t="s">
        <v>5</v>
      </c>
      <c r="F179" s="302" t="s">
        <v>384</v>
      </c>
      <c r="G179" s="303"/>
      <c r="H179" s="303"/>
      <c r="I179" s="303"/>
      <c r="J179" s="160"/>
      <c r="K179" s="162">
        <v>1.789</v>
      </c>
      <c r="L179" s="160"/>
      <c r="M179" s="160"/>
      <c r="N179" s="160"/>
      <c r="O179" s="160"/>
      <c r="P179" s="160"/>
      <c r="Q179" s="160"/>
      <c r="R179" s="163"/>
      <c r="T179" s="164"/>
      <c r="U179" s="160"/>
      <c r="V179" s="160"/>
      <c r="W179" s="160"/>
      <c r="X179" s="160"/>
      <c r="Y179" s="160"/>
      <c r="Z179" s="160"/>
      <c r="AA179" s="165"/>
      <c r="AT179" s="166" t="s">
        <v>179</v>
      </c>
      <c r="AU179" s="166" t="s">
        <v>135</v>
      </c>
      <c r="AV179" s="11" t="s">
        <v>135</v>
      </c>
      <c r="AW179" s="11" t="s">
        <v>35</v>
      </c>
      <c r="AX179" s="11" t="s">
        <v>21</v>
      </c>
      <c r="AY179" s="166" t="s">
        <v>167</v>
      </c>
    </row>
    <row r="180" spans="2:63" s="9" customFormat="1" ht="29.85" customHeight="1">
      <c r="B180" s="130"/>
      <c r="C180" s="131"/>
      <c r="D180" s="140" t="s">
        <v>150</v>
      </c>
      <c r="E180" s="140"/>
      <c r="F180" s="140"/>
      <c r="G180" s="140"/>
      <c r="H180" s="140"/>
      <c r="I180" s="140"/>
      <c r="J180" s="140"/>
      <c r="K180" s="140"/>
      <c r="L180" s="140"/>
      <c r="M180" s="140"/>
      <c r="N180" s="298">
        <f>BK180</f>
        <v>0</v>
      </c>
      <c r="O180" s="299"/>
      <c r="P180" s="299"/>
      <c r="Q180" s="299"/>
      <c r="R180" s="133"/>
      <c r="T180" s="134"/>
      <c r="U180" s="131"/>
      <c r="V180" s="131"/>
      <c r="W180" s="135">
        <f>W181</f>
        <v>239.77</v>
      </c>
      <c r="X180" s="131"/>
      <c r="Y180" s="135">
        <f>Y181</f>
        <v>34.2882</v>
      </c>
      <c r="Z180" s="131"/>
      <c r="AA180" s="136">
        <f>AA181</f>
        <v>0</v>
      </c>
      <c r="AR180" s="137" t="s">
        <v>21</v>
      </c>
      <c r="AT180" s="138" t="s">
        <v>77</v>
      </c>
      <c r="AU180" s="138" t="s">
        <v>21</v>
      </c>
      <c r="AY180" s="137" t="s">
        <v>167</v>
      </c>
      <c r="BK180" s="139">
        <f>BK181</f>
        <v>0</v>
      </c>
    </row>
    <row r="181" spans="2:65" s="1" customFormat="1" ht="22.5" customHeight="1">
      <c r="B181" s="141"/>
      <c r="C181" s="142" t="s">
        <v>10</v>
      </c>
      <c r="D181" s="142" t="s">
        <v>168</v>
      </c>
      <c r="E181" s="143" t="s">
        <v>341</v>
      </c>
      <c r="F181" s="293" t="s">
        <v>385</v>
      </c>
      <c r="G181" s="293"/>
      <c r="H181" s="293"/>
      <c r="I181" s="293"/>
      <c r="J181" s="144" t="s">
        <v>259</v>
      </c>
      <c r="K181" s="145">
        <v>10</v>
      </c>
      <c r="L181" s="294"/>
      <c r="M181" s="294"/>
      <c r="N181" s="294">
        <f>ROUND(L181*K181,2)</f>
        <v>0</v>
      </c>
      <c r="O181" s="294"/>
      <c r="P181" s="294"/>
      <c r="Q181" s="294"/>
      <c r="R181" s="146"/>
      <c r="T181" s="147" t="s">
        <v>5</v>
      </c>
      <c r="U181" s="44" t="s">
        <v>43</v>
      </c>
      <c r="V181" s="148">
        <v>23.977</v>
      </c>
      <c r="W181" s="148">
        <f>V181*K181</f>
        <v>239.77</v>
      </c>
      <c r="X181" s="148">
        <v>3.42882</v>
      </c>
      <c r="Y181" s="148">
        <f>X181*K181</f>
        <v>34.2882</v>
      </c>
      <c r="Z181" s="148">
        <v>0</v>
      </c>
      <c r="AA181" s="149">
        <f>Z181*K181</f>
        <v>0</v>
      </c>
      <c r="AR181" s="21" t="s">
        <v>172</v>
      </c>
      <c r="AT181" s="21" t="s">
        <v>168</v>
      </c>
      <c r="AU181" s="21" t="s">
        <v>135</v>
      </c>
      <c r="AY181" s="21" t="s">
        <v>167</v>
      </c>
      <c r="BE181" s="150">
        <f>IF(U181="základní",N181,0)</f>
        <v>0</v>
      </c>
      <c r="BF181" s="150">
        <f>IF(U181="snížená",N181,0)</f>
        <v>0</v>
      </c>
      <c r="BG181" s="150">
        <f>IF(U181="zákl. přenesená",N181,0)</f>
        <v>0</v>
      </c>
      <c r="BH181" s="150">
        <f>IF(U181="sníž. přenesená",N181,0)</f>
        <v>0</v>
      </c>
      <c r="BI181" s="150">
        <f>IF(U181="nulová",N181,0)</f>
        <v>0</v>
      </c>
      <c r="BJ181" s="21" t="s">
        <v>21</v>
      </c>
      <c r="BK181" s="150">
        <f>ROUND(L181*K181,2)</f>
        <v>0</v>
      </c>
      <c r="BL181" s="21" t="s">
        <v>172</v>
      </c>
      <c r="BM181" s="21" t="s">
        <v>343</v>
      </c>
    </row>
    <row r="182" spans="2:63" s="9" customFormat="1" ht="29.85" customHeight="1">
      <c r="B182" s="130"/>
      <c r="C182" s="131"/>
      <c r="D182" s="140" t="s">
        <v>228</v>
      </c>
      <c r="E182" s="140"/>
      <c r="F182" s="140"/>
      <c r="G182" s="140"/>
      <c r="H182" s="140"/>
      <c r="I182" s="140"/>
      <c r="J182" s="140"/>
      <c r="K182" s="140"/>
      <c r="L182" s="140"/>
      <c r="M182" s="140"/>
      <c r="N182" s="310">
        <f>BK182</f>
        <v>0</v>
      </c>
      <c r="O182" s="311"/>
      <c r="P182" s="311"/>
      <c r="Q182" s="311"/>
      <c r="R182" s="133"/>
      <c r="T182" s="134"/>
      <c r="U182" s="131"/>
      <c r="V182" s="131"/>
      <c r="W182" s="135">
        <f>W183</f>
        <v>7.056</v>
      </c>
      <c r="X182" s="131"/>
      <c r="Y182" s="135">
        <f>Y183</f>
        <v>0.01176</v>
      </c>
      <c r="Z182" s="131"/>
      <c r="AA182" s="136">
        <f>AA183</f>
        <v>0</v>
      </c>
      <c r="AR182" s="137" t="s">
        <v>21</v>
      </c>
      <c r="AT182" s="138" t="s">
        <v>77</v>
      </c>
      <c r="AU182" s="138" t="s">
        <v>21</v>
      </c>
      <c r="AY182" s="137" t="s">
        <v>167</v>
      </c>
      <c r="BK182" s="139">
        <f>BK183</f>
        <v>0</v>
      </c>
    </row>
    <row r="183" spans="2:65" s="1" customFormat="1" ht="44.25" customHeight="1">
      <c r="B183" s="141"/>
      <c r="C183" s="142" t="s">
        <v>316</v>
      </c>
      <c r="D183" s="142" t="s">
        <v>168</v>
      </c>
      <c r="E183" s="143" t="s">
        <v>345</v>
      </c>
      <c r="F183" s="293" t="s">
        <v>346</v>
      </c>
      <c r="G183" s="293"/>
      <c r="H183" s="293"/>
      <c r="I183" s="293"/>
      <c r="J183" s="144" t="s">
        <v>199</v>
      </c>
      <c r="K183" s="145">
        <v>56</v>
      </c>
      <c r="L183" s="294"/>
      <c r="M183" s="294"/>
      <c r="N183" s="294">
        <f>ROUND(L183*K183,2)</f>
        <v>0</v>
      </c>
      <c r="O183" s="294"/>
      <c r="P183" s="294"/>
      <c r="Q183" s="294"/>
      <c r="R183" s="146"/>
      <c r="T183" s="147" t="s">
        <v>5</v>
      </c>
      <c r="U183" s="44" t="s">
        <v>43</v>
      </c>
      <c r="V183" s="148">
        <v>0.126</v>
      </c>
      <c r="W183" s="148">
        <f>V183*K183</f>
        <v>7.056</v>
      </c>
      <c r="X183" s="148">
        <v>0.00021</v>
      </c>
      <c r="Y183" s="148">
        <f>X183*K183</f>
        <v>0.01176</v>
      </c>
      <c r="Z183" s="148">
        <v>0</v>
      </c>
      <c r="AA183" s="149">
        <f>Z183*K183</f>
        <v>0</v>
      </c>
      <c r="AR183" s="21" t="s">
        <v>172</v>
      </c>
      <c r="AT183" s="21" t="s">
        <v>168</v>
      </c>
      <c r="AU183" s="21" t="s">
        <v>135</v>
      </c>
      <c r="AY183" s="21" t="s">
        <v>167</v>
      </c>
      <c r="BE183" s="150">
        <f>IF(U183="základní",N183,0)</f>
        <v>0</v>
      </c>
      <c r="BF183" s="150">
        <f>IF(U183="snížená",N183,0)</f>
        <v>0</v>
      </c>
      <c r="BG183" s="150">
        <f>IF(U183="zákl. přenesená",N183,0)</f>
        <v>0</v>
      </c>
      <c r="BH183" s="150">
        <f>IF(U183="sníž. přenesená",N183,0)</f>
        <v>0</v>
      </c>
      <c r="BI183" s="150">
        <f>IF(U183="nulová",N183,0)</f>
        <v>0</v>
      </c>
      <c r="BJ183" s="21" t="s">
        <v>21</v>
      </c>
      <c r="BK183" s="150">
        <f>ROUND(L183*K183,2)</f>
        <v>0</v>
      </c>
      <c r="BL183" s="21" t="s">
        <v>172</v>
      </c>
      <c r="BM183" s="21" t="s">
        <v>347</v>
      </c>
    </row>
    <row r="184" spans="2:63" s="9" customFormat="1" ht="29.85" customHeight="1">
      <c r="B184" s="130"/>
      <c r="C184" s="131"/>
      <c r="D184" s="140" t="s">
        <v>151</v>
      </c>
      <c r="E184" s="140"/>
      <c r="F184" s="140"/>
      <c r="G184" s="140"/>
      <c r="H184" s="140"/>
      <c r="I184" s="140"/>
      <c r="J184" s="140"/>
      <c r="K184" s="140"/>
      <c r="L184" s="140"/>
      <c r="M184" s="140"/>
      <c r="N184" s="310">
        <f>BK184</f>
        <v>0</v>
      </c>
      <c r="O184" s="311"/>
      <c r="P184" s="311"/>
      <c r="Q184" s="311"/>
      <c r="R184" s="133"/>
      <c r="T184" s="134"/>
      <c r="U184" s="131"/>
      <c r="V184" s="131"/>
      <c r="W184" s="135">
        <f>W185</f>
        <v>46.27257600000001</v>
      </c>
      <c r="X184" s="131"/>
      <c r="Y184" s="135">
        <f>Y185</f>
        <v>0</v>
      </c>
      <c r="Z184" s="131"/>
      <c r="AA184" s="136">
        <f>AA185</f>
        <v>0</v>
      </c>
      <c r="AR184" s="137" t="s">
        <v>21</v>
      </c>
      <c r="AT184" s="138" t="s">
        <v>77</v>
      </c>
      <c r="AU184" s="138" t="s">
        <v>21</v>
      </c>
      <c r="AY184" s="137" t="s">
        <v>167</v>
      </c>
      <c r="BK184" s="139">
        <f>BK185</f>
        <v>0</v>
      </c>
    </row>
    <row r="185" spans="2:65" s="1" customFormat="1" ht="22.5" customHeight="1">
      <c r="B185" s="141"/>
      <c r="C185" s="142" t="s">
        <v>321</v>
      </c>
      <c r="D185" s="142" t="s">
        <v>168</v>
      </c>
      <c r="E185" s="143" t="s">
        <v>222</v>
      </c>
      <c r="F185" s="293" t="s">
        <v>223</v>
      </c>
      <c r="G185" s="293"/>
      <c r="H185" s="293"/>
      <c r="I185" s="293"/>
      <c r="J185" s="144" t="s">
        <v>210</v>
      </c>
      <c r="K185" s="145">
        <v>137.716</v>
      </c>
      <c r="L185" s="294"/>
      <c r="M185" s="294"/>
      <c r="N185" s="294">
        <f>ROUND(L185*K185,2)</f>
        <v>0</v>
      </c>
      <c r="O185" s="294"/>
      <c r="P185" s="294"/>
      <c r="Q185" s="294"/>
      <c r="R185" s="146"/>
      <c r="T185" s="147" t="s">
        <v>5</v>
      </c>
      <c r="U185" s="175" t="s">
        <v>43</v>
      </c>
      <c r="V185" s="176">
        <v>0.336</v>
      </c>
      <c r="W185" s="176">
        <f>V185*K185</f>
        <v>46.27257600000001</v>
      </c>
      <c r="X185" s="176">
        <v>0</v>
      </c>
      <c r="Y185" s="176">
        <f>X185*K185</f>
        <v>0</v>
      </c>
      <c r="Z185" s="176">
        <v>0</v>
      </c>
      <c r="AA185" s="177">
        <f>Z185*K185</f>
        <v>0</v>
      </c>
      <c r="AR185" s="21" t="s">
        <v>172</v>
      </c>
      <c r="AT185" s="21" t="s">
        <v>168</v>
      </c>
      <c r="AU185" s="21" t="s">
        <v>135</v>
      </c>
      <c r="AY185" s="21" t="s">
        <v>167</v>
      </c>
      <c r="BE185" s="150">
        <f>IF(U185="základní",N185,0)</f>
        <v>0</v>
      </c>
      <c r="BF185" s="150">
        <f>IF(U185="snížená",N185,0)</f>
        <v>0</v>
      </c>
      <c r="BG185" s="150">
        <f>IF(U185="zákl. přenesená",N185,0)</f>
        <v>0</v>
      </c>
      <c r="BH185" s="150">
        <f>IF(U185="sníž. přenesená",N185,0)</f>
        <v>0</v>
      </c>
      <c r="BI185" s="150">
        <f>IF(U185="nulová",N185,0)</f>
        <v>0</v>
      </c>
      <c r="BJ185" s="21" t="s">
        <v>21</v>
      </c>
      <c r="BK185" s="150">
        <f>ROUND(L185*K185,2)</f>
        <v>0</v>
      </c>
      <c r="BL185" s="21" t="s">
        <v>172</v>
      </c>
      <c r="BM185" s="21" t="s">
        <v>350</v>
      </c>
    </row>
    <row r="186" spans="2:18" s="1" customFormat="1" ht="6.95" customHeight="1"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1"/>
    </row>
  </sheetData>
  <mergeCells count="173">
    <mergeCell ref="H1:K1"/>
    <mergeCell ref="S2:AC2"/>
    <mergeCell ref="F185:I185"/>
    <mergeCell ref="L185:M185"/>
    <mergeCell ref="N185:Q185"/>
    <mergeCell ref="N116:Q116"/>
    <mergeCell ref="N117:Q117"/>
    <mergeCell ref="N118:Q118"/>
    <mergeCell ref="N137:Q137"/>
    <mergeCell ref="N154:Q154"/>
    <mergeCell ref="N180:Q180"/>
    <mergeCell ref="N182:Q182"/>
    <mergeCell ref="N184:Q184"/>
    <mergeCell ref="F175:I175"/>
    <mergeCell ref="F176:I176"/>
    <mergeCell ref="F177:I177"/>
    <mergeCell ref="F178:I178"/>
    <mergeCell ref="F179:I179"/>
    <mergeCell ref="F181:I181"/>
    <mergeCell ref="L181:M181"/>
    <mergeCell ref="N181:Q181"/>
    <mergeCell ref="F183:I183"/>
    <mergeCell ref="L183:M183"/>
    <mergeCell ref="N183:Q183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F174:I174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56:I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51:I151"/>
    <mergeCell ref="L151:M151"/>
    <mergeCell ref="N151:Q151"/>
    <mergeCell ref="F152:I152"/>
    <mergeCell ref="L152:M152"/>
    <mergeCell ref="N152:Q152"/>
    <mergeCell ref="F153:I153"/>
    <mergeCell ref="F155:I155"/>
    <mergeCell ref="L155:M155"/>
    <mergeCell ref="N155:Q15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35:I135"/>
    <mergeCell ref="F136:I136"/>
    <mergeCell ref="F138:I138"/>
    <mergeCell ref="L138:M138"/>
    <mergeCell ref="N138:Q138"/>
    <mergeCell ref="F139:I139"/>
    <mergeCell ref="F140:I140"/>
    <mergeCell ref="L140:M140"/>
    <mergeCell ref="N140:Q140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F134:I134"/>
    <mergeCell ref="F123:I123"/>
    <mergeCell ref="F124:I124"/>
    <mergeCell ref="F125:I125"/>
    <mergeCell ref="F126:I126"/>
    <mergeCell ref="F127:I127"/>
    <mergeCell ref="F128:I128"/>
    <mergeCell ref="L128:M128"/>
    <mergeCell ref="N128:Q128"/>
    <mergeCell ref="F129:I129"/>
    <mergeCell ref="L129:M129"/>
    <mergeCell ref="N129:Q129"/>
    <mergeCell ref="F119:I119"/>
    <mergeCell ref="L119:M119"/>
    <mergeCell ref="N119:Q119"/>
    <mergeCell ref="F120:I120"/>
    <mergeCell ref="L120:M120"/>
    <mergeCell ref="N120:Q120"/>
    <mergeCell ref="F121:I121"/>
    <mergeCell ref="F122:I122"/>
    <mergeCell ref="L122:M122"/>
    <mergeCell ref="N122:Q122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164"/>
  <sheetViews>
    <sheetView showGridLines="0" view="pageBreakPreview" zoomScaleSheetLayoutView="100" workbookViewId="0" topLeftCell="A1">
      <pane ySplit="1" topLeftCell="A93" activePane="bottomLeft" state="frozen"/>
      <selection pane="topLeft" activeCell="AE85" sqref="AE84:AE85"/>
      <selection pane="bottomLeft" activeCell="AD177" sqref="AD17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386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N98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ROUNDUP((SUM(BE98:BE99)+SUM(BE117:BE163)),2)</f>
        <v>0</v>
      </c>
      <c r="I32" s="275"/>
      <c r="J32" s="275"/>
      <c r="K32" s="36"/>
      <c r="L32" s="36"/>
      <c r="M32" s="279">
        <f>ROUNDUP(ROUNDUP((SUM(BE98:BE99)+SUM(BE117:BE163)),2)*F32,1)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ROUNDUP((SUM(BF98:BF99)+SUM(BF117:BF163)),2)</f>
        <v>0</v>
      </c>
      <c r="I33" s="275"/>
      <c r="J33" s="275"/>
      <c r="K33" s="36"/>
      <c r="L33" s="36"/>
      <c r="M33" s="279">
        <f>ROUNDUP(ROUNDUP((SUM(BF98:BF99)+SUM(BF117:BF163)),2)*F33,1)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ROUNDUP((SUM(BG98:BG99)+SUM(BG117:BG163)),2)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ROUNDUP((SUM(BH98:BH99)+SUM(BH117:BH163)),2)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ROUNDUP((SUM(BI98:BI99)+SUM(BI117:BI163)),2)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SO.1.04 - Objekt ČOV - nádrž regenerace kalu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N117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N118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N119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N133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226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N147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228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N155</f>
        <v>0</v>
      </c>
      <c r="O93" s="288"/>
      <c r="P93" s="288"/>
      <c r="Q93" s="288"/>
      <c r="R93" s="120"/>
    </row>
    <row r="94" spans="2:18" s="7" customFormat="1" ht="19.9" customHeight="1">
      <c r="B94" s="117"/>
      <c r="C94" s="118"/>
      <c r="D94" s="119" t="s">
        <v>151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N157</f>
        <v>0</v>
      </c>
      <c r="O94" s="288"/>
      <c r="P94" s="288"/>
      <c r="Q94" s="288"/>
      <c r="R94" s="120"/>
    </row>
    <row r="95" spans="2:18" s="6" customFormat="1" ht="24.95" customHeight="1">
      <c r="B95" s="113"/>
      <c r="C95" s="114"/>
      <c r="D95" s="115" t="s">
        <v>387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85">
        <f>N159</f>
        <v>0</v>
      </c>
      <c r="O95" s="286"/>
      <c r="P95" s="286"/>
      <c r="Q95" s="286"/>
      <c r="R95" s="116"/>
    </row>
    <row r="96" spans="2:18" s="7" customFormat="1" ht="19.9" customHeight="1">
      <c r="B96" s="117"/>
      <c r="C96" s="118"/>
      <c r="D96" s="119" t="s">
        <v>388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87">
        <f>N160</f>
        <v>0</v>
      </c>
      <c r="O96" s="288"/>
      <c r="P96" s="288"/>
      <c r="Q96" s="288"/>
      <c r="R96" s="120"/>
    </row>
    <row r="97" spans="2:18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2" t="s">
        <v>152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84">
        <v>0</v>
      </c>
      <c r="O98" s="289"/>
      <c r="P98" s="289"/>
      <c r="Q98" s="289"/>
      <c r="R98" s="37"/>
      <c r="T98" s="121"/>
      <c r="U98" s="122" t="s">
        <v>42</v>
      </c>
    </row>
    <row r="99" spans="2:18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18" s="1" customFormat="1" ht="29.25" customHeight="1">
      <c r="B100" s="35"/>
      <c r="C100" s="103" t="s">
        <v>129</v>
      </c>
      <c r="D100" s="104"/>
      <c r="E100" s="104"/>
      <c r="F100" s="104"/>
      <c r="G100" s="104"/>
      <c r="H100" s="104"/>
      <c r="I100" s="104"/>
      <c r="J100" s="104"/>
      <c r="K100" s="104"/>
      <c r="L100" s="268">
        <f>ROUNDUP(SUM(N88+N98),2)</f>
        <v>0</v>
      </c>
      <c r="M100" s="268"/>
      <c r="N100" s="268"/>
      <c r="O100" s="268"/>
      <c r="P100" s="268"/>
      <c r="Q100" s="268"/>
      <c r="R100" s="37"/>
    </row>
    <row r="101" spans="2:18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18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5" customHeight="1">
      <c r="B106" s="35"/>
      <c r="C106" s="237" t="s">
        <v>153</v>
      </c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2" t="s">
        <v>16</v>
      </c>
      <c r="D108" s="36"/>
      <c r="E108" s="36"/>
      <c r="F108" s="273" t="str">
        <f>F6</f>
        <v>ČOV a splašková kanalizace Žinkovy</v>
      </c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36"/>
      <c r="R108" s="37"/>
    </row>
    <row r="109" spans="2:18" s="1" customFormat="1" ht="36.95" customHeight="1">
      <c r="B109" s="35"/>
      <c r="C109" s="69" t="s">
        <v>137</v>
      </c>
      <c r="D109" s="36"/>
      <c r="E109" s="36"/>
      <c r="F109" s="254" t="str">
        <f>F7</f>
        <v>SO.1.04 - Objekt ČOV - nádrž regenerace kalu</v>
      </c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36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18" customHeight="1">
      <c r="B111" s="35"/>
      <c r="C111" s="32" t="s">
        <v>22</v>
      </c>
      <c r="D111" s="36"/>
      <c r="E111" s="36"/>
      <c r="F111" s="30" t="str">
        <f>F9</f>
        <v>Žinkovy</v>
      </c>
      <c r="G111" s="36"/>
      <c r="H111" s="36"/>
      <c r="I111" s="36"/>
      <c r="J111" s="36"/>
      <c r="K111" s="32" t="s">
        <v>24</v>
      </c>
      <c r="L111" s="36"/>
      <c r="M111" s="276">
        <f>IF(O9="","",O9)</f>
        <v>42912</v>
      </c>
      <c r="N111" s="276"/>
      <c r="O111" s="276"/>
      <c r="P111" s="276"/>
      <c r="Q111" s="36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5">
      <c r="B113" s="35"/>
      <c r="C113" s="32" t="s">
        <v>27</v>
      </c>
      <c r="D113" s="36"/>
      <c r="E113" s="36"/>
      <c r="F113" s="30" t="str">
        <f>E12</f>
        <v>Obec Žinkovy</v>
      </c>
      <c r="G113" s="36"/>
      <c r="H113" s="36"/>
      <c r="I113" s="36"/>
      <c r="J113" s="36"/>
      <c r="K113" s="32" t="s">
        <v>33</v>
      </c>
      <c r="L113" s="36"/>
      <c r="M113" s="277" t="str">
        <f>E18</f>
        <v>PIK Vítek s.r.o.</v>
      </c>
      <c r="N113" s="277"/>
      <c r="O113" s="277"/>
      <c r="P113" s="277"/>
      <c r="Q113" s="277"/>
      <c r="R113" s="37"/>
    </row>
    <row r="114" spans="2:18" s="1" customFormat="1" ht="14.45" customHeight="1">
      <c r="B114" s="35"/>
      <c r="C114" s="32" t="s">
        <v>31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36</v>
      </c>
      <c r="L114" s="36"/>
      <c r="M114" s="277" t="str">
        <f>E21</f>
        <v>Acrone s.r.o.</v>
      </c>
      <c r="N114" s="277"/>
      <c r="O114" s="277"/>
      <c r="P114" s="277"/>
      <c r="Q114" s="277"/>
      <c r="R114" s="37"/>
    </row>
    <row r="115" spans="2:18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27" s="8" customFormat="1" ht="29.25" customHeight="1">
      <c r="B116" s="123"/>
      <c r="C116" s="124" t="s">
        <v>154</v>
      </c>
      <c r="D116" s="125" t="s">
        <v>155</v>
      </c>
      <c r="E116" s="125" t="s">
        <v>60</v>
      </c>
      <c r="F116" s="290" t="s">
        <v>156</v>
      </c>
      <c r="G116" s="290"/>
      <c r="H116" s="290"/>
      <c r="I116" s="290"/>
      <c r="J116" s="125" t="s">
        <v>157</v>
      </c>
      <c r="K116" s="125" t="s">
        <v>158</v>
      </c>
      <c r="L116" s="291" t="s">
        <v>159</v>
      </c>
      <c r="M116" s="291"/>
      <c r="N116" s="290" t="s">
        <v>144</v>
      </c>
      <c r="O116" s="290"/>
      <c r="P116" s="290"/>
      <c r="Q116" s="292"/>
      <c r="R116" s="126"/>
      <c r="T116" s="76" t="s">
        <v>160</v>
      </c>
      <c r="U116" s="77" t="s">
        <v>42</v>
      </c>
      <c r="V116" s="77" t="s">
        <v>161</v>
      </c>
      <c r="W116" s="77" t="s">
        <v>162</v>
      </c>
      <c r="X116" s="77" t="s">
        <v>163</v>
      </c>
      <c r="Y116" s="77" t="s">
        <v>164</v>
      </c>
      <c r="Z116" s="77" t="s">
        <v>165</v>
      </c>
      <c r="AA116" s="78" t="s">
        <v>166</v>
      </c>
    </row>
    <row r="117" spans="2:63" s="1" customFormat="1" ht="29.25" customHeight="1">
      <c r="B117" s="35"/>
      <c r="C117" s="80" t="s">
        <v>140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95">
        <f>BK117</f>
        <v>0</v>
      </c>
      <c r="O117" s="296"/>
      <c r="P117" s="296"/>
      <c r="Q117" s="296"/>
      <c r="R117" s="37"/>
      <c r="T117" s="79"/>
      <c r="U117" s="51"/>
      <c r="V117" s="51"/>
      <c r="W117" s="127">
        <f>W118+W159</f>
        <v>68.453468</v>
      </c>
      <c r="X117" s="51"/>
      <c r="Y117" s="127">
        <f>Y118+Y159</f>
        <v>17.839738249999996</v>
      </c>
      <c r="Z117" s="51"/>
      <c r="AA117" s="128">
        <f>AA118+AA159</f>
        <v>0</v>
      </c>
      <c r="AT117" s="21" t="s">
        <v>77</v>
      </c>
      <c r="AU117" s="21" t="s">
        <v>146</v>
      </c>
      <c r="BK117" s="129">
        <f>BK118+BK159</f>
        <v>0</v>
      </c>
    </row>
    <row r="118" spans="2:63" s="9" customFormat="1" ht="37.35" customHeight="1">
      <c r="B118" s="130"/>
      <c r="C118" s="131"/>
      <c r="D118" s="132" t="s">
        <v>147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297">
        <f>BK118</f>
        <v>0</v>
      </c>
      <c r="O118" s="285"/>
      <c r="P118" s="285"/>
      <c r="Q118" s="285"/>
      <c r="R118" s="133"/>
      <c r="T118" s="134"/>
      <c r="U118" s="131"/>
      <c r="V118" s="131"/>
      <c r="W118" s="135">
        <f>W119+W133+W147+W155+W157</f>
        <v>66.194468</v>
      </c>
      <c r="X118" s="131"/>
      <c r="Y118" s="135">
        <f>Y119+Y133+Y147+Y155+Y157</f>
        <v>17.839228249999998</v>
      </c>
      <c r="Z118" s="131"/>
      <c r="AA118" s="136">
        <f>AA119+AA133+AA147+AA155+AA157</f>
        <v>0</v>
      </c>
      <c r="AR118" s="137" t="s">
        <v>21</v>
      </c>
      <c r="AT118" s="138" t="s">
        <v>77</v>
      </c>
      <c r="AU118" s="138" t="s">
        <v>78</v>
      </c>
      <c r="AY118" s="137" t="s">
        <v>167</v>
      </c>
      <c r="BK118" s="139">
        <f>BK119+BK133+BK147+BK155+BK157</f>
        <v>0</v>
      </c>
    </row>
    <row r="119" spans="2:63" s="9" customFormat="1" ht="19.9" customHeight="1">
      <c r="B119" s="130"/>
      <c r="C119" s="131"/>
      <c r="D119" s="140" t="s">
        <v>148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98">
        <f>BK119</f>
        <v>0</v>
      </c>
      <c r="O119" s="299"/>
      <c r="P119" s="299"/>
      <c r="Q119" s="299"/>
      <c r="R119" s="133"/>
      <c r="T119" s="134"/>
      <c r="U119" s="131"/>
      <c r="V119" s="131"/>
      <c r="W119" s="135">
        <f>SUM(W120:W132)</f>
        <v>7.80428</v>
      </c>
      <c r="X119" s="131"/>
      <c r="Y119" s="135">
        <f>SUM(Y120:Y132)</f>
        <v>0</v>
      </c>
      <c r="Z119" s="131"/>
      <c r="AA119" s="136">
        <f>SUM(AA120:AA132)</f>
        <v>0</v>
      </c>
      <c r="AR119" s="137" t="s">
        <v>21</v>
      </c>
      <c r="AT119" s="138" t="s">
        <v>77</v>
      </c>
      <c r="AU119" s="138" t="s">
        <v>21</v>
      </c>
      <c r="AY119" s="137" t="s">
        <v>167</v>
      </c>
      <c r="BK119" s="139">
        <f>SUM(BK120:BK132)</f>
        <v>0</v>
      </c>
    </row>
    <row r="120" spans="2:65" s="1" customFormat="1" ht="31.5" customHeight="1">
      <c r="B120" s="141"/>
      <c r="C120" s="142" t="s">
        <v>21</v>
      </c>
      <c r="D120" s="142" t="s">
        <v>168</v>
      </c>
      <c r="E120" s="143" t="s">
        <v>239</v>
      </c>
      <c r="F120" s="293" t="s">
        <v>240</v>
      </c>
      <c r="G120" s="293"/>
      <c r="H120" s="293"/>
      <c r="I120" s="293"/>
      <c r="J120" s="144" t="s">
        <v>176</v>
      </c>
      <c r="K120" s="145">
        <v>9.52</v>
      </c>
      <c r="L120" s="294"/>
      <c r="M120" s="294"/>
      <c r="N120" s="294">
        <f>ROUND(L120*K120,2)</f>
        <v>0</v>
      </c>
      <c r="O120" s="294"/>
      <c r="P120" s="294"/>
      <c r="Q120" s="294"/>
      <c r="R120" s="146"/>
      <c r="T120" s="147" t="s">
        <v>5</v>
      </c>
      <c r="U120" s="44" t="s">
        <v>43</v>
      </c>
      <c r="V120" s="148">
        <v>0.467</v>
      </c>
      <c r="W120" s="148">
        <f>V120*K120</f>
        <v>4.4458400000000005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172</v>
      </c>
      <c r="AT120" s="21" t="s">
        <v>168</v>
      </c>
      <c r="AU120" s="21" t="s">
        <v>135</v>
      </c>
      <c r="AY120" s="21" t="s">
        <v>167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21</v>
      </c>
      <c r="BK120" s="150">
        <f>ROUND(L120*K120,2)</f>
        <v>0</v>
      </c>
      <c r="BL120" s="21" t="s">
        <v>172</v>
      </c>
      <c r="BM120" s="21" t="s">
        <v>241</v>
      </c>
    </row>
    <row r="121" spans="2:51" s="10" customFormat="1" ht="22.5" customHeight="1">
      <c r="B121" s="151"/>
      <c r="C121" s="152"/>
      <c r="D121" s="152"/>
      <c r="E121" s="153" t="s">
        <v>5</v>
      </c>
      <c r="F121" s="300" t="s">
        <v>359</v>
      </c>
      <c r="G121" s="301"/>
      <c r="H121" s="301"/>
      <c r="I121" s="301"/>
      <c r="J121" s="152"/>
      <c r="K121" s="154" t="s">
        <v>5</v>
      </c>
      <c r="L121" s="152"/>
      <c r="M121" s="152"/>
      <c r="N121" s="152"/>
      <c r="O121" s="152"/>
      <c r="P121" s="152"/>
      <c r="Q121" s="152"/>
      <c r="R121" s="155"/>
      <c r="T121" s="156"/>
      <c r="U121" s="152"/>
      <c r="V121" s="152"/>
      <c r="W121" s="152"/>
      <c r="X121" s="152"/>
      <c r="Y121" s="152"/>
      <c r="Z121" s="152"/>
      <c r="AA121" s="157"/>
      <c r="AT121" s="158" t="s">
        <v>179</v>
      </c>
      <c r="AU121" s="158" t="s">
        <v>135</v>
      </c>
      <c r="AV121" s="10" t="s">
        <v>21</v>
      </c>
      <c r="AW121" s="10" t="s">
        <v>35</v>
      </c>
      <c r="AX121" s="10" t="s">
        <v>78</v>
      </c>
      <c r="AY121" s="158" t="s">
        <v>167</v>
      </c>
    </row>
    <row r="122" spans="2:51" s="11" customFormat="1" ht="22.5" customHeight="1">
      <c r="B122" s="159"/>
      <c r="C122" s="160"/>
      <c r="D122" s="160"/>
      <c r="E122" s="161" t="s">
        <v>5</v>
      </c>
      <c r="F122" s="302" t="s">
        <v>389</v>
      </c>
      <c r="G122" s="303"/>
      <c r="H122" s="303"/>
      <c r="I122" s="303"/>
      <c r="J122" s="160"/>
      <c r="K122" s="162">
        <v>6</v>
      </c>
      <c r="L122" s="160"/>
      <c r="M122" s="160"/>
      <c r="N122" s="160"/>
      <c r="O122" s="160"/>
      <c r="P122" s="160"/>
      <c r="Q122" s="160"/>
      <c r="R122" s="163"/>
      <c r="T122" s="164"/>
      <c r="U122" s="160"/>
      <c r="V122" s="160"/>
      <c r="W122" s="160"/>
      <c r="X122" s="160"/>
      <c r="Y122" s="160"/>
      <c r="Z122" s="160"/>
      <c r="AA122" s="165"/>
      <c r="AT122" s="166" t="s">
        <v>179</v>
      </c>
      <c r="AU122" s="166" t="s">
        <v>135</v>
      </c>
      <c r="AV122" s="11" t="s">
        <v>135</v>
      </c>
      <c r="AW122" s="11" t="s">
        <v>35</v>
      </c>
      <c r="AX122" s="11" t="s">
        <v>78</v>
      </c>
      <c r="AY122" s="166" t="s">
        <v>167</v>
      </c>
    </row>
    <row r="123" spans="2:51" s="11" customFormat="1" ht="22.5" customHeight="1">
      <c r="B123" s="159"/>
      <c r="C123" s="160"/>
      <c r="D123" s="160"/>
      <c r="E123" s="161" t="s">
        <v>5</v>
      </c>
      <c r="F123" s="302" t="s">
        <v>390</v>
      </c>
      <c r="G123" s="303"/>
      <c r="H123" s="303"/>
      <c r="I123" s="303"/>
      <c r="J123" s="160"/>
      <c r="K123" s="162">
        <v>1.6</v>
      </c>
      <c r="L123" s="160"/>
      <c r="M123" s="160"/>
      <c r="N123" s="160"/>
      <c r="O123" s="160"/>
      <c r="P123" s="160"/>
      <c r="Q123" s="160"/>
      <c r="R123" s="163"/>
      <c r="T123" s="164"/>
      <c r="U123" s="160"/>
      <c r="V123" s="160"/>
      <c r="W123" s="160"/>
      <c r="X123" s="160"/>
      <c r="Y123" s="160"/>
      <c r="Z123" s="160"/>
      <c r="AA123" s="165"/>
      <c r="AT123" s="166" t="s">
        <v>179</v>
      </c>
      <c r="AU123" s="166" t="s">
        <v>135</v>
      </c>
      <c r="AV123" s="11" t="s">
        <v>135</v>
      </c>
      <c r="AW123" s="11" t="s">
        <v>35</v>
      </c>
      <c r="AX123" s="11" t="s">
        <v>78</v>
      </c>
      <c r="AY123" s="166" t="s">
        <v>167</v>
      </c>
    </row>
    <row r="124" spans="2:51" s="11" customFormat="1" ht="22.5" customHeight="1">
      <c r="B124" s="159"/>
      <c r="C124" s="160"/>
      <c r="D124" s="160"/>
      <c r="E124" s="161" t="s">
        <v>5</v>
      </c>
      <c r="F124" s="302" t="s">
        <v>391</v>
      </c>
      <c r="G124" s="303"/>
      <c r="H124" s="303"/>
      <c r="I124" s="303"/>
      <c r="J124" s="160"/>
      <c r="K124" s="162">
        <v>1.92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78</v>
      </c>
      <c r="AY124" s="166" t="s">
        <v>167</v>
      </c>
    </row>
    <row r="125" spans="2:51" s="12" customFormat="1" ht="22.5" customHeight="1">
      <c r="B125" s="167"/>
      <c r="C125" s="168"/>
      <c r="D125" s="168"/>
      <c r="E125" s="169" t="s">
        <v>5</v>
      </c>
      <c r="F125" s="306" t="s">
        <v>183</v>
      </c>
      <c r="G125" s="307"/>
      <c r="H125" s="307"/>
      <c r="I125" s="307"/>
      <c r="J125" s="168"/>
      <c r="K125" s="170">
        <v>9.52</v>
      </c>
      <c r="L125" s="168"/>
      <c r="M125" s="168"/>
      <c r="N125" s="168"/>
      <c r="O125" s="168"/>
      <c r="P125" s="168"/>
      <c r="Q125" s="168"/>
      <c r="R125" s="171"/>
      <c r="T125" s="172"/>
      <c r="U125" s="168"/>
      <c r="V125" s="168"/>
      <c r="W125" s="168"/>
      <c r="X125" s="168"/>
      <c r="Y125" s="168"/>
      <c r="Z125" s="168"/>
      <c r="AA125" s="173"/>
      <c r="AT125" s="174" t="s">
        <v>179</v>
      </c>
      <c r="AU125" s="174" t="s">
        <v>135</v>
      </c>
      <c r="AV125" s="12" t="s">
        <v>172</v>
      </c>
      <c r="AW125" s="12" t="s">
        <v>35</v>
      </c>
      <c r="AX125" s="12" t="s">
        <v>21</v>
      </c>
      <c r="AY125" s="174" t="s">
        <v>167</v>
      </c>
    </row>
    <row r="126" spans="2:65" s="1" customFormat="1" ht="31.5" customHeight="1">
      <c r="B126" s="141"/>
      <c r="C126" s="142" t="s">
        <v>135</v>
      </c>
      <c r="D126" s="142" t="s">
        <v>168</v>
      </c>
      <c r="E126" s="143" t="s">
        <v>245</v>
      </c>
      <c r="F126" s="293" t="s">
        <v>246</v>
      </c>
      <c r="G126" s="293"/>
      <c r="H126" s="293"/>
      <c r="I126" s="293"/>
      <c r="J126" s="144" t="s">
        <v>176</v>
      </c>
      <c r="K126" s="145">
        <v>9.52</v>
      </c>
      <c r="L126" s="294"/>
      <c r="M126" s="294"/>
      <c r="N126" s="294">
        <f>ROUND(L126*K126,2)</f>
        <v>0</v>
      </c>
      <c r="O126" s="294"/>
      <c r="P126" s="294"/>
      <c r="Q126" s="294"/>
      <c r="R126" s="146"/>
      <c r="T126" s="147" t="s">
        <v>5</v>
      </c>
      <c r="U126" s="44" t="s">
        <v>43</v>
      </c>
      <c r="V126" s="148">
        <v>0.04</v>
      </c>
      <c r="W126" s="148">
        <f>V126*K126</f>
        <v>0.38079999999999997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172</v>
      </c>
      <c r="AT126" s="21" t="s">
        <v>168</v>
      </c>
      <c r="AU126" s="21" t="s">
        <v>135</v>
      </c>
      <c r="AY126" s="21" t="s">
        <v>167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21</v>
      </c>
      <c r="BK126" s="150">
        <f>ROUND(L126*K126,2)</f>
        <v>0</v>
      </c>
      <c r="BL126" s="21" t="s">
        <v>172</v>
      </c>
      <c r="BM126" s="21" t="s">
        <v>247</v>
      </c>
    </row>
    <row r="127" spans="2:65" s="1" customFormat="1" ht="31.5" customHeight="1">
      <c r="B127" s="141"/>
      <c r="C127" s="142" t="s">
        <v>184</v>
      </c>
      <c r="D127" s="142" t="s">
        <v>168</v>
      </c>
      <c r="E127" s="143" t="s">
        <v>248</v>
      </c>
      <c r="F127" s="293" t="s">
        <v>249</v>
      </c>
      <c r="G127" s="293"/>
      <c r="H127" s="293"/>
      <c r="I127" s="293"/>
      <c r="J127" s="144" t="s">
        <v>176</v>
      </c>
      <c r="K127" s="145">
        <v>9.52</v>
      </c>
      <c r="L127" s="294"/>
      <c r="M127" s="294"/>
      <c r="N127" s="294">
        <f>ROUND(L127*K127,2)</f>
        <v>0</v>
      </c>
      <c r="O127" s="294"/>
      <c r="P127" s="294"/>
      <c r="Q127" s="294"/>
      <c r="R127" s="146"/>
      <c r="T127" s="147" t="s">
        <v>5</v>
      </c>
      <c r="U127" s="44" t="s">
        <v>43</v>
      </c>
      <c r="V127" s="148">
        <v>0.097</v>
      </c>
      <c r="W127" s="148">
        <f>V127*K127</f>
        <v>0.92344</v>
      </c>
      <c r="X127" s="148">
        <v>0</v>
      </c>
      <c r="Y127" s="148">
        <f>X127*K127</f>
        <v>0</v>
      </c>
      <c r="Z127" s="148">
        <v>0</v>
      </c>
      <c r="AA127" s="149">
        <f>Z127*K127</f>
        <v>0</v>
      </c>
      <c r="AR127" s="21" t="s">
        <v>172</v>
      </c>
      <c r="AT127" s="21" t="s">
        <v>168</v>
      </c>
      <c r="AU127" s="21" t="s">
        <v>135</v>
      </c>
      <c r="AY127" s="21" t="s">
        <v>167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21</v>
      </c>
      <c r="BK127" s="150">
        <f>ROUND(L127*K127,2)</f>
        <v>0</v>
      </c>
      <c r="BL127" s="21" t="s">
        <v>172</v>
      </c>
      <c r="BM127" s="21" t="s">
        <v>250</v>
      </c>
    </row>
    <row r="128" spans="2:65" s="1" customFormat="1" ht="44.25" customHeight="1">
      <c r="B128" s="141"/>
      <c r="C128" s="142" t="s">
        <v>172</v>
      </c>
      <c r="D128" s="142" t="s">
        <v>168</v>
      </c>
      <c r="E128" s="143" t="s">
        <v>251</v>
      </c>
      <c r="F128" s="293" t="s">
        <v>252</v>
      </c>
      <c r="G128" s="293"/>
      <c r="H128" s="293"/>
      <c r="I128" s="293"/>
      <c r="J128" s="144" t="s">
        <v>176</v>
      </c>
      <c r="K128" s="145">
        <v>9.52</v>
      </c>
      <c r="L128" s="294"/>
      <c r="M128" s="294"/>
      <c r="N128" s="294">
        <f>ROUND(L128*K128,2)</f>
        <v>0</v>
      </c>
      <c r="O128" s="294"/>
      <c r="P128" s="294"/>
      <c r="Q128" s="294"/>
      <c r="R128" s="146"/>
      <c r="T128" s="147" t="s">
        <v>5</v>
      </c>
      <c r="U128" s="44" t="s">
        <v>43</v>
      </c>
      <c r="V128" s="148">
        <v>0.011</v>
      </c>
      <c r="W128" s="148">
        <f>V128*K128</f>
        <v>0.10472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172</v>
      </c>
      <c r="AT128" s="21" t="s">
        <v>168</v>
      </c>
      <c r="AU128" s="21" t="s">
        <v>135</v>
      </c>
      <c r="AY128" s="21" t="s">
        <v>167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21</v>
      </c>
      <c r="BK128" s="150">
        <f>ROUND(L128*K128,2)</f>
        <v>0</v>
      </c>
      <c r="BL128" s="21" t="s">
        <v>172</v>
      </c>
      <c r="BM128" s="21" t="s">
        <v>253</v>
      </c>
    </row>
    <row r="129" spans="2:65" s="1" customFormat="1" ht="22.5" customHeight="1">
      <c r="B129" s="141"/>
      <c r="C129" s="142" t="s">
        <v>196</v>
      </c>
      <c r="D129" s="142" t="s">
        <v>168</v>
      </c>
      <c r="E129" s="143" t="s">
        <v>254</v>
      </c>
      <c r="F129" s="293" t="s">
        <v>358</v>
      </c>
      <c r="G129" s="293"/>
      <c r="H129" s="293"/>
      <c r="I129" s="293"/>
      <c r="J129" s="144" t="s">
        <v>176</v>
      </c>
      <c r="K129" s="145">
        <v>6.52</v>
      </c>
      <c r="L129" s="294"/>
      <c r="M129" s="294"/>
      <c r="N129" s="294">
        <f>ROUND(L129*K129,2)</f>
        <v>0</v>
      </c>
      <c r="O129" s="294"/>
      <c r="P129" s="294"/>
      <c r="Q129" s="294"/>
      <c r="R129" s="146"/>
      <c r="T129" s="147" t="s">
        <v>5</v>
      </c>
      <c r="U129" s="44" t="s">
        <v>43</v>
      </c>
      <c r="V129" s="148">
        <v>0.299</v>
      </c>
      <c r="W129" s="148">
        <f>V129*K129</f>
        <v>1.9494799999999999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172</v>
      </c>
      <c r="AT129" s="21" t="s">
        <v>168</v>
      </c>
      <c r="AU129" s="21" t="s">
        <v>135</v>
      </c>
      <c r="AY129" s="21" t="s">
        <v>167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21</v>
      </c>
      <c r="BK129" s="150">
        <f>ROUND(L129*K129,2)</f>
        <v>0</v>
      </c>
      <c r="BL129" s="21" t="s">
        <v>172</v>
      </c>
      <c r="BM129" s="21" t="s">
        <v>256</v>
      </c>
    </row>
    <row r="130" spans="2:51" s="10" customFormat="1" ht="22.5" customHeight="1">
      <c r="B130" s="151"/>
      <c r="C130" s="152"/>
      <c r="D130" s="152"/>
      <c r="E130" s="153" t="s">
        <v>5</v>
      </c>
      <c r="F130" s="300" t="s">
        <v>359</v>
      </c>
      <c r="G130" s="301"/>
      <c r="H130" s="301"/>
      <c r="I130" s="301"/>
      <c r="J130" s="152"/>
      <c r="K130" s="154" t="s">
        <v>5</v>
      </c>
      <c r="L130" s="152"/>
      <c r="M130" s="152"/>
      <c r="N130" s="152"/>
      <c r="O130" s="152"/>
      <c r="P130" s="152"/>
      <c r="Q130" s="152"/>
      <c r="R130" s="155"/>
      <c r="T130" s="156"/>
      <c r="U130" s="152"/>
      <c r="V130" s="152"/>
      <c r="W130" s="152"/>
      <c r="X130" s="152"/>
      <c r="Y130" s="152"/>
      <c r="Z130" s="152"/>
      <c r="AA130" s="157"/>
      <c r="AT130" s="158" t="s">
        <v>179</v>
      </c>
      <c r="AU130" s="158" t="s">
        <v>135</v>
      </c>
      <c r="AV130" s="10" t="s">
        <v>21</v>
      </c>
      <c r="AW130" s="10" t="s">
        <v>35</v>
      </c>
      <c r="AX130" s="10" t="s">
        <v>78</v>
      </c>
      <c r="AY130" s="158" t="s">
        <v>167</v>
      </c>
    </row>
    <row r="131" spans="2:51" s="11" customFormat="1" ht="22.5" customHeight="1">
      <c r="B131" s="159"/>
      <c r="C131" s="160"/>
      <c r="D131" s="160"/>
      <c r="E131" s="161" t="s">
        <v>5</v>
      </c>
      <c r="F131" s="302" t="s">
        <v>392</v>
      </c>
      <c r="G131" s="303"/>
      <c r="H131" s="303"/>
      <c r="I131" s="303"/>
      <c r="J131" s="160"/>
      <c r="K131" s="162">
        <v>6.52</v>
      </c>
      <c r="L131" s="160"/>
      <c r="M131" s="160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179</v>
      </c>
      <c r="AU131" s="166" t="s">
        <v>135</v>
      </c>
      <c r="AV131" s="11" t="s">
        <v>135</v>
      </c>
      <c r="AW131" s="11" t="s">
        <v>35</v>
      </c>
      <c r="AX131" s="11" t="s">
        <v>78</v>
      </c>
      <c r="AY131" s="166" t="s">
        <v>167</v>
      </c>
    </row>
    <row r="132" spans="2:51" s="12" customFormat="1" ht="22.5" customHeight="1">
      <c r="B132" s="167"/>
      <c r="C132" s="168"/>
      <c r="D132" s="168"/>
      <c r="E132" s="169" t="s">
        <v>5</v>
      </c>
      <c r="F132" s="306" t="s">
        <v>183</v>
      </c>
      <c r="G132" s="307"/>
      <c r="H132" s="307"/>
      <c r="I132" s="307"/>
      <c r="J132" s="168"/>
      <c r="K132" s="170">
        <v>6.52</v>
      </c>
      <c r="L132" s="168"/>
      <c r="M132" s="168"/>
      <c r="N132" s="168"/>
      <c r="O132" s="168"/>
      <c r="P132" s="168"/>
      <c r="Q132" s="168"/>
      <c r="R132" s="171"/>
      <c r="T132" s="172"/>
      <c r="U132" s="168"/>
      <c r="V132" s="168"/>
      <c r="W132" s="168"/>
      <c r="X132" s="168"/>
      <c r="Y132" s="168"/>
      <c r="Z132" s="168"/>
      <c r="AA132" s="173"/>
      <c r="AT132" s="174" t="s">
        <v>179</v>
      </c>
      <c r="AU132" s="174" t="s">
        <v>135</v>
      </c>
      <c r="AV132" s="12" t="s">
        <v>172</v>
      </c>
      <c r="AW132" s="12" t="s">
        <v>35</v>
      </c>
      <c r="AX132" s="12" t="s">
        <v>21</v>
      </c>
      <c r="AY132" s="174" t="s">
        <v>167</v>
      </c>
    </row>
    <row r="133" spans="2:63" s="9" customFormat="1" ht="29.85" customHeight="1">
      <c r="B133" s="130"/>
      <c r="C133" s="131"/>
      <c r="D133" s="140" t="s">
        <v>149</v>
      </c>
      <c r="E133" s="140"/>
      <c r="F133" s="140"/>
      <c r="G133" s="140"/>
      <c r="H133" s="140"/>
      <c r="I133" s="140"/>
      <c r="J133" s="140"/>
      <c r="K133" s="140"/>
      <c r="L133" s="140"/>
      <c r="M133" s="140"/>
      <c r="N133" s="298">
        <f>BK133</f>
        <v>0</v>
      </c>
      <c r="O133" s="299"/>
      <c r="P133" s="299"/>
      <c r="Q133" s="299"/>
      <c r="R133" s="133"/>
      <c r="T133" s="134"/>
      <c r="U133" s="131"/>
      <c r="V133" s="131"/>
      <c r="W133" s="135">
        <f>SUM(W134:W146)</f>
        <v>11.346104</v>
      </c>
      <c r="X133" s="131"/>
      <c r="Y133" s="135">
        <f>SUM(Y134:Y146)</f>
        <v>8.033432249999999</v>
      </c>
      <c r="Z133" s="131"/>
      <c r="AA133" s="136">
        <f>SUM(AA134:AA146)</f>
        <v>0</v>
      </c>
      <c r="AR133" s="137" t="s">
        <v>21</v>
      </c>
      <c r="AT133" s="138" t="s">
        <v>77</v>
      </c>
      <c r="AU133" s="138" t="s">
        <v>21</v>
      </c>
      <c r="AY133" s="137" t="s">
        <v>167</v>
      </c>
      <c r="BK133" s="139">
        <f>SUM(BK134:BK146)</f>
        <v>0</v>
      </c>
    </row>
    <row r="134" spans="2:65" s="1" customFormat="1" ht="31.5" customHeight="1">
      <c r="B134" s="141"/>
      <c r="C134" s="142" t="s">
        <v>203</v>
      </c>
      <c r="D134" s="142" t="s">
        <v>168</v>
      </c>
      <c r="E134" s="143" t="s">
        <v>262</v>
      </c>
      <c r="F134" s="293" t="s">
        <v>263</v>
      </c>
      <c r="G134" s="293"/>
      <c r="H134" s="293"/>
      <c r="I134" s="293"/>
      <c r="J134" s="144" t="s">
        <v>199</v>
      </c>
      <c r="K134" s="145">
        <v>7.5</v>
      </c>
      <c r="L134" s="294"/>
      <c r="M134" s="294"/>
      <c r="N134" s="294">
        <f>ROUND(L134*K134,2)</f>
        <v>0</v>
      </c>
      <c r="O134" s="294"/>
      <c r="P134" s="294"/>
      <c r="Q134" s="294"/>
      <c r="R134" s="146"/>
      <c r="T134" s="147" t="s">
        <v>5</v>
      </c>
      <c r="U134" s="44" t="s">
        <v>43</v>
      </c>
      <c r="V134" s="148">
        <v>0.08</v>
      </c>
      <c r="W134" s="148">
        <f>V134*K134</f>
        <v>0.6</v>
      </c>
      <c r="X134" s="148">
        <v>0.00047</v>
      </c>
      <c r="Y134" s="148">
        <f>X134*K134</f>
        <v>0.003525</v>
      </c>
      <c r="Z134" s="148">
        <v>0</v>
      </c>
      <c r="AA134" s="149">
        <f>Z134*K134</f>
        <v>0</v>
      </c>
      <c r="AR134" s="21" t="s">
        <v>172</v>
      </c>
      <c r="AT134" s="21" t="s">
        <v>168</v>
      </c>
      <c r="AU134" s="21" t="s">
        <v>135</v>
      </c>
      <c r="AY134" s="21" t="s">
        <v>167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21</v>
      </c>
      <c r="BK134" s="150">
        <f>ROUND(L134*K134,2)</f>
        <v>0</v>
      </c>
      <c r="BL134" s="21" t="s">
        <v>172</v>
      </c>
      <c r="BM134" s="21" t="s">
        <v>264</v>
      </c>
    </row>
    <row r="135" spans="2:51" s="11" customFormat="1" ht="22.5" customHeight="1">
      <c r="B135" s="159"/>
      <c r="C135" s="160"/>
      <c r="D135" s="160"/>
      <c r="E135" s="161" t="s">
        <v>5</v>
      </c>
      <c r="F135" s="308" t="s">
        <v>393</v>
      </c>
      <c r="G135" s="309"/>
      <c r="H135" s="309"/>
      <c r="I135" s="309"/>
      <c r="J135" s="160"/>
      <c r="K135" s="162">
        <v>7.5</v>
      </c>
      <c r="L135" s="160"/>
      <c r="M135" s="160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179</v>
      </c>
      <c r="AU135" s="166" t="s">
        <v>135</v>
      </c>
      <c r="AV135" s="11" t="s">
        <v>135</v>
      </c>
      <c r="AW135" s="11" t="s">
        <v>35</v>
      </c>
      <c r="AX135" s="11" t="s">
        <v>21</v>
      </c>
      <c r="AY135" s="166" t="s">
        <v>167</v>
      </c>
    </row>
    <row r="136" spans="2:65" s="1" customFormat="1" ht="22.5" customHeight="1">
      <c r="B136" s="141"/>
      <c r="C136" s="142" t="s">
        <v>207</v>
      </c>
      <c r="D136" s="142" t="s">
        <v>168</v>
      </c>
      <c r="E136" s="143" t="s">
        <v>174</v>
      </c>
      <c r="F136" s="293" t="s">
        <v>175</v>
      </c>
      <c r="G136" s="293"/>
      <c r="H136" s="293"/>
      <c r="I136" s="293"/>
      <c r="J136" s="144" t="s">
        <v>176</v>
      </c>
      <c r="K136" s="145">
        <v>2.25</v>
      </c>
      <c r="L136" s="294"/>
      <c r="M136" s="294"/>
      <c r="N136" s="294">
        <f>ROUND(L136*K136,2)</f>
        <v>0</v>
      </c>
      <c r="O136" s="294"/>
      <c r="P136" s="294"/>
      <c r="Q136" s="294"/>
      <c r="R136" s="146"/>
      <c r="T136" s="147" t="s">
        <v>5</v>
      </c>
      <c r="U136" s="44" t="s">
        <v>43</v>
      </c>
      <c r="V136" s="148">
        <v>1.03</v>
      </c>
      <c r="W136" s="148">
        <f>V136*K136</f>
        <v>2.3175</v>
      </c>
      <c r="X136" s="148">
        <v>2.0875</v>
      </c>
      <c r="Y136" s="148">
        <f>X136*K136</f>
        <v>4.6968749999999995</v>
      </c>
      <c r="Z136" s="148">
        <v>0</v>
      </c>
      <c r="AA136" s="149">
        <f>Z136*K136</f>
        <v>0</v>
      </c>
      <c r="AR136" s="21" t="s">
        <v>172</v>
      </c>
      <c r="AT136" s="21" t="s">
        <v>168</v>
      </c>
      <c r="AU136" s="21" t="s">
        <v>135</v>
      </c>
      <c r="AY136" s="21" t="s">
        <v>167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21" t="s">
        <v>21</v>
      </c>
      <c r="BK136" s="150">
        <f>ROUND(L136*K136,2)</f>
        <v>0</v>
      </c>
      <c r="BL136" s="21" t="s">
        <v>172</v>
      </c>
      <c r="BM136" s="21" t="s">
        <v>177</v>
      </c>
    </row>
    <row r="137" spans="2:51" s="11" customFormat="1" ht="22.5" customHeight="1">
      <c r="B137" s="159"/>
      <c r="C137" s="160"/>
      <c r="D137" s="160"/>
      <c r="E137" s="161" t="s">
        <v>5</v>
      </c>
      <c r="F137" s="308" t="s">
        <v>394</v>
      </c>
      <c r="G137" s="309"/>
      <c r="H137" s="309"/>
      <c r="I137" s="309"/>
      <c r="J137" s="160"/>
      <c r="K137" s="162">
        <v>2.25</v>
      </c>
      <c r="L137" s="160"/>
      <c r="M137" s="160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179</v>
      </c>
      <c r="AU137" s="166" t="s">
        <v>135</v>
      </c>
      <c r="AV137" s="11" t="s">
        <v>135</v>
      </c>
      <c r="AW137" s="11" t="s">
        <v>35</v>
      </c>
      <c r="AX137" s="11" t="s">
        <v>21</v>
      </c>
      <c r="AY137" s="166" t="s">
        <v>167</v>
      </c>
    </row>
    <row r="138" spans="2:65" s="1" customFormat="1" ht="22.5" customHeight="1">
      <c r="B138" s="141"/>
      <c r="C138" s="142" t="s">
        <v>213</v>
      </c>
      <c r="D138" s="142" t="s">
        <v>168</v>
      </c>
      <c r="E138" s="143" t="s">
        <v>185</v>
      </c>
      <c r="F138" s="293" t="s">
        <v>186</v>
      </c>
      <c r="G138" s="293"/>
      <c r="H138" s="293"/>
      <c r="I138" s="293"/>
      <c r="J138" s="144" t="s">
        <v>176</v>
      </c>
      <c r="K138" s="145">
        <v>0.594</v>
      </c>
      <c r="L138" s="294"/>
      <c r="M138" s="294"/>
      <c r="N138" s="294">
        <f>ROUND(L138*K138,2)</f>
        <v>0</v>
      </c>
      <c r="O138" s="294"/>
      <c r="P138" s="294"/>
      <c r="Q138" s="294"/>
      <c r="R138" s="146"/>
      <c r="T138" s="147" t="s">
        <v>5</v>
      </c>
      <c r="U138" s="44" t="s">
        <v>43</v>
      </c>
      <c r="V138" s="148">
        <v>0.266</v>
      </c>
      <c r="W138" s="148">
        <f>V138*K138</f>
        <v>0.158004</v>
      </c>
      <c r="X138" s="148">
        <v>0</v>
      </c>
      <c r="Y138" s="148">
        <f>X138*K138</f>
        <v>0</v>
      </c>
      <c r="Z138" s="148">
        <v>0</v>
      </c>
      <c r="AA138" s="149">
        <f>Z138*K138</f>
        <v>0</v>
      </c>
      <c r="AR138" s="21" t="s">
        <v>172</v>
      </c>
      <c r="AT138" s="21" t="s">
        <v>168</v>
      </c>
      <c r="AU138" s="21" t="s">
        <v>135</v>
      </c>
      <c r="AY138" s="21" t="s">
        <v>167</v>
      </c>
      <c r="BE138" s="150">
        <f>IF(U138="základní",N138,0)</f>
        <v>0</v>
      </c>
      <c r="BF138" s="150">
        <f>IF(U138="snížená",N138,0)</f>
        <v>0</v>
      </c>
      <c r="BG138" s="150">
        <f>IF(U138="zákl. přenesená",N138,0)</f>
        <v>0</v>
      </c>
      <c r="BH138" s="150">
        <f>IF(U138="sníž. přenesená",N138,0)</f>
        <v>0</v>
      </c>
      <c r="BI138" s="150">
        <f>IF(U138="nulová",N138,0)</f>
        <v>0</v>
      </c>
      <c r="BJ138" s="21" t="s">
        <v>21</v>
      </c>
      <c r="BK138" s="150">
        <f>ROUND(L138*K138,2)</f>
        <v>0</v>
      </c>
      <c r="BL138" s="21" t="s">
        <v>172</v>
      </c>
      <c r="BM138" s="21" t="s">
        <v>187</v>
      </c>
    </row>
    <row r="139" spans="2:51" s="11" customFormat="1" ht="22.5" customHeight="1">
      <c r="B139" s="159"/>
      <c r="C139" s="160"/>
      <c r="D139" s="160"/>
      <c r="E139" s="161" t="s">
        <v>5</v>
      </c>
      <c r="F139" s="308" t="s">
        <v>395</v>
      </c>
      <c r="G139" s="309"/>
      <c r="H139" s="309"/>
      <c r="I139" s="309"/>
      <c r="J139" s="160"/>
      <c r="K139" s="162">
        <v>0.594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179</v>
      </c>
      <c r="AU139" s="166" t="s">
        <v>135</v>
      </c>
      <c r="AV139" s="11" t="s">
        <v>135</v>
      </c>
      <c r="AW139" s="11" t="s">
        <v>35</v>
      </c>
      <c r="AX139" s="11" t="s">
        <v>21</v>
      </c>
      <c r="AY139" s="166" t="s">
        <v>167</v>
      </c>
    </row>
    <row r="140" spans="2:65" s="1" customFormat="1" ht="31.5" customHeight="1">
      <c r="B140" s="141"/>
      <c r="C140" s="142" t="s">
        <v>218</v>
      </c>
      <c r="D140" s="142" t="s">
        <v>168</v>
      </c>
      <c r="E140" s="143" t="s">
        <v>189</v>
      </c>
      <c r="F140" s="293" t="s">
        <v>274</v>
      </c>
      <c r="G140" s="293"/>
      <c r="H140" s="293"/>
      <c r="I140" s="293"/>
      <c r="J140" s="144" t="s">
        <v>176</v>
      </c>
      <c r="K140" s="145">
        <v>1.25</v>
      </c>
      <c r="L140" s="294"/>
      <c r="M140" s="294"/>
      <c r="N140" s="294">
        <f>ROUND(L140*K140,2)</f>
        <v>0</v>
      </c>
      <c r="O140" s="294"/>
      <c r="P140" s="294"/>
      <c r="Q140" s="294"/>
      <c r="R140" s="146"/>
      <c r="T140" s="147" t="s">
        <v>5</v>
      </c>
      <c r="U140" s="44" t="s">
        <v>43</v>
      </c>
      <c r="V140" s="148">
        <v>1.052</v>
      </c>
      <c r="W140" s="148">
        <f>V140*K140</f>
        <v>1.315</v>
      </c>
      <c r="X140" s="148">
        <v>2.55178</v>
      </c>
      <c r="Y140" s="148">
        <f>X140*K140</f>
        <v>3.189725</v>
      </c>
      <c r="Z140" s="148">
        <v>0</v>
      </c>
      <c r="AA140" s="149">
        <f>Z140*K140</f>
        <v>0</v>
      </c>
      <c r="AR140" s="21" t="s">
        <v>172</v>
      </c>
      <c r="AT140" s="21" t="s">
        <v>168</v>
      </c>
      <c r="AU140" s="21" t="s">
        <v>135</v>
      </c>
      <c r="AY140" s="21" t="s">
        <v>167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21" t="s">
        <v>21</v>
      </c>
      <c r="BK140" s="150">
        <f>ROUND(L140*K140,2)</f>
        <v>0</v>
      </c>
      <c r="BL140" s="21" t="s">
        <v>172</v>
      </c>
      <c r="BM140" s="21" t="s">
        <v>191</v>
      </c>
    </row>
    <row r="141" spans="2:51" s="11" customFormat="1" ht="22.5" customHeight="1">
      <c r="B141" s="159"/>
      <c r="C141" s="160"/>
      <c r="D141" s="160"/>
      <c r="E141" s="161" t="s">
        <v>5</v>
      </c>
      <c r="F141" s="308" t="s">
        <v>396</v>
      </c>
      <c r="G141" s="309"/>
      <c r="H141" s="309"/>
      <c r="I141" s="309"/>
      <c r="J141" s="160"/>
      <c r="K141" s="162">
        <v>1.25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179</v>
      </c>
      <c r="AU141" s="166" t="s">
        <v>135</v>
      </c>
      <c r="AV141" s="11" t="s">
        <v>135</v>
      </c>
      <c r="AW141" s="11" t="s">
        <v>35</v>
      </c>
      <c r="AX141" s="11" t="s">
        <v>21</v>
      </c>
      <c r="AY141" s="166" t="s">
        <v>167</v>
      </c>
    </row>
    <row r="142" spans="2:65" s="1" customFormat="1" ht="31.5" customHeight="1">
      <c r="B142" s="141"/>
      <c r="C142" s="142" t="s">
        <v>25</v>
      </c>
      <c r="D142" s="142" t="s">
        <v>168</v>
      </c>
      <c r="E142" s="143" t="s">
        <v>197</v>
      </c>
      <c r="F142" s="293" t="s">
        <v>198</v>
      </c>
      <c r="G142" s="293"/>
      <c r="H142" s="293"/>
      <c r="I142" s="293"/>
      <c r="J142" s="144" t="s">
        <v>199</v>
      </c>
      <c r="K142" s="145">
        <v>2.7</v>
      </c>
      <c r="L142" s="294"/>
      <c r="M142" s="294"/>
      <c r="N142" s="294">
        <f>ROUND(L142*K142,2)</f>
        <v>0</v>
      </c>
      <c r="O142" s="294"/>
      <c r="P142" s="294"/>
      <c r="Q142" s="294"/>
      <c r="R142" s="146"/>
      <c r="T142" s="147" t="s">
        <v>5</v>
      </c>
      <c r="U142" s="44" t="s">
        <v>43</v>
      </c>
      <c r="V142" s="148">
        <v>0.721</v>
      </c>
      <c r="W142" s="148">
        <f>V142*K142</f>
        <v>1.9467</v>
      </c>
      <c r="X142" s="148">
        <v>0.00458</v>
      </c>
      <c r="Y142" s="148">
        <f>X142*K142</f>
        <v>0.012366</v>
      </c>
      <c r="Z142" s="148">
        <v>0</v>
      </c>
      <c r="AA142" s="149">
        <f>Z142*K142</f>
        <v>0</v>
      </c>
      <c r="AR142" s="21" t="s">
        <v>172</v>
      </c>
      <c r="AT142" s="21" t="s">
        <v>168</v>
      </c>
      <c r="AU142" s="21" t="s">
        <v>135</v>
      </c>
      <c r="AY142" s="21" t="s">
        <v>167</v>
      </c>
      <c r="BE142" s="150">
        <f>IF(U142="základní",N142,0)</f>
        <v>0</v>
      </c>
      <c r="BF142" s="150">
        <f>IF(U142="snížená",N142,0)</f>
        <v>0</v>
      </c>
      <c r="BG142" s="150">
        <f>IF(U142="zákl. přenesená",N142,0)</f>
        <v>0</v>
      </c>
      <c r="BH142" s="150">
        <f>IF(U142="sníž. přenesená",N142,0)</f>
        <v>0</v>
      </c>
      <c r="BI142" s="150">
        <f>IF(U142="nulová",N142,0)</f>
        <v>0</v>
      </c>
      <c r="BJ142" s="21" t="s">
        <v>21</v>
      </c>
      <c r="BK142" s="150">
        <f>ROUND(L142*K142,2)</f>
        <v>0</v>
      </c>
      <c r="BL142" s="21" t="s">
        <v>172</v>
      </c>
      <c r="BM142" s="21" t="s">
        <v>200</v>
      </c>
    </row>
    <row r="143" spans="2:51" s="11" customFormat="1" ht="22.5" customHeight="1">
      <c r="B143" s="159"/>
      <c r="C143" s="160"/>
      <c r="D143" s="160"/>
      <c r="E143" s="161" t="s">
        <v>5</v>
      </c>
      <c r="F143" s="308" t="s">
        <v>397</v>
      </c>
      <c r="G143" s="309"/>
      <c r="H143" s="309"/>
      <c r="I143" s="309"/>
      <c r="J143" s="160"/>
      <c r="K143" s="162">
        <v>2.7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179</v>
      </c>
      <c r="AU143" s="166" t="s">
        <v>135</v>
      </c>
      <c r="AV143" s="11" t="s">
        <v>135</v>
      </c>
      <c r="AW143" s="11" t="s">
        <v>35</v>
      </c>
      <c r="AX143" s="11" t="s">
        <v>21</v>
      </c>
      <c r="AY143" s="166" t="s">
        <v>167</v>
      </c>
    </row>
    <row r="144" spans="2:65" s="1" customFormat="1" ht="31.5" customHeight="1">
      <c r="B144" s="141"/>
      <c r="C144" s="142" t="s">
        <v>270</v>
      </c>
      <c r="D144" s="142" t="s">
        <v>168</v>
      </c>
      <c r="E144" s="143" t="s">
        <v>204</v>
      </c>
      <c r="F144" s="293" t="s">
        <v>205</v>
      </c>
      <c r="G144" s="293"/>
      <c r="H144" s="293"/>
      <c r="I144" s="293"/>
      <c r="J144" s="144" t="s">
        <v>199</v>
      </c>
      <c r="K144" s="145">
        <v>2.7</v>
      </c>
      <c r="L144" s="294"/>
      <c r="M144" s="294"/>
      <c r="N144" s="294">
        <f>ROUND(L144*K144,2)</f>
        <v>0</v>
      </c>
      <c r="O144" s="294"/>
      <c r="P144" s="294"/>
      <c r="Q144" s="294"/>
      <c r="R144" s="146"/>
      <c r="T144" s="147" t="s">
        <v>5</v>
      </c>
      <c r="U144" s="44" t="s">
        <v>43</v>
      </c>
      <c r="V144" s="148">
        <v>0.282</v>
      </c>
      <c r="W144" s="148">
        <f>V144*K144</f>
        <v>0.7614</v>
      </c>
      <c r="X144" s="148">
        <v>0</v>
      </c>
      <c r="Y144" s="148">
        <f>X144*K144</f>
        <v>0</v>
      </c>
      <c r="Z144" s="148">
        <v>0</v>
      </c>
      <c r="AA144" s="149">
        <f>Z144*K144</f>
        <v>0</v>
      </c>
      <c r="AR144" s="21" t="s">
        <v>172</v>
      </c>
      <c r="AT144" s="21" t="s">
        <v>168</v>
      </c>
      <c r="AU144" s="21" t="s">
        <v>135</v>
      </c>
      <c r="AY144" s="21" t="s">
        <v>167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21</v>
      </c>
      <c r="BK144" s="150">
        <f>ROUND(L144*K144,2)</f>
        <v>0</v>
      </c>
      <c r="BL144" s="21" t="s">
        <v>172</v>
      </c>
      <c r="BM144" s="21" t="s">
        <v>206</v>
      </c>
    </row>
    <row r="145" spans="2:65" s="1" customFormat="1" ht="31.5" customHeight="1">
      <c r="B145" s="141"/>
      <c r="C145" s="142" t="s">
        <v>273</v>
      </c>
      <c r="D145" s="142" t="s">
        <v>168</v>
      </c>
      <c r="E145" s="143" t="s">
        <v>208</v>
      </c>
      <c r="F145" s="293" t="s">
        <v>209</v>
      </c>
      <c r="G145" s="293"/>
      <c r="H145" s="293"/>
      <c r="I145" s="293"/>
      <c r="J145" s="144" t="s">
        <v>210</v>
      </c>
      <c r="K145" s="145">
        <v>0.125</v>
      </c>
      <c r="L145" s="294"/>
      <c r="M145" s="294"/>
      <c r="N145" s="294">
        <f>ROUND(L145*K145,2)</f>
        <v>0</v>
      </c>
      <c r="O145" s="294"/>
      <c r="P145" s="294"/>
      <c r="Q145" s="294"/>
      <c r="R145" s="146"/>
      <c r="T145" s="147" t="s">
        <v>5</v>
      </c>
      <c r="U145" s="44" t="s">
        <v>43</v>
      </c>
      <c r="V145" s="148">
        <v>33.98</v>
      </c>
      <c r="W145" s="148">
        <f>V145*K145</f>
        <v>4.2475</v>
      </c>
      <c r="X145" s="148">
        <v>1.04753</v>
      </c>
      <c r="Y145" s="148">
        <f>X145*K145</f>
        <v>0.13094125</v>
      </c>
      <c r="Z145" s="148">
        <v>0</v>
      </c>
      <c r="AA145" s="149">
        <f>Z145*K145</f>
        <v>0</v>
      </c>
      <c r="AR145" s="21" t="s">
        <v>172</v>
      </c>
      <c r="AT145" s="21" t="s">
        <v>168</v>
      </c>
      <c r="AU145" s="21" t="s">
        <v>135</v>
      </c>
      <c r="AY145" s="21" t="s">
        <v>167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21</v>
      </c>
      <c r="BK145" s="150">
        <f>ROUND(L145*K145,2)</f>
        <v>0</v>
      </c>
      <c r="BL145" s="21" t="s">
        <v>172</v>
      </c>
      <c r="BM145" s="21" t="s">
        <v>211</v>
      </c>
    </row>
    <row r="146" spans="2:51" s="11" customFormat="1" ht="22.5" customHeight="1">
      <c r="B146" s="159"/>
      <c r="C146" s="160"/>
      <c r="D146" s="160"/>
      <c r="E146" s="161" t="s">
        <v>5</v>
      </c>
      <c r="F146" s="308" t="s">
        <v>398</v>
      </c>
      <c r="G146" s="309"/>
      <c r="H146" s="309"/>
      <c r="I146" s="309"/>
      <c r="J146" s="160"/>
      <c r="K146" s="162">
        <v>0.125</v>
      </c>
      <c r="L146" s="160"/>
      <c r="M146" s="160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179</v>
      </c>
      <c r="AU146" s="166" t="s">
        <v>135</v>
      </c>
      <c r="AV146" s="11" t="s">
        <v>135</v>
      </c>
      <c r="AW146" s="11" t="s">
        <v>35</v>
      </c>
      <c r="AX146" s="11" t="s">
        <v>21</v>
      </c>
      <c r="AY146" s="166" t="s">
        <v>167</v>
      </c>
    </row>
    <row r="147" spans="2:63" s="9" customFormat="1" ht="29.85" customHeight="1">
      <c r="B147" s="130"/>
      <c r="C147" s="131"/>
      <c r="D147" s="140" t="s">
        <v>226</v>
      </c>
      <c r="E147" s="140"/>
      <c r="F147" s="140"/>
      <c r="G147" s="140"/>
      <c r="H147" s="140"/>
      <c r="I147" s="140"/>
      <c r="J147" s="140"/>
      <c r="K147" s="140"/>
      <c r="L147" s="140"/>
      <c r="M147" s="140"/>
      <c r="N147" s="298">
        <f>BK147</f>
        <v>0</v>
      </c>
      <c r="O147" s="299"/>
      <c r="P147" s="299"/>
      <c r="Q147" s="299"/>
      <c r="R147" s="133"/>
      <c r="T147" s="134"/>
      <c r="U147" s="131"/>
      <c r="V147" s="131"/>
      <c r="W147" s="135">
        <f>SUM(W148:W154)</f>
        <v>39.79018</v>
      </c>
      <c r="X147" s="131"/>
      <c r="Y147" s="135">
        <f>SUM(Y148:Y154)</f>
        <v>9.803696</v>
      </c>
      <c r="Z147" s="131"/>
      <c r="AA147" s="136">
        <f>SUM(AA148:AA154)</f>
        <v>0</v>
      </c>
      <c r="AR147" s="137" t="s">
        <v>21</v>
      </c>
      <c r="AT147" s="138" t="s">
        <v>77</v>
      </c>
      <c r="AU147" s="138" t="s">
        <v>21</v>
      </c>
      <c r="AY147" s="137" t="s">
        <v>167</v>
      </c>
      <c r="BK147" s="139">
        <f>SUM(BK148:BK154)</f>
        <v>0</v>
      </c>
    </row>
    <row r="148" spans="2:65" s="1" customFormat="1" ht="31.5" customHeight="1">
      <c r="B148" s="141"/>
      <c r="C148" s="142" t="s">
        <v>276</v>
      </c>
      <c r="D148" s="142" t="s">
        <v>168</v>
      </c>
      <c r="E148" s="143" t="s">
        <v>282</v>
      </c>
      <c r="F148" s="293" t="s">
        <v>283</v>
      </c>
      <c r="G148" s="293"/>
      <c r="H148" s="293"/>
      <c r="I148" s="293"/>
      <c r="J148" s="144" t="s">
        <v>176</v>
      </c>
      <c r="K148" s="145">
        <v>3.8</v>
      </c>
      <c r="L148" s="294"/>
      <c r="M148" s="294"/>
      <c r="N148" s="294">
        <f>ROUND(L148*K148,2)</f>
        <v>0</v>
      </c>
      <c r="O148" s="294"/>
      <c r="P148" s="294"/>
      <c r="Q148" s="294"/>
      <c r="R148" s="146"/>
      <c r="T148" s="147" t="s">
        <v>5</v>
      </c>
      <c r="U148" s="44" t="s">
        <v>43</v>
      </c>
      <c r="V148" s="148">
        <v>1.2</v>
      </c>
      <c r="W148" s="148">
        <f>V148*K148</f>
        <v>4.56</v>
      </c>
      <c r="X148" s="148">
        <v>2.45602</v>
      </c>
      <c r="Y148" s="148">
        <f>X148*K148</f>
        <v>9.332876</v>
      </c>
      <c r="Z148" s="148">
        <v>0</v>
      </c>
      <c r="AA148" s="149">
        <f>Z148*K148</f>
        <v>0</v>
      </c>
      <c r="AR148" s="21" t="s">
        <v>172</v>
      </c>
      <c r="AT148" s="21" t="s">
        <v>168</v>
      </c>
      <c r="AU148" s="21" t="s">
        <v>135</v>
      </c>
      <c r="AY148" s="21" t="s">
        <v>167</v>
      </c>
      <c r="BE148" s="150">
        <f>IF(U148="základní",N148,0)</f>
        <v>0</v>
      </c>
      <c r="BF148" s="150">
        <f>IF(U148="snížená",N148,0)</f>
        <v>0</v>
      </c>
      <c r="BG148" s="150">
        <f>IF(U148="zákl. přenesená",N148,0)</f>
        <v>0</v>
      </c>
      <c r="BH148" s="150">
        <f>IF(U148="sníž. přenesená",N148,0)</f>
        <v>0</v>
      </c>
      <c r="BI148" s="150">
        <f>IF(U148="nulová",N148,0)</f>
        <v>0</v>
      </c>
      <c r="BJ148" s="21" t="s">
        <v>21</v>
      </c>
      <c r="BK148" s="150">
        <f>ROUND(L148*K148,2)</f>
        <v>0</v>
      </c>
      <c r="BL148" s="21" t="s">
        <v>172</v>
      </c>
      <c r="BM148" s="21" t="s">
        <v>284</v>
      </c>
    </row>
    <row r="149" spans="2:51" s="11" customFormat="1" ht="22.5" customHeight="1">
      <c r="B149" s="159"/>
      <c r="C149" s="160"/>
      <c r="D149" s="160"/>
      <c r="E149" s="161" t="s">
        <v>5</v>
      </c>
      <c r="F149" s="308" t="s">
        <v>399</v>
      </c>
      <c r="G149" s="309"/>
      <c r="H149" s="309"/>
      <c r="I149" s="309"/>
      <c r="J149" s="160"/>
      <c r="K149" s="162">
        <v>3.8</v>
      </c>
      <c r="L149" s="160"/>
      <c r="M149" s="160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179</v>
      </c>
      <c r="AU149" s="166" t="s">
        <v>135</v>
      </c>
      <c r="AV149" s="11" t="s">
        <v>135</v>
      </c>
      <c r="AW149" s="11" t="s">
        <v>35</v>
      </c>
      <c r="AX149" s="11" t="s">
        <v>21</v>
      </c>
      <c r="AY149" s="166" t="s">
        <v>167</v>
      </c>
    </row>
    <row r="150" spans="2:65" s="1" customFormat="1" ht="22.5" customHeight="1">
      <c r="B150" s="141"/>
      <c r="C150" s="142" t="s">
        <v>278</v>
      </c>
      <c r="D150" s="142" t="s">
        <v>168</v>
      </c>
      <c r="E150" s="143" t="s">
        <v>289</v>
      </c>
      <c r="F150" s="293" t="s">
        <v>290</v>
      </c>
      <c r="G150" s="293"/>
      <c r="H150" s="293"/>
      <c r="I150" s="293"/>
      <c r="J150" s="144" t="s">
        <v>199</v>
      </c>
      <c r="K150" s="145">
        <v>30.4</v>
      </c>
      <c r="L150" s="294"/>
      <c r="M150" s="294"/>
      <c r="N150" s="294">
        <f>ROUND(L150*K150,2)</f>
        <v>0</v>
      </c>
      <c r="O150" s="294"/>
      <c r="P150" s="294"/>
      <c r="Q150" s="294"/>
      <c r="R150" s="146"/>
      <c r="T150" s="147" t="s">
        <v>5</v>
      </c>
      <c r="U150" s="44" t="s">
        <v>43</v>
      </c>
      <c r="V150" s="148">
        <v>0.497</v>
      </c>
      <c r="W150" s="148">
        <f>V150*K150</f>
        <v>15.108799999999999</v>
      </c>
      <c r="X150" s="148">
        <v>0.00282</v>
      </c>
      <c r="Y150" s="148">
        <f>X150*K150</f>
        <v>0.085728</v>
      </c>
      <c r="Z150" s="148">
        <v>0</v>
      </c>
      <c r="AA150" s="149">
        <f>Z150*K150</f>
        <v>0</v>
      </c>
      <c r="AR150" s="21" t="s">
        <v>172</v>
      </c>
      <c r="AT150" s="21" t="s">
        <v>168</v>
      </c>
      <c r="AU150" s="21" t="s">
        <v>135</v>
      </c>
      <c r="AY150" s="21" t="s">
        <v>167</v>
      </c>
      <c r="BE150" s="150">
        <f>IF(U150="základní",N150,0)</f>
        <v>0</v>
      </c>
      <c r="BF150" s="150">
        <f>IF(U150="snížená",N150,0)</f>
        <v>0</v>
      </c>
      <c r="BG150" s="150">
        <f>IF(U150="zákl. přenesená",N150,0)</f>
        <v>0</v>
      </c>
      <c r="BH150" s="150">
        <f>IF(U150="sníž. přenesená",N150,0)</f>
        <v>0</v>
      </c>
      <c r="BI150" s="150">
        <f>IF(U150="nulová",N150,0)</f>
        <v>0</v>
      </c>
      <c r="BJ150" s="21" t="s">
        <v>21</v>
      </c>
      <c r="BK150" s="150">
        <f>ROUND(L150*K150,2)</f>
        <v>0</v>
      </c>
      <c r="BL150" s="21" t="s">
        <v>172</v>
      </c>
      <c r="BM150" s="21" t="s">
        <v>291</v>
      </c>
    </row>
    <row r="151" spans="2:51" s="11" customFormat="1" ht="22.5" customHeight="1">
      <c r="B151" s="159"/>
      <c r="C151" s="160"/>
      <c r="D151" s="160"/>
      <c r="E151" s="161" t="s">
        <v>5</v>
      </c>
      <c r="F151" s="308" t="s">
        <v>400</v>
      </c>
      <c r="G151" s="309"/>
      <c r="H151" s="309"/>
      <c r="I151" s="309"/>
      <c r="J151" s="160"/>
      <c r="K151" s="162">
        <v>30.4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179</v>
      </c>
      <c r="AU151" s="166" t="s">
        <v>135</v>
      </c>
      <c r="AV151" s="11" t="s">
        <v>135</v>
      </c>
      <c r="AW151" s="11" t="s">
        <v>35</v>
      </c>
      <c r="AX151" s="11" t="s">
        <v>21</v>
      </c>
      <c r="AY151" s="166" t="s">
        <v>167</v>
      </c>
    </row>
    <row r="152" spans="2:65" s="1" customFormat="1" ht="22.5" customHeight="1">
      <c r="B152" s="141"/>
      <c r="C152" s="142" t="s">
        <v>11</v>
      </c>
      <c r="D152" s="142" t="s">
        <v>168</v>
      </c>
      <c r="E152" s="143" t="s">
        <v>302</v>
      </c>
      <c r="F152" s="293" t="s">
        <v>303</v>
      </c>
      <c r="G152" s="293"/>
      <c r="H152" s="293"/>
      <c r="I152" s="293"/>
      <c r="J152" s="144" t="s">
        <v>199</v>
      </c>
      <c r="K152" s="145">
        <v>30.4</v>
      </c>
      <c r="L152" s="294"/>
      <c r="M152" s="294"/>
      <c r="N152" s="294">
        <f>ROUND(L152*K152,2)</f>
        <v>0</v>
      </c>
      <c r="O152" s="294"/>
      <c r="P152" s="294"/>
      <c r="Q152" s="294"/>
      <c r="R152" s="146"/>
      <c r="T152" s="147" t="s">
        <v>5</v>
      </c>
      <c r="U152" s="44" t="s">
        <v>43</v>
      </c>
      <c r="V152" s="148">
        <v>0.346</v>
      </c>
      <c r="W152" s="148">
        <f>V152*K152</f>
        <v>10.518399999999998</v>
      </c>
      <c r="X152" s="148">
        <v>0</v>
      </c>
      <c r="Y152" s="148">
        <f>X152*K152</f>
        <v>0</v>
      </c>
      <c r="Z152" s="148">
        <v>0</v>
      </c>
      <c r="AA152" s="149">
        <f>Z152*K152</f>
        <v>0</v>
      </c>
      <c r="AR152" s="21" t="s">
        <v>172</v>
      </c>
      <c r="AT152" s="21" t="s">
        <v>168</v>
      </c>
      <c r="AU152" s="21" t="s">
        <v>135</v>
      </c>
      <c r="AY152" s="21" t="s">
        <v>167</v>
      </c>
      <c r="BE152" s="150">
        <f>IF(U152="základní",N152,0)</f>
        <v>0</v>
      </c>
      <c r="BF152" s="150">
        <f>IF(U152="snížená",N152,0)</f>
        <v>0</v>
      </c>
      <c r="BG152" s="150">
        <f>IF(U152="zákl. přenesená",N152,0)</f>
        <v>0</v>
      </c>
      <c r="BH152" s="150">
        <f>IF(U152="sníž. přenesená",N152,0)</f>
        <v>0</v>
      </c>
      <c r="BI152" s="150">
        <f>IF(U152="nulová",N152,0)</f>
        <v>0</v>
      </c>
      <c r="BJ152" s="21" t="s">
        <v>21</v>
      </c>
      <c r="BK152" s="150">
        <f>ROUND(L152*K152,2)</f>
        <v>0</v>
      </c>
      <c r="BL152" s="21" t="s">
        <v>172</v>
      </c>
      <c r="BM152" s="21" t="s">
        <v>304</v>
      </c>
    </row>
    <row r="153" spans="2:65" s="1" customFormat="1" ht="31.5" customHeight="1">
      <c r="B153" s="141"/>
      <c r="C153" s="142" t="s">
        <v>281</v>
      </c>
      <c r="D153" s="142" t="s">
        <v>168</v>
      </c>
      <c r="E153" s="143" t="s">
        <v>306</v>
      </c>
      <c r="F153" s="293" t="s">
        <v>307</v>
      </c>
      <c r="G153" s="293"/>
      <c r="H153" s="293"/>
      <c r="I153" s="293"/>
      <c r="J153" s="144" t="s">
        <v>210</v>
      </c>
      <c r="K153" s="145">
        <v>0.38</v>
      </c>
      <c r="L153" s="294"/>
      <c r="M153" s="294"/>
      <c r="N153" s="294">
        <f>ROUND(L153*K153,2)</f>
        <v>0</v>
      </c>
      <c r="O153" s="294"/>
      <c r="P153" s="294"/>
      <c r="Q153" s="294"/>
      <c r="R153" s="146"/>
      <c r="T153" s="147" t="s">
        <v>5</v>
      </c>
      <c r="U153" s="44" t="s">
        <v>43</v>
      </c>
      <c r="V153" s="148">
        <v>25.271</v>
      </c>
      <c r="W153" s="148">
        <f>V153*K153</f>
        <v>9.60298</v>
      </c>
      <c r="X153" s="148">
        <v>1.0134</v>
      </c>
      <c r="Y153" s="148">
        <f>X153*K153</f>
        <v>0.38509200000000005</v>
      </c>
      <c r="Z153" s="148">
        <v>0</v>
      </c>
      <c r="AA153" s="149">
        <f>Z153*K153</f>
        <v>0</v>
      </c>
      <c r="AR153" s="21" t="s">
        <v>172</v>
      </c>
      <c r="AT153" s="21" t="s">
        <v>168</v>
      </c>
      <c r="AU153" s="21" t="s">
        <v>135</v>
      </c>
      <c r="AY153" s="21" t="s">
        <v>167</v>
      </c>
      <c r="BE153" s="150">
        <f>IF(U153="základní",N153,0)</f>
        <v>0</v>
      </c>
      <c r="BF153" s="150">
        <f>IF(U153="snížená",N153,0)</f>
        <v>0</v>
      </c>
      <c r="BG153" s="150">
        <f>IF(U153="zákl. přenesená",N153,0)</f>
        <v>0</v>
      </c>
      <c r="BH153" s="150">
        <f>IF(U153="sníž. přenesená",N153,0)</f>
        <v>0</v>
      </c>
      <c r="BI153" s="150">
        <f>IF(U153="nulová",N153,0)</f>
        <v>0</v>
      </c>
      <c r="BJ153" s="21" t="s">
        <v>21</v>
      </c>
      <c r="BK153" s="150">
        <f>ROUND(L153*K153,2)</f>
        <v>0</v>
      </c>
      <c r="BL153" s="21" t="s">
        <v>172</v>
      </c>
      <c r="BM153" s="21" t="s">
        <v>308</v>
      </c>
    </row>
    <row r="154" spans="2:51" s="11" customFormat="1" ht="22.5" customHeight="1">
      <c r="B154" s="159"/>
      <c r="C154" s="160"/>
      <c r="D154" s="160"/>
      <c r="E154" s="161" t="s">
        <v>5</v>
      </c>
      <c r="F154" s="308" t="s">
        <v>401</v>
      </c>
      <c r="G154" s="309"/>
      <c r="H154" s="309"/>
      <c r="I154" s="309"/>
      <c r="J154" s="160"/>
      <c r="K154" s="162">
        <v>0.38</v>
      </c>
      <c r="L154" s="160"/>
      <c r="M154" s="160"/>
      <c r="N154" s="160"/>
      <c r="O154" s="160"/>
      <c r="P154" s="160"/>
      <c r="Q154" s="160"/>
      <c r="R154" s="163"/>
      <c r="T154" s="164"/>
      <c r="U154" s="160"/>
      <c r="V154" s="160"/>
      <c r="W154" s="160"/>
      <c r="X154" s="160"/>
      <c r="Y154" s="160"/>
      <c r="Z154" s="160"/>
      <c r="AA154" s="165"/>
      <c r="AT154" s="166" t="s">
        <v>179</v>
      </c>
      <c r="AU154" s="166" t="s">
        <v>135</v>
      </c>
      <c r="AV154" s="11" t="s">
        <v>135</v>
      </c>
      <c r="AW154" s="11" t="s">
        <v>35</v>
      </c>
      <c r="AX154" s="11" t="s">
        <v>21</v>
      </c>
      <c r="AY154" s="166" t="s">
        <v>167</v>
      </c>
    </row>
    <row r="155" spans="2:63" s="9" customFormat="1" ht="29.85" customHeight="1">
      <c r="B155" s="130"/>
      <c r="C155" s="131"/>
      <c r="D155" s="140" t="s">
        <v>228</v>
      </c>
      <c r="E155" s="140"/>
      <c r="F155" s="140"/>
      <c r="G155" s="140"/>
      <c r="H155" s="140"/>
      <c r="I155" s="140"/>
      <c r="J155" s="140"/>
      <c r="K155" s="140"/>
      <c r="L155" s="140"/>
      <c r="M155" s="140"/>
      <c r="N155" s="298">
        <f>BK155</f>
        <v>0</v>
      </c>
      <c r="O155" s="299"/>
      <c r="P155" s="299"/>
      <c r="Q155" s="299"/>
      <c r="R155" s="133"/>
      <c r="T155" s="134"/>
      <c r="U155" s="131"/>
      <c r="V155" s="131"/>
      <c r="W155" s="135">
        <f>W156</f>
        <v>1.26</v>
      </c>
      <c r="X155" s="131"/>
      <c r="Y155" s="135">
        <f>Y156</f>
        <v>0.0021000000000000003</v>
      </c>
      <c r="Z155" s="131"/>
      <c r="AA155" s="136">
        <f>AA156</f>
        <v>0</v>
      </c>
      <c r="AR155" s="137" t="s">
        <v>21</v>
      </c>
      <c r="AT155" s="138" t="s">
        <v>77</v>
      </c>
      <c r="AU155" s="138" t="s">
        <v>21</v>
      </c>
      <c r="AY155" s="137" t="s">
        <v>167</v>
      </c>
      <c r="BK155" s="139">
        <f>BK156</f>
        <v>0</v>
      </c>
    </row>
    <row r="156" spans="2:65" s="1" customFormat="1" ht="44.25" customHeight="1">
      <c r="B156" s="141"/>
      <c r="C156" s="142" t="s">
        <v>288</v>
      </c>
      <c r="D156" s="142" t="s">
        <v>168</v>
      </c>
      <c r="E156" s="143" t="s">
        <v>345</v>
      </c>
      <c r="F156" s="293" t="s">
        <v>346</v>
      </c>
      <c r="G156" s="293"/>
      <c r="H156" s="293"/>
      <c r="I156" s="293"/>
      <c r="J156" s="144" t="s">
        <v>199</v>
      </c>
      <c r="K156" s="145">
        <v>10</v>
      </c>
      <c r="L156" s="294"/>
      <c r="M156" s="294"/>
      <c r="N156" s="294">
        <f>ROUND(L156*K156,2)</f>
        <v>0</v>
      </c>
      <c r="O156" s="294"/>
      <c r="P156" s="294"/>
      <c r="Q156" s="294"/>
      <c r="R156" s="146"/>
      <c r="T156" s="147" t="s">
        <v>5</v>
      </c>
      <c r="U156" s="44" t="s">
        <v>43</v>
      </c>
      <c r="V156" s="148">
        <v>0.126</v>
      </c>
      <c r="W156" s="148">
        <f>V156*K156</f>
        <v>1.26</v>
      </c>
      <c r="X156" s="148">
        <v>0.00021</v>
      </c>
      <c r="Y156" s="148">
        <f>X156*K156</f>
        <v>0.0021000000000000003</v>
      </c>
      <c r="Z156" s="148">
        <v>0</v>
      </c>
      <c r="AA156" s="149">
        <f>Z156*K156</f>
        <v>0</v>
      </c>
      <c r="AR156" s="21" t="s">
        <v>172</v>
      </c>
      <c r="AT156" s="21" t="s">
        <v>168</v>
      </c>
      <c r="AU156" s="21" t="s">
        <v>135</v>
      </c>
      <c r="AY156" s="21" t="s">
        <v>167</v>
      </c>
      <c r="BE156" s="150">
        <f>IF(U156="základní",N156,0)</f>
        <v>0</v>
      </c>
      <c r="BF156" s="150">
        <f>IF(U156="snížená",N156,0)</f>
        <v>0</v>
      </c>
      <c r="BG156" s="150">
        <f>IF(U156="zákl. přenesená",N156,0)</f>
        <v>0</v>
      </c>
      <c r="BH156" s="150">
        <f>IF(U156="sníž. přenesená",N156,0)</f>
        <v>0</v>
      </c>
      <c r="BI156" s="150">
        <f>IF(U156="nulová",N156,0)</f>
        <v>0</v>
      </c>
      <c r="BJ156" s="21" t="s">
        <v>21</v>
      </c>
      <c r="BK156" s="150">
        <f>ROUND(L156*K156,2)</f>
        <v>0</v>
      </c>
      <c r="BL156" s="21" t="s">
        <v>172</v>
      </c>
      <c r="BM156" s="21" t="s">
        <v>347</v>
      </c>
    </row>
    <row r="157" spans="2:63" s="9" customFormat="1" ht="29.85" customHeight="1">
      <c r="B157" s="130"/>
      <c r="C157" s="131"/>
      <c r="D157" s="140" t="s">
        <v>151</v>
      </c>
      <c r="E157" s="140"/>
      <c r="F157" s="140"/>
      <c r="G157" s="140"/>
      <c r="H157" s="140"/>
      <c r="I157" s="140"/>
      <c r="J157" s="140"/>
      <c r="K157" s="140"/>
      <c r="L157" s="140"/>
      <c r="M157" s="140"/>
      <c r="N157" s="310">
        <f>BK157</f>
        <v>0</v>
      </c>
      <c r="O157" s="311"/>
      <c r="P157" s="311"/>
      <c r="Q157" s="311"/>
      <c r="R157" s="133"/>
      <c r="T157" s="134"/>
      <c r="U157" s="131"/>
      <c r="V157" s="131"/>
      <c r="W157" s="135">
        <f>W158</f>
        <v>5.993904</v>
      </c>
      <c r="X157" s="131"/>
      <c r="Y157" s="135">
        <f>Y158</f>
        <v>0</v>
      </c>
      <c r="Z157" s="131"/>
      <c r="AA157" s="136">
        <f>AA158</f>
        <v>0</v>
      </c>
      <c r="AR157" s="137" t="s">
        <v>21</v>
      </c>
      <c r="AT157" s="138" t="s">
        <v>77</v>
      </c>
      <c r="AU157" s="138" t="s">
        <v>21</v>
      </c>
      <c r="AY157" s="137" t="s">
        <v>167</v>
      </c>
      <c r="BK157" s="139">
        <f>BK158</f>
        <v>0</v>
      </c>
    </row>
    <row r="158" spans="2:65" s="1" customFormat="1" ht="22.5" customHeight="1">
      <c r="B158" s="141"/>
      <c r="C158" s="142" t="s">
        <v>295</v>
      </c>
      <c r="D158" s="142" t="s">
        <v>168</v>
      </c>
      <c r="E158" s="143" t="s">
        <v>222</v>
      </c>
      <c r="F158" s="293" t="s">
        <v>223</v>
      </c>
      <c r="G158" s="293"/>
      <c r="H158" s="293"/>
      <c r="I158" s="293"/>
      <c r="J158" s="144" t="s">
        <v>210</v>
      </c>
      <c r="K158" s="145">
        <v>17.839</v>
      </c>
      <c r="L158" s="294"/>
      <c r="M158" s="294"/>
      <c r="N158" s="294">
        <f>ROUND(L158*K158,2)</f>
        <v>0</v>
      </c>
      <c r="O158" s="294"/>
      <c r="P158" s="294"/>
      <c r="Q158" s="294"/>
      <c r="R158" s="146"/>
      <c r="T158" s="147" t="s">
        <v>5</v>
      </c>
      <c r="U158" s="44" t="s">
        <v>43</v>
      </c>
      <c r="V158" s="148">
        <v>0.336</v>
      </c>
      <c r="W158" s="148">
        <f>V158*K158</f>
        <v>5.993904</v>
      </c>
      <c r="X158" s="148">
        <v>0</v>
      </c>
      <c r="Y158" s="148">
        <f>X158*K158</f>
        <v>0</v>
      </c>
      <c r="Z158" s="148">
        <v>0</v>
      </c>
      <c r="AA158" s="149">
        <f>Z158*K158</f>
        <v>0</v>
      </c>
      <c r="AR158" s="21" t="s">
        <v>172</v>
      </c>
      <c r="AT158" s="21" t="s">
        <v>168</v>
      </c>
      <c r="AU158" s="21" t="s">
        <v>135</v>
      </c>
      <c r="AY158" s="21" t="s">
        <v>167</v>
      </c>
      <c r="BE158" s="150">
        <f>IF(U158="základní",N158,0)</f>
        <v>0</v>
      </c>
      <c r="BF158" s="150">
        <f>IF(U158="snížená",N158,0)</f>
        <v>0</v>
      </c>
      <c r="BG158" s="150">
        <f>IF(U158="zákl. přenesená",N158,0)</f>
        <v>0</v>
      </c>
      <c r="BH158" s="150">
        <f>IF(U158="sníž. přenesená",N158,0)</f>
        <v>0</v>
      </c>
      <c r="BI158" s="150">
        <f>IF(U158="nulová",N158,0)</f>
        <v>0</v>
      </c>
      <c r="BJ158" s="21" t="s">
        <v>21</v>
      </c>
      <c r="BK158" s="150">
        <f>ROUND(L158*K158,2)</f>
        <v>0</v>
      </c>
      <c r="BL158" s="21" t="s">
        <v>172</v>
      </c>
      <c r="BM158" s="21" t="s">
        <v>350</v>
      </c>
    </row>
    <row r="159" spans="2:63" s="9" customFormat="1" ht="37.35" customHeight="1">
      <c r="B159" s="130"/>
      <c r="C159" s="131"/>
      <c r="D159" s="132" t="s">
        <v>387</v>
      </c>
      <c r="E159" s="132"/>
      <c r="F159" s="132"/>
      <c r="G159" s="132"/>
      <c r="H159" s="132"/>
      <c r="I159" s="132"/>
      <c r="J159" s="132"/>
      <c r="K159" s="132"/>
      <c r="L159" s="132"/>
      <c r="M159" s="132"/>
      <c r="N159" s="315">
        <f>BK159</f>
        <v>0</v>
      </c>
      <c r="O159" s="316"/>
      <c r="P159" s="316"/>
      <c r="Q159" s="316"/>
      <c r="R159" s="133"/>
      <c r="T159" s="134"/>
      <c r="U159" s="131"/>
      <c r="V159" s="131"/>
      <c r="W159" s="135">
        <f>W160</f>
        <v>2.259</v>
      </c>
      <c r="X159" s="131"/>
      <c r="Y159" s="135">
        <f>Y160</f>
        <v>0.00051</v>
      </c>
      <c r="Z159" s="131"/>
      <c r="AA159" s="136">
        <f>AA160</f>
        <v>0</v>
      </c>
      <c r="AR159" s="137" t="s">
        <v>135</v>
      </c>
      <c r="AT159" s="138" t="s">
        <v>77</v>
      </c>
      <c r="AU159" s="138" t="s">
        <v>78</v>
      </c>
      <c r="AY159" s="137" t="s">
        <v>167</v>
      </c>
      <c r="BK159" s="139">
        <f>BK160</f>
        <v>0</v>
      </c>
    </row>
    <row r="160" spans="2:63" s="9" customFormat="1" ht="19.9" customHeight="1">
      <c r="B160" s="130"/>
      <c r="C160" s="131"/>
      <c r="D160" s="140" t="s">
        <v>388</v>
      </c>
      <c r="E160" s="140"/>
      <c r="F160" s="140"/>
      <c r="G160" s="140"/>
      <c r="H160" s="140"/>
      <c r="I160" s="140"/>
      <c r="J160" s="140"/>
      <c r="K160" s="140"/>
      <c r="L160" s="140"/>
      <c r="M160" s="140"/>
      <c r="N160" s="298">
        <f>BK160</f>
        <v>0</v>
      </c>
      <c r="O160" s="299"/>
      <c r="P160" s="299"/>
      <c r="Q160" s="299"/>
      <c r="R160" s="133"/>
      <c r="T160" s="134"/>
      <c r="U160" s="131"/>
      <c r="V160" s="131"/>
      <c r="W160" s="135">
        <f>SUM(W161:W163)</f>
        <v>2.259</v>
      </c>
      <c r="X160" s="131"/>
      <c r="Y160" s="135">
        <f>SUM(Y161:Y163)</f>
        <v>0.00051</v>
      </c>
      <c r="Z160" s="131"/>
      <c r="AA160" s="136">
        <f>SUM(AA161:AA163)</f>
        <v>0</v>
      </c>
      <c r="AR160" s="137" t="s">
        <v>135</v>
      </c>
      <c r="AT160" s="138" t="s">
        <v>77</v>
      </c>
      <c r="AU160" s="138" t="s">
        <v>21</v>
      </c>
      <c r="AY160" s="137" t="s">
        <v>167</v>
      </c>
      <c r="BK160" s="139">
        <f>SUM(BK161:BK163)</f>
        <v>0</v>
      </c>
    </row>
    <row r="161" spans="2:65" s="1" customFormat="1" ht="22.5" customHeight="1">
      <c r="B161" s="141"/>
      <c r="C161" s="142" t="s">
        <v>301</v>
      </c>
      <c r="D161" s="142" t="s">
        <v>168</v>
      </c>
      <c r="E161" s="143" t="s">
        <v>402</v>
      </c>
      <c r="F161" s="293" t="s">
        <v>403</v>
      </c>
      <c r="G161" s="293"/>
      <c r="H161" s="293"/>
      <c r="I161" s="293"/>
      <c r="J161" s="144" t="s">
        <v>199</v>
      </c>
      <c r="K161" s="145">
        <v>3</v>
      </c>
      <c r="L161" s="294"/>
      <c r="M161" s="294"/>
      <c r="N161" s="294">
        <f>ROUND(L161*K161,2)</f>
        <v>0</v>
      </c>
      <c r="O161" s="294"/>
      <c r="P161" s="294"/>
      <c r="Q161" s="294"/>
      <c r="R161" s="146"/>
      <c r="T161" s="147" t="s">
        <v>5</v>
      </c>
      <c r="U161" s="44" t="s">
        <v>43</v>
      </c>
      <c r="V161" s="148">
        <v>0.753</v>
      </c>
      <c r="W161" s="148">
        <f>V161*K161</f>
        <v>2.259</v>
      </c>
      <c r="X161" s="148">
        <v>0.00017</v>
      </c>
      <c r="Y161" s="148">
        <f>X161*K161</f>
        <v>0.00051</v>
      </c>
      <c r="Z161" s="148">
        <v>0</v>
      </c>
      <c r="AA161" s="149">
        <f>Z161*K161</f>
        <v>0</v>
      </c>
      <c r="AR161" s="21" t="s">
        <v>281</v>
      </c>
      <c r="AT161" s="21" t="s">
        <v>168</v>
      </c>
      <c r="AU161" s="21" t="s">
        <v>135</v>
      </c>
      <c r="AY161" s="21" t="s">
        <v>167</v>
      </c>
      <c r="BE161" s="150">
        <f>IF(U161="základní",N161,0)</f>
        <v>0</v>
      </c>
      <c r="BF161" s="150">
        <f>IF(U161="snížená",N161,0)</f>
        <v>0</v>
      </c>
      <c r="BG161" s="150">
        <f>IF(U161="zákl. přenesená",N161,0)</f>
        <v>0</v>
      </c>
      <c r="BH161" s="150">
        <f>IF(U161="sníž. přenesená",N161,0)</f>
        <v>0</v>
      </c>
      <c r="BI161" s="150">
        <f>IF(U161="nulová",N161,0)</f>
        <v>0</v>
      </c>
      <c r="BJ161" s="21" t="s">
        <v>21</v>
      </c>
      <c r="BK161" s="150">
        <f>ROUND(L161*K161,2)</f>
        <v>0</v>
      </c>
      <c r="BL161" s="21" t="s">
        <v>281</v>
      </c>
      <c r="BM161" s="21" t="s">
        <v>404</v>
      </c>
    </row>
    <row r="162" spans="2:51" s="11" customFormat="1" ht="22.5" customHeight="1">
      <c r="B162" s="159"/>
      <c r="C162" s="160"/>
      <c r="D162" s="160"/>
      <c r="E162" s="161" t="s">
        <v>5</v>
      </c>
      <c r="F162" s="308" t="s">
        <v>405</v>
      </c>
      <c r="G162" s="309"/>
      <c r="H162" s="309"/>
      <c r="I162" s="309"/>
      <c r="J162" s="160"/>
      <c r="K162" s="162">
        <v>3</v>
      </c>
      <c r="L162" s="160"/>
      <c r="M162" s="160"/>
      <c r="N162" s="160"/>
      <c r="O162" s="160"/>
      <c r="P162" s="160"/>
      <c r="Q162" s="160"/>
      <c r="R162" s="163"/>
      <c r="T162" s="164"/>
      <c r="U162" s="160"/>
      <c r="V162" s="160"/>
      <c r="W162" s="160"/>
      <c r="X162" s="160"/>
      <c r="Y162" s="160"/>
      <c r="Z162" s="160"/>
      <c r="AA162" s="165"/>
      <c r="AT162" s="166" t="s">
        <v>179</v>
      </c>
      <c r="AU162" s="166" t="s">
        <v>135</v>
      </c>
      <c r="AV162" s="11" t="s">
        <v>135</v>
      </c>
      <c r="AW162" s="11" t="s">
        <v>35</v>
      </c>
      <c r="AX162" s="11" t="s">
        <v>21</v>
      </c>
      <c r="AY162" s="166" t="s">
        <v>167</v>
      </c>
    </row>
    <row r="163" spans="2:65" s="1" customFormat="1" ht="31.5" customHeight="1">
      <c r="B163" s="141"/>
      <c r="C163" s="142" t="s">
        <v>305</v>
      </c>
      <c r="D163" s="142" t="s">
        <v>168</v>
      </c>
      <c r="E163" s="143" t="s">
        <v>406</v>
      </c>
      <c r="F163" s="293" t="s">
        <v>407</v>
      </c>
      <c r="G163" s="293"/>
      <c r="H163" s="293"/>
      <c r="I163" s="293"/>
      <c r="J163" s="144" t="s">
        <v>408</v>
      </c>
      <c r="K163" s="145">
        <v>2</v>
      </c>
      <c r="L163" s="294"/>
      <c r="M163" s="294"/>
      <c r="N163" s="294">
        <f>ROUND(L163*K163,2)</f>
        <v>0</v>
      </c>
      <c r="O163" s="294"/>
      <c r="P163" s="294"/>
      <c r="Q163" s="294"/>
      <c r="R163" s="146"/>
      <c r="T163" s="147" t="s">
        <v>5</v>
      </c>
      <c r="U163" s="175" t="s">
        <v>43</v>
      </c>
      <c r="V163" s="176">
        <v>0</v>
      </c>
      <c r="W163" s="176">
        <f>V163*K163</f>
        <v>0</v>
      </c>
      <c r="X163" s="176">
        <v>0</v>
      </c>
      <c r="Y163" s="176">
        <f>X163*K163</f>
        <v>0</v>
      </c>
      <c r="Z163" s="176">
        <v>0</v>
      </c>
      <c r="AA163" s="177">
        <f>Z163*K163</f>
        <v>0</v>
      </c>
      <c r="AR163" s="21" t="s">
        <v>281</v>
      </c>
      <c r="AT163" s="21" t="s">
        <v>168</v>
      </c>
      <c r="AU163" s="21" t="s">
        <v>135</v>
      </c>
      <c r="AY163" s="21" t="s">
        <v>167</v>
      </c>
      <c r="BE163" s="150">
        <f>IF(U163="základní",N163,0)</f>
        <v>0</v>
      </c>
      <c r="BF163" s="150">
        <f>IF(U163="snížená",N163,0)</f>
        <v>0</v>
      </c>
      <c r="BG163" s="150">
        <f>IF(U163="zákl. přenesená",N163,0)</f>
        <v>0</v>
      </c>
      <c r="BH163" s="150">
        <f>IF(U163="sníž. přenesená",N163,0)</f>
        <v>0</v>
      </c>
      <c r="BI163" s="150">
        <f>IF(U163="nulová",N163,0)</f>
        <v>0</v>
      </c>
      <c r="BJ163" s="21" t="s">
        <v>21</v>
      </c>
      <c r="BK163" s="150">
        <f>ROUND(L163*K163,2)</f>
        <v>0</v>
      </c>
      <c r="BL163" s="21" t="s">
        <v>281</v>
      </c>
      <c r="BM163" s="21" t="s">
        <v>409</v>
      </c>
    </row>
    <row r="164" spans="2:18" s="1" customFormat="1" ht="6.95" customHeight="1"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1"/>
    </row>
  </sheetData>
  <mergeCells count="145">
    <mergeCell ref="H1:K1"/>
    <mergeCell ref="S2:AC2"/>
    <mergeCell ref="N117:Q117"/>
    <mergeCell ref="N118:Q118"/>
    <mergeCell ref="N119:Q119"/>
    <mergeCell ref="N133:Q133"/>
    <mergeCell ref="N147:Q147"/>
    <mergeCell ref="N155:Q155"/>
    <mergeCell ref="N157:Q157"/>
    <mergeCell ref="F146:I14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42:I142"/>
    <mergeCell ref="L142:M142"/>
    <mergeCell ref="N142:Q142"/>
    <mergeCell ref="F143:I143"/>
    <mergeCell ref="F144:I144"/>
    <mergeCell ref="L144:M144"/>
    <mergeCell ref="F163:I163"/>
    <mergeCell ref="L163:M163"/>
    <mergeCell ref="N163:Q163"/>
    <mergeCell ref="F152:I152"/>
    <mergeCell ref="L152:M152"/>
    <mergeCell ref="N152:Q152"/>
    <mergeCell ref="F153:I153"/>
    <mergeCell ref="L153:M153"/>
    <mergeCell ref="N153:Q153"/>
    <mergeCell ref="F154:I154"/>
    <mergeCell ref="F156:I156"/>
    <mergeCell ref="L156:M156"/>
    <mergeCell ref="N156:Q156"/>
    <mergeCell ref="N159:Q159"/>
    <mergeCell ref="N160:Q160"/>
    <mergeCell ref="F158:I158"/>
    <mergeCell ref="L158:M158"/>
    <mergeCell ref="N158:Q158"/>
    <mergeCell ref="F161:I161"/>
    <mergeCell ref="L161:M161"/>
    <mergeCell ref="N161:Q161"/>
    <mergeCell ref="F162:I162"/>
    <mergeCell ref="N144:Q144"/>
    <mergeCell ref="F145:I145"/>
    <mergeCell ref="L145:M145"/>
    <mergeCell ref="N145:Q145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30:I130"/>
    <mergeCell ref="F131:I131"/>
    <mergeCell ref="F132:I132"/>
    <mergeCell ref="F134:I134"/>
    <mergeCell ref="L134:M134"/>
    <mergeCell ref="N134:Q134"/>
    <mergeCell ref="F135:I135"/>
    <mergeCell ref="F136:I136"/>
    <mergeCell ref="L136:M136"/>
    <mergeCell ref="N136:Q13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0:I120"/>
    <mergeCell ref="L120:M120"/>
    <mergeCell ref="N120:Q120"/>
    <mergeCell ref="F121:I121"/>
    <mergeCell ref="F122:I122"/>
    <mergeCell ref="F123:I123"/>
    <mergeCell ref="F124:I124"/>
    <mergeCell ref="F125:I125"/>
    <mergeCell ref="F126:I126"/>
    <mergeCell ref="L126:M126"/>
    <mergeCell ref="N126:Q126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190"/>
  <sheetViews>
    <sheetView showGridLines="0" view="pageBreakPreview" zoomScaleSheetLayoutView="100" workbookViewId="0" topLeftCell="A1">
      <pane ySplit="1" topLeftCell="A2" activePane="bottomLeft" state="frozen"/>
      <selection pane="topLeft" activeCell="AE85" sqref="AE84:AE85"/>
      <selection pane="bottomLeft" activeCell="AC31" sqref="AC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98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410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N99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ROUNDUP((SUM(BE99:BE100)+SUM(BE118:BE189)),2)</f>
        <v>0</v>
      </c>
      <c r="I32" s="275"/>
      <c r="J32" s="275"/>
      <c r="K32" s="36"/>
      <c r="L32" s="36"/>
      <c r="M32" s="279">
        <f>ROUNDUP(ROUNDUP((SUM(BE99:BE100)+SUM(BE118:BE189)),2)*F32,1)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ROUNDUP((SUM(BF99:BF100)+SUM(BF118:BF189)),2)</f>
        <v>0</v>
      </c>
      <c r="I33" s="275"/>
      <c r="J33" s="275"/>
      <c r="K33" s="36"/>
      <c r="L33" s="36"/>
      <c r="M33" s="279">
        <f>ROUNDUP(ROUNDUP((SUM(BF99:BF100)+SUM(BF118:BF189)),2)*F33,1)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ROUNDUP((SUM(BG99:BG100)+SUM(BG118:BG189)),2)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ROUNDUP((SUM(BH99:BH100)+SUM(BH118:BH189)),2)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ROUNDUP((SUM(BI99:BI100)+SUM(BI118:BI189)),2)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SO.1.05 - Objekt ČOV - kalová uskladňovací nádrž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N118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N119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N120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N133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226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N149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411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N159</f>
        <v>0</v>
      </c>
      <c r="O93" s="288"/>
      <c r="P93" s="288"/>
      <c r="Q93" s="288"/>
      <c r="R93" s="120"/>
    </row>
    <row r="94" spans="2:18" s="7" customFormat="1" ht="19.9" customHeight="1">
      <c r="B94" s="117"/>
      <c r="C94" s="118"/>
      <c r="D94" s="119" t="s">
        <v>228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N178</f>
        <v>0</v>
      </c>
      <c r="O94" s="288"/>
      <c r="P94" s="288"/>
      <c r="Q94" s="288"/>
      <c r="R94" s="120"/>
    </row>
    <row r="95" spans="2:18" s="7" customFormat="1" ht="19.9" customHeight="1">
      <c r="B95" s="117"/>
      <c r="C95" s="118"/>
      <c r="D95" s="119" t="s">
        <v>151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87">
        <f>N185</f>
        <v>0</v>
      </c>
      <c r="O95" s="288"/>
      <c r="P95" s="288"/>
      <c r="Q95" s="288"/>
      <c r="R95" s="120"/>
    </row>
    <row r="96" spans="2:18" s="6" customFormat="1" ht="24.95" customHeight="1">
      <c r="B96" s="113"/>
      <c r="C96" s="114"/>
      <c r="D96" s="115" t="s">
        <v>387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85">
        <f>N187</f>
        <v>0</v>
      </c>
      <c r="O96" s="286"/>
      <c r="P96" s="286"/>
      <c r="Q96" s="286"/>
      <c r="R96" s="116"/>
    </row>
    <row r="97" spans="2:18" s="7" customFormat="1" ht="19.9" customHeight="1">
      <c r="B97" s="117"/>
      <c r="C97" s="118"/>
      <c r="D97" s="119" t="s">
        <v>412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87">
        <f>N188</f>
        <v>0</v>
      </c>
      <c r="O97" s="288"/>
      <c r="P97" s="288"/>
      <c r="Q97" s="288"/>
      <c r="R97" s="120"/>
    </row>
    <row r="98" spans="2:18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2" t="s">
        <v>152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84">
        <v>0</v>
      </c>
      <c r="O99" s="289"/>
      <c r="P99" s="289"/>
      <c r="Q99" s="289"/>
      <c r="R99" s="37"/>
      <c r="T99" s="121"/>
      <c r="U99" s="122" t="s">
        <v>42</v>
      </c>
    </row>
    <row r="100" spans="2:18" s="1" customFormat="1" ht="18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18" s="1" customFormat="1" ht="29.25" customHeight="1">
      <c r="B101" s="35"/>
      <c r="C101" s="103" t="s">
        <v>129</v>
      </c>
      <c r="D101" s="104"/>
      <c r="E101" s="104"/>
      <c r="F101" s="104"/>
      <c r="G101" s="104"/>
      <c r="H101" s="104"/>
      <c r="I101" s="104"/>
      <c r="J101" s="104"/>
      <c r="K101" s="104"/>
      <c r="L101" s="268">
        <f>ROUNDUP(SUM(N88+N99),2)</f>
        <v>0</v>
      </c>
      <c r="M101" s="268"/>
      <c r="N101" s="268"/>
      <c r="O101" s="268"/>
      <c r="P101" s="268"/>
      <c r="Q101" s="268"/>
      <c r="R101" s="37"/>
    </row>
    <row r="102" spans="2:18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18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18" s="1" customFormat="1" ht="36.95" customHeight="1">
      <c r="B107" s="35"/>
      <c r="C107" s="237" t="s">
        <v>153</v>
      </c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37"/>
    </row>
    <row r="108" spans="2:18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30" customHeight="1">
      <c r="B109" s="35"/>
      <c r="C109" s="32" t="s">
        <v>16</v>
      </c>
      <c r="D109" s="36"/>
      <c r="E109" s="36"/>
      <c r="F109" s="273" t="str">
        <f>F6</f>
        <v>ČOV a splašková kanalizace Žinkovy</v>
      </c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36"/>
      <c r="R109" s="37"/>
    </row>
    <row r="110" spans="2:18" s="1" customFormat="1" ht="36.95" customHeight="1">
      <c r="B110" s="35"/>
      <c r="C110" s="69" t="s">
        <v>137</v>
      </c>
      <c r="D110" s="36"/>
      <c r="E110" s="36"/>
      <c r="F110" s="254" t="str">
        <f>F7</f>
        <v>SO.1.05 - Objekt ČOV - kalová uskladňovací nádrž</v>
      </c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36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2" t="s">
        <v>22</v>
      </c>
      <c r="D112" s="36"/>
      <c r="E112" s="36"/>
      <c r="F112" s="30" t="str">
        <f>F9</f>
        <v>Žinkovy</v>
      </c>
      <c r="G112" s="36"/>
      <c r="H112" s="36"/>
      <c r="I112" s="36"/>
      <c r="J112" s="36"/>
      <c r="K112" s="32" t="s">
        <v>24</v>
      </c>
      <c r="L112" s="36"/>
      <c r="M112" s="276">
        <f>IF(O9="","",O9)</f>
        <v>42912</v>
      </c>
      <c r="N112" s="276"/>
      <c r="O112" s="276"/>
      <c r="P112" s="276"/>
      <c r="Q112" s="36"/>
      <c r="R112" s="37"/>
    </row>
    <row r="113" spans="2:18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5">
      <c r="B114" s="35"/>
      <c r="C114" s="32" t="s">
        <v>27</v>
      </c>
      <c r="D114" s="36"/>
      <c r="E114" s="36"/>
      <c r="F114" s="30" t="str">
        <f>E12</f>
        <v>Obec Žinkovy</v>
      </c>
      <c r="G114" s="36"/>
      <c r="H114" s="36"/>
      <c r="I114" s="36"/>
      <c r="J114" s="36"/>
      <c r="K114" s="32" t="s">
        <v>33</v>
      </c>
      <c r="L114" s="36"/>
      <c r="M114" s="277" t="str">
        <f>E18</f>
        <v>PIK Vítek s.r.o.</v>
      </c>
      <c r="N114" s="277"/>
      <c r="O114" s="277"/>
      <c r="P114" s="277"/>
      <c r="Q114" s="277"/>
      <c r="R114" s="37"/>
    </row>
    <row r="115" spans="2:18" s="1" customFormat="1" ht="14.45" customHeight="1">
      <c r="B115" s="35"/>
      <c r="C115" s="32" t="s">
        <v>31</v>
      </c>
      <c r="D115" s="36"/>
      <c r="E115" s="36"/>
      <c r="F115" s="30" t="str">
        <f>IF(E15="","",E15)</f>
        <v xml:space="preserve"> </v>
      </c>
      <c r="G115" s="36"/>
      <c r="H115" s="36"/>
      <c r="I115" s="36"/>
      <c r="J115" s="36"/>
      <c r="K115" s="32" t="s">
        <v>36</v>
      </c>
      <c r="L115" s="36"/>
      <c r="M115" s="277" t="str">
        <f>E21</f>
        <v>Acrone s.r.o.</v>
      </c>
      <c r="N115" s="277"/>
      <c r="O115" s="277"/>
      <c r="P115" s="277"/>
      <c r="Q115" s="277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8" customFormat="1" ht="29.25" customHeight="1">
      <c r="B117" s="123"/>
      <c r="C117" s="124" t="s">
        <v>154</v>
      </c>
      <c r="D117" s="125" t="s">
        <v>155</v>
      </c>
      <c r="E117" s="125" t="s">
        <v>60</v>
      </c>
      <c r="F117" s="290" t="s">
        <v>156</v>
      </c>
      <c r="G117" s="290"/>
      <c r="H117" s="290"/>
      <c r="I117" s="290"/>
      <c r="J117" s="125" t="s">
        <v>157</v>
      </c>
      <c r="K117" s="125" t="s">
        <v>158</v>
      </c>
      <c r="L117" s="291" t="s">
        <v>159</v>
      </c>
      <c r="M117" s="291"/>
      <c r="N117" s="290" t="s">
        <v>144</v>
      </c>
      <c r="O117" s="290"/>
      <c r="P117" s="290"/>
      <c r="Q117" s="292"/>
      <c r="R117" s="126"/>
      <c r="T117" s="76" t="s">
        <v>160</v>
      </c>
      <c r="U117" s="77" t="s">
        <v>42</v>
      </c>
      <c r="V117" s="77" t="s">
        <v>161</v>
      </c>
      <c r="W117" s="77" t="s">
        <v>162</v>
      </c>
      <c r="X117" s="77" t="s">
        <v>163</v>
      </c>
      <c r="Y117" s="77" t="s">
        <v>164</v>
      </c>
      <c r="Z117" s="77" t="s">
        <v>165</v>
      </c>
      <c r="AA117" s="78" t="s">
        <v>166</v>
      </c>
    </row>
    <row r="118" spans="2:63" s="1" customFormat="1" ht="29.25" customHeight="1">
      <c r="B118" s="35"/>
      <c r="C118" s="80" t="s">
        <v>140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95">
        <f>BK118</f>
        <v>0</v>
      </c>
      <c r="O118" s="296"/>
      <c r="P118" s="296"/>
      <c r="Q118" s="296"/>
      <c r="R118" s="37"/>
      <c r="T118" s="79"/>
      <c r="U118" s="51"/>
      <c r="V118" s="51"/>
      <c r="W118" s="127">
        <f>W119+W187</f>
        <v>836.135577</v>
      </c>
      <c r="X118" s="51"/>
      <c r="Y118" s="127">
        <f>Y119+Y187</f>
        <v>149.47191040000004</v>
      </c>
      <c r="Z118" s="51"/>
      <c r="AA118" s="128">
        <f>AA119+AA187</f>
        <v>0</v>
      </c>
      <c r="AT118" s="21" t="s">
        <v>77</v>
      </c>
      <c r="AU118" s="21" t="s">
        <v>146</v>
      </c>
      <c r="BK118" s="129">
        <f>BK119+BK187</f>
        <v>0</v>
      </c>
    </row>
    <row r="119" spans="2:63" s="9" customFormat="1" ht="37.35" customHeight="1">
      <c r="B119" s="130"/>
      <c r="C119" s="131"/>
      <c r="D119" s="132" t="s">
        <v>147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297">
        <f>BK119</f>
        <v>0</v>
      </c>
      <c r="O119" s="285"/>
      <c r="P119" s="285"/>
      <c r="Q119" s="285"/>
      <c r="R119" s="133"/>
      <c r="T119" s="134"/>
      <c r="U119" s="131"/>
      <c r="V119" s="131"/>
      <c r="W119" s="135">
        <f>W120+W133+W149+W159+W178+W185</f>
        <v>834.635577</v>
      </c>
      <c r="X119" s="131"/>
      <c r="Y119" s="135">
        <f>Y120+Y133+Y149+Y159+Y178+Y185</f>
        <v>149.47191040000004</v>
      </c>
      <c r="Z119" s="131"/>
      <c r="AA119" s="136">
        <f>AA120+AA133+AA149+AA159+AA178+AA185</f>
        <v>0</v>
      </c>
      <c r="AR119" s="137" t="s">
        <v>21</v>
      </c>
      <c r="AT119" s="138" t="s">
        <v>77</v>
      </c>
      <c r="AU119" s="138" t="s">
        <v>78</v>
      </c>
      <c r="AY119" s="137" t="s">
        <v>167</v>
      </c>
      <c r="BK119" s="139">
        <f>BK120+BK133+BK149+BK159+BK178+BK185</f>
        <v>0</v>
      </c>
    </row>
    <row r="120" spans="2:63" s="9" customFormat="1" ht="19.9" customHeight="1">
      <c r="B120" s="130"/>
      <c r="C120" s="131"/>
      <c r="D120" s="140" t="s">
        <v>148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298">
        <f>BK120</f>
        <v>0</v>
      </c>
      <c r="O120" s="299"/>
      <c r="P120" s="299"/>
      <c r="Q120" s="299"/>
      <c r="R120" s="133"/>
      <c r="T120" s="134"/>
      <c r="U120" s="131"/>
      <c r="V120" s="131"/>
      <c r="W120" s="135">
        <f>SUM(W121:W132)</f>
        <v>73.83072</v>
      </c>
      <c r="X120" s="131"/>
      <c r="Y120" s="135">
        <f>SUM(Y121:Y132)</f>
        <v>0</v>
      </c>
      <c r="Z120" s="131"/>
      <c r="AA120" s="136">
        <f>SUM(AA121:AA132)</f>
        <v>0</v>
      </c>
      <c r="AR120" s="137" t="s">
        <v>21</v>
      </c>
      <c r="AT120" s="138" t="s">
        <v>77</v>
      </c>
      <c r="AU120" s="138" t="s">
        <v>21</v>
      </c>
      <c r="AY120" s="137" t="s">
        <v>167</v>
      </c>
      <c r="BK120" s="139">
        <f>SUM(BK121:BK132)</f>
        <v>0</v>
      </c>
    </row>
    <row r="121" spans="2:65" s="1" customFormat="1" ht="31.5" customHeight="1">
      <c r="B121" s="141"/>
      <c r="C121" s="142" t="s">
        <v>21</v>
      </c>
      <c r="D121" s="142" t="s">
        <v>168</v>
      </c>
      <c r="E121" s="143" t="s">
        <v>239</v>
      </c>
      <c r="F121" s="293" t="s">
        <v>240</v>
      </c>
      <c r="G121" s="293"/>
      <c r="H121" s="293"/>
      <c r="I121" s="293"/>
      <c r="J121" s="144" t="s">
        <v>176</v>
      </c>
      <c r="K121" s="145">
        <v>96.48</v>
      </c>
      <c r="L121" s="294"/>
      <c r="M121" s="294"/>
      <c r="N121" s="294">
        <f>ROUND(L121*K121,2)</f>
        <v>0</v>
      </c>
      <c r="O121" s="294"/>
      <c r="P121" s="294"/>
      <c r="Q121" s="294"/>
      <c r="R121" s="146"/>
      <c r="T121" s="147" t="s">
        <v>5</v>
      </c>
      <c r="U121" s="44" t="s">
        <v>43</v>
      </c>
      <c r="V121" s="148">
        <v>0.467</v>
      </c>
      <c r="W121" s="148">
        <f>V121*K121</f>
        <v>45.056160000000006</v>
      </c>
      <c r="X121" s="148">
        <v>0</v>
      </c>
      <c r="Y121" s="148">
        <f>X121*K121</f>
        <v>0</v>
      </c>
      <c r="Z121" s="148">
        <v>0</v>
      </c>
      <c r="AA121" s="149">
        <f>Z121*K121</f>
        <v>0</v>
      </c>
      <c r="AR121" s="21" t="s">
        <v>172</v>
      </c>
      <c r="AT121" s="21" t="s">
        <v>168</v>
      </c>
      <c r="AU121" s="21" t="s">
        <v>135</v>
      </c>
      <c r="AY121" s="21" t="s">
        <v>167</v>
      </c>
      <c r="BE121" s="150">
        <f>IF(U121="základní",N121,0)</f>
        <v>0</v>
      </c>
      <c r="BF121" s="150">
        <f>IF(U121="snížená",N121,0)</f>
        <v>0</v>
      </c>
      <c r="BG121" s="150">
        <f>IF(U121="zákl. přenesená",N121,0)</f>
        <v>0</v>
      </c>
      <c r="BH121" s="150">
        <f>IF(U121="sníž. přenesená",N121,0)</f>
        <v>0</v>
      </c>
      <c r="BI121" s="150">
        <f>IF(U121="nulová",N121,0)</f>
        <v>0</v>
      </c>
      <c r="BJ121" s="21" t="s">
        <v>21</v>
      </c>
      <c r="BK121" s="150">
        <f>ROUND(L121*K121,2)</f>
        <v>0</v>
      </c>
      <c r="BL121" s="21" t="s">
        <v>172</v>
      </c>
      <c r="BM121" s="21" t="s">
        <v>241</v>
      </c>
    </row>
    <row r="122" spans="2:51" s="10" customFormat="1" ht="22.5" customHeight="1">
      <c r="B122" s="151"/>
      <c r="C122" s="152"/>
      <c r="D122" s="152"/>
      <c r="E122" s="153" t="s">
        <v>5</v>
      </c>
      <c r="F122" s="300" t="s">
        <v>359</v>
      </c>
      <c r="G122" s="301"/>
      <c r="H122" s="301"/>
      <c r="I122" s="301"/>
      <c r="J122" s="152"/>
      <c r="K122" s="154" t="s">
        <v>5</v>
      </c>
      <c r="L122" s="152"/>
      <c r="M122" s="152"/>
      <c r="N122" s="152"/>
      <c r="O122" s="152"/>
      <c r="P122" s="152"/>
      <c r="Q122" s="152"/>
      <c r="R122" s="155"/>
      <c r="T122" s="156"/>
      <c r="U122" s="152"/>
      <c r="V122" s="152"/>
      <c r="W122" s="152"/>
      <c r="X122" s="152"/>
      <c r="Y122" s="152"/>
      <c r="Z122" s="152"/>
      <c r="AA122" s="157"/>
      <c r="AT122" s="158" t="s">
        <v>179</v>
      </c>
      <c r="AU122" s="158" t="s">
        <v>135</v>
      </c>
      <c r="AV122" s="10" t="s">
        <v>21</v>
      </c>
      <c r="AW122" s="10" t="s">
        <v>35</v>
      </c>
      <c r="AX122" s="10" t="s">
        <v>78</v>
      </c>
      <c r="AY122" s="158" t="s">
        <v>167</v>
      </c>
    </row>
    <row r="123" spans="2:51" s="11" customFormat="1" ht="22.5" customHeight="1">
      <c r="B123" s="159"/>
      <c r="C123" s="160"/>
      <c r="D123" s="160"/>
      <c r="E123" s="161" t="s">
        <v>5</v>
      </c>
      <c r="F123" s="302" t="s">
        <v>413</v>
      </c>
      <c r="G123" s="303"/>
      <c r="H123" s="303"/>
      <c r="I123" s="303"/>
      <c r="J123" s="160"/>
      <c r="K123" s="162">
        <v>72</v>
      </c>
      <c r="L123" s="160"/>
      <c r="M123" s="160"/>
      <c r="N123" s="160"/>
      <c r="O123" s="160"/>
      <c r="P123" s="160"/>
      <c r="Q123" s="160"/>
      <c r="R123" s="163"/>
      <c r="T123" s="164"/>
      <c r="U123" s="160"/>
      <c r="V123" s="160"/>
      <c r="W123" s="160"/>
      <c r="X123" s="160"/>
      <c r="Y123" s="160"/>
      <c r="Z123" s="160"/>
      <c r="AA123" s="165"/>
      <c r="AT123" s="166" t="s">
        <v>179</v>
      </c>
      <c r="AU123" s="166" t="s">
        <v>135</v>
      </c>
      <c r="AV123" s="11" t="s">
        <v>135</v>
      </c>
      <c r="AW123" s="11" t="s">
        <v>35</v>
      </c>
      <c r="AX123" s="11" t="s">
        <v>78</v>
      </c>
      <c r="AY123" s="166" t="s">
        <v>167</v>
      </c>
    </row>
    <row r="124" spans="2:51" s="11" customFormat="1" ht="22.5" customHeight="1">
      <c r="B124" s="159"/>
      <c r="C124" s="160"/>
      <c r="D124" s="160"/>
      <c r="E124" s="161" t="s">
        <v>5</v>
      </c>
      <c r="F124" s="302" t="s">
        <v>414</v>
      </c>
      <c r="G124" s="303"/>
      <c r="H124" s="303"/>
      <c r="I124" s="303"/>
      <c r="J124" s="160"/>
      <c r="K124" s="162">
        <v>17.28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179</v>
      </c>
      <c r="AU124" s="166" t="s">
        <v>135</v>
      </c>
      <c r="AV124" s="11" t="s">
        <v>135</v>
      </c>
      <c r="AW124" s="11" t="s">
        <v>35</v>
      </c>
      <c r="AX124" s="11" t="s">
        <v>78</v>
      </c>
      <c r="AY124" s="166" t="s">
        <v>167</v>
      </c>
    </row>
    <row r="125" spans="2:51" s="11" customFormat="1" ht="22.5" customHeight="1">
      <c r="B125" s="159"/>
      <c r="C125" s="160"/>
      <c r="D125" s="160"/>
      <c r="E125" s="161" t="s">
        <v>5</v>
      </c>
      <c r="F125" s="302" t="s">
        <v>415</v>
      </c>
      <c r="G125" s="303"/>
      <c r="H125" s="303"/>
      <c r="I125" s="303"/>
      <c r="J125" s="160"/>
      <c r="K125" s="162">
        <v>7.2</v>
      </c>
      <c r="L125" s="160"/>
      <c r="M125" s="160"/>
      <c r="N125" s="160"/>
      <c r="O125" s="160"/>
      <c r="P125" s="160"/>
      <c r="Q125" s="160"/>
      <c r="R125" s="163"/>
      <c r="T125" s="164"/>
      <c r="U125" s="160"/>
      <c r="V125" s="160"/>
      <c r="W125" s="160"/>
      <c r="X125" s="160"/>
      <c r="Y125" s="160"/>
      <c r="Z125" s="160"/>
      <c r="AA125" s="165"/>
      <c r="AT125" s="166" t="s">
        <v>179</v>
      </c>
      <c r="AU125" s="166" t="s">
        <v>135</v>
      </c>
      <c r="AV125" s="11" t="s">
        <v>135</v>
      </c>
      <c r="AW125" s="11" t="s">
        <v>35</v>
      </c>
      <c r="AX125" s="11" t="s">
        <v>78</v>
      </c>
      <c r="AY125" s="166" t="s">
        <v>167</v>
      </c>
    </row>
    <row r="126" spans="2:51" s="12" customFormat="1" ht="22.5" customHeight="1">
      <c r="B126" s="167"/>
      <c r="C126" s="168"/>
      <c r="D126" s="168"/>
      <c r="E126" s="169" t="s">
        <v>5</v>
      </c>
      <c r="F126" s="306" t="s">
        <v>183</v>
      </c>
      <c r="G126" s="307"/>
      <c r="H126" s="307"/>
      <c r="I126" s="307"/>
      <c r="J126" s="168"/>
      <c r="K126" s="170">
        <v>96.48</v>
      </c>
      <c r="L126" s="168"/>
      <c r="M126" s="168"/>
      <c r="N126" s="168"/>
      <c r="O126" s="168"/>
      <c r="P126" s="168"/>
      <c r="Q126" s="168"/>
      <c r="R126" s="171"/>
      <c r="T126" s="172"/>
      <c r="U126" s="168"/>
      <c r="V126" s="168"/>
      <c r="W126" s="168"/>
      <c r="X126" s="168"/>
      <c r="Y126" s="168"/>
      <c r="Z126" s="168"/>
      <c r="AA126" s="173"/>
      <c r="AT126" s="174" t="s">
        <v>179</v>
      </c>
      <c r="AU126" s="174" t="s">
        <v>135</v>
      </c>
      <c r="AV126" s="12" t="s">
        <v>172</v>
      </c>
      <c r="AW126" s="12" t="s">
        <v>35</v>
      </c>
      <c r="AX126" s="12" t="s">
        <v>21</v>
      </c>
      <c r="AY126" s="174" t="s">
        <v>167</v>
      </c>
    </row>
    <row r="127" spans="2:65" s="1" customFormat="1" ht="31.5" customHeight="1">
      <c r="B127" s="141"/>
      <c r="C127" s="142" t="s">
        <v>135</v>
      </c>
      <c r="D127" s="142" t="s">
        <v>168</v>
      </c>
      <c r="E127" s="143" t="s">
        <v>245</v>
      </c>
      <c r="F127" s="293" t="s">
        <v>246</v>
      </c>
      <c r="G127" s="293"/>
      <c r="H127" s="293"/>
      <c r="I127" s="293"/>
      <c r="J127" s="144" t="s">
        <v>176</v>
      </c>
      <c r="K127" s="145">
        <v>96.48</v>
      </c>
      <c r="L127" s="294"/>
      <c r="M127" s="294"/>
      <c r="N127" s="294">
        <f>ROUND(L127*K127,2)</f>
        <v>0</v>
      </c>
      <c r="O127" s="294"/>
      <c r="P127" s="294"/>
      <c r="Q127" s="294"/>
      <c r="R127" s="146"/>
      <c r="T127" s="147" t="s">
        <v>5</v>
      </c>
      <c r="U127" s="44" t="s">
        <v>43</v>
      </c>
      <c r="V127" s="148">
        <v>0.04</v>
      </c>
      <c r="W127" s="148">
        <f>V127*K127</f>
        <v>3.8592000000000004</v>
      </c>
      <c r="X127" s="148">
        <v>0</v>
      </c>
      <c r="Y127" s="148">
        <f>X127*K127</f>
        <v>0</v>
      </c>
      <c r="Z127" s="148">
        <v>0</v>
      </c>
      <c r="AA127" s="149">
        <f>Z127*K127</f>
        <v>0</v>
      </c>
      <c r="AR127" s="21" t="s">
        <v>172</v>
      </c>
      <c r="AT127" s="21" t="s">
        <v>168</v>
      </c>
      <c r="AU127" s="21" t="s">
        <v>135</v>
      </c>
      <c r="AY127" s="21" t="s">
        <v>167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21</v>
      </c>
      <c r="BK127" s="150">
        <f>ROUND(L127*K127,2)</f>
        <v>0</v>
      </c>
      <c r="BL127" s="21" t="s">
        <v>172</v>
      </c>
      <c r="BM127" s="21" t="s">
        <v>247</v>
      </c>
    </row>
    <row r="128" spans="2:65" s="1" customFormat="1" ht="31.5" customHeight="1">
      <c r="B128" s="141"/>
      <c r="C128" s="142" t="s">
        <v>184</v>
      </c>
      <c r="D128" s="142" t="s">
        <v>168</v>
      </c>
      <c r="E128" s="143" t="s">
        <v>248</v>
      </c>
      <c r="F128" s="293" t="s">
        <v>249</v>
      </c>
      <c r="G128" s="293"/>
      <c r="H128" s="293"/>
      <c r="I128" s="293"/>
      <c r="J128" s="144" t="s">
        <v>176</v>
      </c>
      <c r="K128" s="145">
        <v>96.48</v>
      </c>
      <c r="L128" s="294"/>
      <c r="M128" s="294"/>
      <c r="N128" s="294">
        <f>ROUND(L128*K128,2)</f>
        <v>0</v>
      </c>
      <c r="O128" s="294"/>
      <c r="P128" s="294"/>
      <c r="Q128" s="294"/>
      <c r="R128" s="146"/>
      <c r="T128" s="147" t="s">
        <v>5</v>
      </c>
      <c r="U128" s="44" t="s">
        <v>43</v>
      </c>
      <c r="V128" s="148">
        <v>0.097</v>
      </c>
      <c r="W128" s="148">
        <f>V128*K128</f>
        <v>9.35856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172</v>
      </c>
      <c r="AT128" s="21" t="s">
        <v>168</v>
      </c>
      <c r="AU128" s="21" t="s">
        <v>135</v>
      </c>
      <c r="AY128" s="21" t="s">
        <v>167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21</v>
      </c>
      <c r="BK128" s="150">
        <f>ROUND(L128*K128,2)</f>
        <v>0</v>
      </c>
      <c r="BL128" s="21" t="s">
        <v>172</v>
      </c>
      <c r="BM128" s="21" t="s">
        <v>250</v>
      </c>
    </row>
    <row r="129" spans="2:65" s="1" customFormat="1" ht="44.25" customHeight="1">
      <c r="B129" s="141"/>
      <c r="C129" s="142" t="s">
        <v>172</v>
      </c>
      <c r="D129" s="142" t="s">
        <v>168</v>
      </c>
      <c r="E129" s="143" t="s">
        <v>251</v>
      </c>
      <c r="F129" s="293" t="s">
        <v>252</v>
      </c>
      <c r="G129" s="293"/>
      <c r="H129" s="293"/>
      <c r="I129" s="293"/>
      <c r="J129" s="144" t="s">
        <v>176</v>
      </c>
      <c r="K129" s="145">
        <v>96.48</v>
      </c>
      <c r="L129" s="294"/>
      <c r="M129" s="294"/>
      <c r="N129" s="294">
        <f>ROUND(L129*K129,2)</f>
        <v>0</v>
      </c>
      <c r="O129" s="294"/>
      <c r="P129" s="294"/>
      <c r="Q129" s="294"/>
      <c r="R129" s="146"/>
      <c r="T129" s="147" t="s">
        <v>5</v>
      </c>
      <c r="U129" s="44" t="s">
        <v>43</v>
      </c>
      <c r="V129" s="148">
        <v>0.011</v>
      </c>
      <c r="W129" s="148">
        <f>V129*K129</f>
        <v>1.06128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172</v>
      </c>
      <c r="AT129" s="21" t="s">
        <v>168</v>
      </c>
      <c r="AU129" s="21" t="s">
        <v>135</v>
      </c>
      <c r="AY129" s="21" t="s">
        <v>167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21</v>
      </c>
      <c r="BK129" s="150">
        <f>ROUND(L129*K129,2)</f>
        <v>0</v>
      </c>
      <c r="BL129" s="21" t="s">
        <v>172</v>
      </c>
      <c r="BM129" s="21" t="s">
        <v>253</v>
      </c>
    </row>
    <row r="130" spans="2:65" s="1" customFormat="1" ht="22.5" customHeight="1">
      <c r="B130" s="141"/>
      <c r="C130" s="142" t="s">
        <v>196</v>
      </c>
      <c r="D130" s="142" t="s">
        <v>168</v>
      </c>
      <c r="E130" s="143" t="s">
        <v>254</v>
      </c>
      <c r="F130" s="293" t="s">
        <v>416</v>
      </c>
      <c r="G130" s="293"/>
      <c r="H130" s="293"/>
      <c r="I130" s="293"/>
      <c r="J130" s="144" t="s">
        <v>171</v>
      </c>
      <c r="K130" s="145">
        <v>48.48</v>
      </c>
      <c r="L130" s="294"/>
      <c r="M130" s="294"/>
      <c r="N130" s="294">
        <f>ROUND(L130*K130,2)</f>
        <v>0</v>
      </c>
      <c r="O130" s="294"/>
      <c r="P130" s="294"/>
      <c r="Q130" s="294"/>
      <c r="R130" s="146"/>
      <c r="T130" s="147" t="s">
        <v>5</v>
      </c>
      <c r="U130" s="44" t="s">
        <v>43</v>
      </c>
      <c r="V130" s="148">
        <v>0.299</v>
      </c>
      <c r="W130" s="148">
        <f>V130*K130</f>
        <v>14.495519999999999</v>
      </c>
      <c r="X130" s="148">
        <v>0</v>
      </c>
      <c r="Y130" s="148">
        <f>X130*K130</f>
        <v>0</v>
      </c>
      <c r="Z130" s="148">
        <v>0</v>
      </c>
      <c r="AA130" s="149">
        <f>Z130*K130</f>
        <v>0</v>
      </c>
      <c r="AR130" s="21" t="s">
        <v>172</v>
      </c>
      <c r="AT130" s="21" t="s">
        <v>168</v>
      </c>
      <c r="AU130" s="21" t="s">
        <v>135</v>
      </c>
      <c r="AY130" s="21" t="s">
        <v>167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21</v>
      </c>
      <c r="BK130" s="150">
        <f>ROUND(L130*K130,2)</f>
        <v>0</v>
      </c>
      <c r="BL130" s="21" t="s">
        <v>172</v>
      </c>
      <c r="BM130" s="21" t="s">
        <v>256</v>
      </c>
    </row>
    <row r="131" spans="2:51" s="10" customFormat="1" ht="22.5" customHeight="1">
      <c r="B131" s="151"/>
      <c r="C131" s="152"/>
      <c r="D131" s="152"/>
      <c r="E131" s="153" t="s">
        <v>5</v>
      </c>
      <c r="F131" s="300" t="s">
        <v>359</v>
      </c>
      <c r="G131" s="301"/>
      <c r="H131" s="301"/>
      <c r="I131" s="301"/>
      <c r="J131" s="152"/>
      <c r="K131" s="154" t="s">
        <v>5</v>
      </c>
      <c r="L131" s="152"/>
      <c r="M131" s="152"/>
      <c r="N131" s="152"/>
      <c r="O131" s="152"/>
      <c r="P131" s="152"/>
      <c r="Q131" s="152"/>
      <c r="R131" s="155"/>
      <c r="T131" s="156"/>
      <c r="U131" s="152"/>
      <c r="V131" s="152"/>
      <c r="W131" s="152"/>
      <c r="X131" s="152"/>
      <c r="Y131" s="152"/>
      <c r="Z131" s="152"/>
      <c r="AA131" s="157"/>
      <c r="AT131" s="158" t="s">
        <v>179</v>
      </c>
      <c r="AU131" s="158" t="s">
        <v>135</v>
      </c>
      <c r="AV131" s="10" t="s">
        <v>21</v>
      </c>
      <c r="AW131" s="10" t="s">
        <v>35</v>
      </c>
      <c r="AX131" s="10" t="s">
        <v>78</v>
      </c>
      <c r="AY131" s="158" t="s">
        <v>167</v>
      </c>
    </row>
    <row r="132" spans="2:51" s="11" customFormat="1" ht="22.5" customHeight="1">
      <c r="B132" s="159"/>
      <c r="C132" s="160"/>
      <c r="D132" s="160"/>
      <c r="E132" s="161" t="s">
        <v>5</v>
      </c>
      <c r="F132" s="302" t="s">
        <v>417</v>
      </c>
      <c r="G132" s="303"/>
      <c r="H132" s="303"/>
      <c r="I132" s="303"/>
      <c r="J132" s="160"/>
      <c r="K132" s="162">
        <v>48.48</v>
      </c>
      <c r="L132" s="160"/>
      <c r="M132" s="160"/>
      <c r="N132" s="160"/>
      <c r="O132" s="160"/>
      <c r="P132" s="160"/>
      <c r="Q132" s="160"/>
      <c r="R132" s="163"/>
      <c r="T132" s="164"/>
      <c r="U132" s="160"/>
      <c r="V132" s="160"/>
      <c r="W132" s="160"/>
      <c r="X132" s="160"/>
      <c r="Y132" s="160"/>
      <c r="Z132" s="160"/>
      <c r="AA132" s="165"/>
      <c r="AT132" s="166" t="s">
        <v>179</v>
      </c>
      <c r="AU132" s="166" t="s">
        <v>135</v>
      </c>
      <c r="AV132" s="11" t="s">
        <v>135</v>
      </c>
      <c r="AW132" s="11" t="s">
        <v>35</v>
      </c>
      <c r="AX132" s="11" t="s">
        <v>21</v>
      </c>
      <c r="AY132" s="166" t="s">
        <v>167</v>
      </c>
    </row>
    <row r="133" spans="2:63" s="9" customFormat="1" ht="29.85" customHeight="1">
      <c r="B133" s="130"/>
      <c r="C133" s="131"/>
      <c r="D133" s="140" t="s">
        <v>149</v>
      </c>
      <c r="E133" s="140"/>
      <c r="F133" s="140"/>
      <c r="G133" s="140"/>
      <c r="H133" s="140"/>
      <c r="I133" s="140"/>
      <c r="J133" s="140"/>
      <c r="K133" s="140"/>
      <c r="L133" s="140"/>
      <c r="M133" s="140"/>
      <c r="N133" s="298">
        <f>BK133</f>
        <v>0</v>
      </c>
      <c r="O133" s="299"/>
      <c r="P133" s="299"/>
      <c r="Q133" s="299"/>
      <c r="R133" s="133"/>
      <c r="T133" s="134"/>
      <c r="U133" s="131"/>
      <c r="V133" s="131"/>
      <c r="W133" s="135">
        <f>SUM(W134:W148)</f>
        <v>99.67447999999999</v>
      </c>
      <c r="X133" s="131"/>
      <c r="Y133" s="135">
        <f>SUM(Y134:Y148)</f>
        <v>71.6200278</v>
      </c>
      <c r="Z133" s="131"/>
      <c r="AA133" s="136">
        <f>SUM(AA134:AA148)</f>
        <v>0</v>
      </c>
      <c r="AR133" s="137" t="s">
        <v>21</v>
      </c>
      <c r="AT133" s="138" t="s">
        <v>77</v>
      </c>
      <c r="AU133" s="138" t="s">
        <v>21</v>
      </c>
      <c r="AY133" s="137" t="s">
        <v>167</v>
      </c>
      <c r="BK133" s="139">
        <f>SUM(BK134:BK148)</f>
        <v>0</v>
      </c>
    </row>
    <row r="134" spans="2:65" s="1" customFormat="1" ht="31.5" customHeight="1">
      <c r="B134" s="141"/>
      <c r="C134" s="142" t="s">
        <v>203</v>
      </c>
      <c r="D134" s="142" t="s">
        <v>168</v>
      </c>
      <c r="E134" s="143" t="s">
        <v>257</v>
      </c>
      <c r="F134" s="293" t="s">
        <v>258</v>
      </c>
      <c r="G134" s="293"/>
      <c r="H134" s="293"/>
      <c r="I134" s="293"/>
      <c r="J134" s="144" t="s">
        <v>259</v>
      </c>
      <c r="K134" s="145">
        <v>28</v>
      </c>
      <c r="L134" s="294"/>
      <c r="M134" s="294"/>
      <c r="N134" s="294">
        <f>ROUND(L134*K134,2)</f>
        <v>0</v>
      </c>
      <c r="O134" s="294"/>
      <c r="P134" s="294"/>
      <c r="Q134" s="294"/>
      <c r="R134" s="146"/>
      <c r="T134" s="147" t="s">
        <v>5</v>
      </c>
      <c r="U134" s="44" t="s">
        <v>43</v>
      </c>
      <c r="V134" s="148">
        <v>0.238</v>
      </c>
      <c r="W134" s="148">
        <f>V134*K134</f>
        <v>6.664</v>
      </c>
      <c r="X134" s="148">
        <v>0.24642</v>
      </c>
      <c r="Y134" s="148">
        <f>X134*K134</f>
        <v>6.89976</v>
      </c>
      <c r="Z134" s="148">
        <v>0</v>
      </c>
      <c r="AA134" s="149">
        <f>Z134*K134</f>
        <v>0</v>
      </c>
      <c r="AR134" s="21" t="s">
        <v>172</v>
      </c>
      <c r="AT134" s="21" t="s">
        <v>168</v>
      </c>
      <c r="AU134" s="21" t="s">
        <v>135</v>
      </c>
      <c r="AY134" s="21" t="s">
        <v>167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21</v>
      </c>
      <c r="BK134" s="150">
        <f>ROUND(L134*K134,2)</f>
        <v>0</v>
      </c>
      <c r="BL134" s="21" t="s">
        <v>172</v>
      </c>
      <c r="BM134" s="21" t="s">
        <v>260</v>
      </c>
    </row>
    <row r="135" spans="2:51" s="11" customFormat="1" ht="22.5" customHeight="1">
      <c r="B135" s="159"/>
      <c r="C135" s="160"/>
      <c r="D135" s="160"/>
      <c r="E135" s="161" t="s">
        <v>5</v>
      </c>
      <c r="F135" s="308" t="s">
        <v>418</v>
      </c>
      <c r="G135" s="309"/>
      <c r="H135" s="309"/>
      <c r="I135" s="309"/>
      <c r="J135" s="160"/>
      <c r="K135" s="162">
        <v>28</v>
      </c>
      <c r="L135" s="160"/>
      <c r="M135" s="160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179</v>
      </c>
      <c r="AU135" s="166" t="s">
        <v>135</v>
      </c>
      <c r="AV135" s="11" t="s">
        <v>135</v>
      </c>
      <c r="AW135" s="11" t="s">
        <v>35</v>
      </c>
      <c r="AX135" s="11" t="s">
        <v>21</v>
      </c>
      <c r="AY135" s="166" t="s">
        <v>167</v>
      </c>
    </row>
    <row r="136" spans="2:65" s="1" customFormat="1" ht="31.5" customHeight="1">
      <c r="B136" s="141"/>
      <c r="C136" s="142" t="s">
        <v>207</v>
      </c>
      <c r="D136" s="142" t="s">
        <v>168</v>
      </c>
      <c r="E136" s="143" t="s">
        <v>262</v>
      </c>
      <c r="F136" s="293" t="s">
        <v>263</v>
      </c>
      <c r="G136" s="293"/>
      <c r="H136" s="293"/>
      <c r="I136" s="293"/>
      <c r="J136" s="144" t="s">
        <v>199</v>
      </c>
      <c r="K136" s="145">
        <v>40</v>
      </c>
      <c r="L136" s="294"/>
      <c r="M136" s="294"/>
      <c r="N136" s="294">
        <f>ROUND(L136*K136,2)</f>
        <v>0</v>
      </c>
      <c r="O136" s="294"/>
      <c r="P136" s="294"/>
      <c r="Q136" s="294"/>
      <c r="R136" s="146"/>
      <c r="T136" s="147" t="s">
        <v>5</v>
      </c>
      <c r="U136" s="44" t="s">
        <v>43</v>
      </c>
      <c r="V136" s="148">
        <v>0.08</v>
      </c>
      <c r="W136" s="148">
        <f>V136*K136</f>
        <v>3.2</v>
      </c>
      <c r="X136" s="148">
        <v>0.00047</v>
      </c>
      <c r="Y136" s="148">
        <f>X136*K136</f>
        <v>0.0188</v>
      </c>
      <c r="Z136" s="148">
        <v>0</v>
      </c>
      <c r="AA136" s="149">
        <f>Z136*K136</f>
        <v>0</v>
      </c>
      <c r="AR136" s="21" t="s">
        <v>172</v>
      </c>
      <c r="AT136" s="21" t="s">
        <v>168</v>
      </c>
      <c r="AU136" s="21" t="s">
        <v>135</v>
      </c>
      <c r="AY136" s="21" t="s">
        <v>167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21" t="s">
        <v>21</v>
      </c>
      <c r="BK136" s="150">
        <f>ROUND(L136*K136,2)</f>
        <v>0</v>
      </c>
      <c r="BL136" s="21" t="s">
        <v>172</v>
      </c>
      <c r="BM136" s="21" t="s">
        <v>264</v>
      </c>
    </row>
    <row r="137" spans="2:51" s="11" customFormat="1" ht="22.5" customHeight="1">
      <c r="B137" s="159"/>
      <c r="C137" s="160"/>
      <c r="D137" s="160"/>
      <c r="E137" s="161" t="s">
        <v>5</v>
      </c>
      <c r="F137" s="308" t="s">
        <v>419</v>
      </c>
      <c r="G137" s="309"/>
      <c r="H137" s="309"/>
      <c r="I137" s="309"/>
      <c r="J137" s="160"/>
      <c r="K137" s="162">
        <v>40</v>
      </c>
      <c r="L137" s="160"/>
      <c r="M137" s="160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179</v>
      </c>
      <c r="AU137" s="166" t="s">
        <v>135</v>
      </c>
      <c r="AV137" s="11" t="s">
        <v>135</v>
      </c>
      <c r="AW137" s="11" t="s">
        <v>35</v>
      </c>
      <c r="AX137" s="11" t="s">
        <v>21</v>
      </c>
      <c r="AY137" s="166" t="s">
        <v>167</v>
      </c>
    </row>
    <row r="138" spans="2:65" s="1" customFormat="1" ht="22.5" customHeight="1">
      <c r="B138" s="141"/>
      <c r="C138" s="142" t="s">
        <v>213</v>
      </c>
      <c r="D138" s="142" t="s">
        <v>168</v>
      </c>
      <c r="E138" s="143" t="s">
        <v>174</v>
      </c>
      <c r="F138" s="293" t="s">
        <v>175</v>
      </c>
      <c r="G138" s="293"/>
      <c r="H138" s="293"/>
      <c r="I138" s="293"/>
      <c r="J138" s="144" t="s">
        <v>176</v>
      </c>
      <c r="K138" s="145">
        <v>18</v>
      </c>
      <c r="L138" s="294"/>
      <c r="M138" s="294"/>
      <c r="N138" s="294">
        <f>ROUND(L138*K138,2)</f>
        <v>0</v>
      </c>
      <c r="O138" s="294"/>
      <c r="P138" s="294"/>
      <c r="Q138" s="294"/>
      <c r="R138" s="146"/>
      <c r="T138" s="147" t="s">
        <v>5</v>
      </c>
      <c r="U138" s="44" t="s">
        <v>43</v>
      </c>
      <c r="V138" s="148">
        <v>1.03</v>
      </c>
      <c r="W138" s="148">
        <f>V138*K138</f>
        <v>18.54</v>
      </c>
      <c r="X138" s="148">
        <v>2.0875</v>
      </c>
      <c r="Y138" s="148">
        <f>X138*K138</f>
        <v>37.574999999999996</v>
      </c>
      <c r="Z138" s="148">
        <v>0</v>
      </c>
      <c r="AA138" s="149">
        <f>Z138*K138</f>
        <v>0</v>
      </c>
      <c r="AR138" s="21" t="s">
        <v>172</v>
      </c>
      <c r="AT138" s="21" t="s">
        <v>168</v>
      </c>
      <c r="AU138" s="21" t="s">
        <v>135</v>
      </c>
      <c r="AY138" s="21" t="s">
        <v>167</v>
      </c>
      <c r="BE138" s="150">
        <f>IF(U138="základní",N138,0)</f>
        <v>0</v>
      </c>
      <c r="BF138" s="150">
        <f>IF(U138="snížená",N138,0)</f>
        <v>0</v>
      </c>
      <c r="BG138" s="150">
        <f>IF(U138="zákl. přenesená",N138,0)</f>
        <v>0</v>
      </c>
      <c r="BH138" s="150">
        <f>IF(U138="sníž. přenesená",N138,0)</f>
        <v>0</v>
      </c>
      <c r="BI138" s="150">
        <f>IF(U138="nulová",N138,0)</f>
        <v>0</v>
      </c>
      <c r="BJ138" s="21" t="s">
        <v>21</v>
      </c>
      <c r="BK138" s="150">
        <f>ROUND(L138*K138,2)</f>
        <v>0</v>
      </c>
      <c r="BL138" s="21" t="s">
        <v>172</v>
      </c>
      <c r="BM138" s="21" t="s">
        <v>177</v>
      </c>
    </row>
    <row r="139" spans="2:51" s="11" customFormat="1" ht="22.5" customHeight="1">
      <c r="B139" s="159"/>
      <c r="C139" s="160"/>
      <c r="D139" s="160"/>
      <c r="E139" s="161" t="s">
        <v>5</v>
      </c>
      <c r="F139" s="308" t="s">
        <v>420</v>
      </c>
      <c r="G139" s="309"/>
      <c r="H139" s="309"/>
      <c r="I139" s="309"/>
      <c r="J139" s="160"/>
      <c r="K139" s="162">
        <v>18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179</v>
      </c>
      <c r="AU139" s="166" t="s">
        <v>135</v>
      </c>
      <c r="AV139" s="11" t="s">
        <v>135</v>
      </c>
      <c r="AW139" s="11" t="s">
        <v>35</v>
      </c>
      <c r="AX139" s="11" t="s">
        <v>21</v>
      </c>
      <c r="AY139" s="166" t="s">
        <v>167</v>
      </c>
    </row>
    <row r="140" spans="2:65" s="1" customFormat="1" ht="22.5" customHeight="1">
      <c r="B140" s="141"/>
      <c r="C140" s="142" t="s">
        <v>218</v>
      </c>
      <c r="D140" s="142" t="s">
        <v>168</v>
      </c>
      <c r="E140" s="143" t="s">
        <v>185</v>
      </c>
      <c r="F140" s="293" t="s">
        <v>186</v>
      </c>
      <c r="G140" s="293"/>
      <c r="H140" s="293"/>
      <c r="I140" s="293"/>
      <c r="J140" s="144" t="s">
        <v>176</v>
      </c>
      <c r="K140" s="145">
        <v>6</v>
      </c>
      <c r="L140" s="294"/>
      <c r="M140" s="294"/>
      <c r="N140" s="294">
        <f>ROUND(L140*K140,2)</f>
        <v>0</v>
      </c>
      <c r="O140" s="294"/>
      <c r="P140" s="294"/>
      <c r="Q140" s="294"/>
      <c r="R140" s="146"/>
      <c r="T140" s="147" t="s">
        <v>5</v>
      </c>
      <c r="U140" s="44" t="s">
        <v>43</v>
      </c>
      <c r="V140" s="148">
        <v>0.266</v>
      </c>
      <c r="W140" s="148">
        <f>V140*K140</f>
        <v>1.596</v>
      </c>
      <c r="X140" s="148">
        <v>0</v>
      </c>
      <c r="Y140" s="148">
        <f>X140*K140</f>
        <v>0</v>
      </c>
      <c r="Z140" s="148">
        <v>0</v>
      </c>
      <c r="AA140" s="149">
        <f>Z140*K140</f>
        <v>0</v>
      </c>
      <c r="AR140" s="21" t="s">
        <v>172</v>
      </c>
      <c r="AT140" s="21" t="s">
        <v>168</v>
      </c>
      <c r="AU140" s="21" t="s">
        <v>135</v>
      </c>
      <c r="AY140" s="21" t="s">
        <v>167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21" t="s">
        <v>21</v>
      </c>
      <c r="BK140" s="150">
        <f>ROUND(L140*K140,2)</f>
        <v>0</v>
      </c>
      <c r="BL140" s="21" t="s">
        <v>172</v>
      </c>
      <c r="BM140" s="21" t="s">
        <v>187</v>
      </c>
    </row>
    <row r="141" spans="2:51" s="11" customFormat="1" ht="22.5" customHeight="1">
      <c r="B141" s="159"/>
      <c r="C141" s="160"/>
      <c r="D141" s="160"/>
      <c r="E141" s="161" t="s">
        <v>5</v>
      </c>
      <c r="F141" s="308" t="s">
        <v>421</v>
      </c>
      <c r="G141" s="309"/>
      <c r="H141" s="309"/>
      <c r="I141" s="309"/>
      <c r="J141" s="160"/>
      <c r="K141" s="162">
        <v>6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179</v>
      </c>
      <c r="AU141" s="166" t="s">
        <v>135</v>
      </c>
      <c r="AV141" s="11" t="s">
        <v>135</v>
      </c>
      <c r="AW141" s="11" t="s">
        <v>35</v>
      </c>
      <c r="AX141" s="11" t="s">
        <v>21</v>
      </c>
      <c r="AY141" s="166" t="s">
        <v>167</v>
      </c>
    </row>
    <row r="142" spans="2:65" s="1" customFormat="1" ht="31.5" customHeight="1">
      <c r="B142" s="141"/>
      <c r="C142" s="142" t="s">
        <v>25</v>
      </c>
      <c r="D142" s="142" t="s">
        <v>168</v>
      </c>
      <c r="E142" s="143" t="s">
        <v>189</v>
      </c>
      <c r="F142" s="293" t="s">
        <v>274</v>
      </c>
      <c r="G142" s="293"/>
      <c r="H142" s="293"/>
      <c r="I142" s="293"/>
      <c r="J142" s="144" t="s">
        <v>176</v>
      </c>
      <c r="K142" s="145">
        <v>10</v>
      </c>
      <c r="L142" s="294"/>
      <c r="M142" s="294"/>
      <c r="N142" s="294">
        <f>ROUND(L142*K142,2)</f>
        <v>0</v>
      </c>
      <c r="O142" s="294"/>
      <c r="P142" s="294"/>
      <c r="Q142" s="294"/>
      <c r="R142" s="146"/>
      <c r="T142" s="147" t="s">
        <v>5</v>
      </c>
      <c r="U142" s="44" t="s">
        <v>43</v>
      </c>
      <c r="V142" s="148">
        <v>1.052</v>
      </c>
      <c r="W142" s="148">
        <f>V142*K142</f>
        <v>10.52</v>
      </c>
      <c r="X142" s="148">
        <v>2.55178</v>
      </c>
      <c r="Y142" s="148">
        <f>X142*K142</f>
        <v>25.5178</v>
      </c>
      <c r="Z142" s="148">
        <v>0</v>
      </c>
      <c r="AA142" s="149">
        <f>Z142*K142</f>
        <v>0</v>
      </c>
      <c r="AR142" s="21" t="s">
        <v>172</v>
      </c>
      <c r="AT142" s="21" t="s">
        <v>168</v>
      </c>
      <c r="AU142" s="21" t="s">
        <v>135</v>
      </c>
      <c r="AY142" s="21" t="s">
        <v>167</v>
      </c>
      <c r="BE142" s="150">
        <f>IF(U142="základní",N142,0)</f>
        <v>0</v>
      </c>
      <c r="BF142" s="150">
        <f>IF(U142="snížená",N142,0)</f>
        <v>0</v>
      </c>
      <c r="BG142" s="150">
        <f>IF(U142="zákl. přenesená",N142,0)</f>
        <v>0</v>
      </c>
      <c r="BH142" s="150">
        <f>IF(U142="sníž. přenesená",N142,0)</f>
        <v>0</v>
      </c>
      <c r="BI142" s="150">
        <f>IF(U142="nulová",N142,0)</f>
        <v>0</v>
      </c>
      <c r="BJ142" s="21" t="s">
        <v>21</v>
      </c>
      <c r="BK142" s="150">
        <f>ROUND(L142*K142,2)</f>
        <v>0</v>
      </c>
      <c r="BL142" s="21" t="s">
        <v>172</v>
      </c>
      <c r="BM142" s="21" t="s">
        <v>191</v>
      </c>
    </row>
    <row r="143" spans="2:51" s="11" customFormat="1" ht="22.5" customHeight="1">
      <c r="B143" s="159"/>
      <c r="C143" s="160"/>
      <c r="D143" s="160"/>
      <c r="E143" s="161" t="s">
        <v>5</v>
      </c>
      <c r="F143" s="308" t="s">
        <v>422</v>
      </c>
      <c r="G143" s="309"/>
      <c r="H143" s="309"/>
      <c r="I143" s="309"/>
      <c r="J143" s="160"/>
      <c r="K143" s="162">
        <v>10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179</v>
      </c>
      <c r="AU143" s="166" t="s">
        <v>135</v>
      </c>
      <c r="AV143" s="11" t="s">
        <v>135</v>
      </c>
      <c r="AW143" s="11" t="s">
        <v>35</v>
      </c>
      <c r="AX143" s="11" t="s">
        <v>21</v>
      </c>
      <c r="AY143" s="166" t="s">
        <v>167</v>
      </c>
    </row>
    <row r="144" spans="2:65" s="1" customFormat="1" ht="31.5" customHeight="1">
      <c r="B144" s="141"/>
      <c r="C144" s="142" t="s">
        <v>270</v>
      </c>
      <c r="D144" s="142" t="s">
        <v>168</v>
      </c>
      <c r="E144" s="143" t="s">
        <v>197</v>
      </c>
      <c r="F144" s="293" t="s">
        <v>198</v>
      </c>
      <c r="G144" s="293"/>
      <c r="H144" s="293"/>
      <c r="I144" s="293"/>
      <c r="J144" s="144" t="s">
        <v>199</v>
      </c>
      <c r="K144" s="145">
        <v>8.16</v>
      </c>
      <c r="L144" s="294"/>
      <c r="M144" s="294"/>
      <c r="N144" s="294">
        <f>ROUND(L144*K144,2)</f>
        <v>0</v>
      </c>
      <c r="O144" s="294"/>
      <c r="P144" s="294"/>
      <c r="Q144" s="294"/>
      <c r="R144" s="146"/>
      <c r="T144" s="147" t="s">
        <v>5</v>
      </c>
      <c r="U144" s="44" t="s">
        <v>43</v>
      </c>
      <c r="V144" s="148">
        <v>0.721</v>
      </c>
      <c r="W144" s="148">
        <f>V144*K144</f>
        <v>5.88336</v>
      </c>
      <c r="X144" s="148">
        <v>0.00458</v>
      </c>
      <c r="Y144" s="148">
        <f>X144*K144</f>
        <v>0.0373728</v>
      </c>
      <c r="Z144" s="148">
        <v>0</v>
      </c>
      <c r="AA144" s="149">
        <f>Z144*K144</f>
        <v>0</v>
      </c>
      <c r="AR144" s="21" t="s">
        <v>172</v>
      </c>
      <c r="AT144" s="21" t="s">
        <v>168</v>
      </c>
      <c r="AU144" s="21" t="s">
        <v>135</v>
      </c>
      <c r="AY144" s="21" t="s">
        <v>167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21</v>
      </c>
      <c r="BK144" s="150">
        <f>ROUND(L144*K144,2)</f>
        <v>0</v>
      </c>
      <c r="BL144" s="21" t="s">
        <v>172</v>
      </c>
      <c r="BM144" s="21" t="s">
        <v>200</v>
      </c>
    </row>
    <row r="145" spans="2:51" s="11" customFormat="1" ht="22.5" customHeight="1">
      <c r="B145" s="159"/>
      <c r="C145" s="160"/>
      <c r="D145" s="160"/>
      <c r="E145" s="161" t="s">
        <v>5</v>
      </c>
      <c r="F145" s="308" t="s">
        <v>423</v>
      </c>
      <c r="G145" s="309"/>
      <c r="H145" s="309"/>
      <c r="I145" s="309"/>
      <c r="J145" s="160"/>
      <c r="K145" s="162">
        <v>8.16</v>
      </c>
      <c r="L145" s="160"/>
      <c r="M145" s="160"/>
      <c r="N145" s="160"/>
      <c r="O145" s="160"/>
      <c r="P145" s="160"/>
      <c r="Q145" s="160"/>
      <c r="R145" s="163"/>
      <c r="T145" s="164"/>
      <c r="U145" s="160"/>
      <c r="V145" s="160"/>
      <c r="W145" s="160"/>
      <c r="X145" s="160"/>
      <c r="Y145" s="160"/>
      <c r="Z145" s="160"/>
      <c r="AA145" s="165"/>
      <c r="AT145" s="166" t="s">
        <v>179</v>
      </c>
      <c r="AU145" s="166" t="s">
        <v>135</v>
      </c>
      <c r="AV145" s="11" t="s">
        <v>135</v>
      </c>
      <c r="AW145" s="11" t="s">
        <v>35</v>
      </c>
      <c r="AX145" s="11" t="s">
        <v>21</v>
      </c>
      <c r="AY145" s="166" t="s">
        <v>167</v>
      </c>
    </row>
    <row r="146" spans="2:65" s="1" customFormat="1" ht="31.5" customHeight="1">
      <c r="B146" s="141"/>
      <c r="C146" s="142" t="s">
        <v>273</v>
      </c>
      <c r="D146" s="142" t="s">
        <v>168</v>
      </c>
      <c r="E146" s="143" t="s">
        <v>204</v>
      </c>
      <c r="F146" s="293" t="s">
        <v>205</v>
      </c>
      <c r="G146" s="293"/>
      <c r="H146" s="293"/>
      <c r="I146" s="293"/>
      <c r="J146" s="144" t="s">
        <v>199</v>
      </c>
      <c r="K146" s="145">
        <v>8.16</v>
      </c>
      <c r="L146" s="294"/>
      <c r="M146" s="294"/>
      <c r="N146" s="294">
        <f>ROUND(L146*K146,2)</f>
        <v>0</v>
      </c>
      <c r="O146" s="294"/>
      <c r="P146" s="294"/>
      <c r="Q146" s="294"/>
      <c r="R146" s="146"/>
      <c r="T146" s="147" t="s">
        <v>5</v>
      </c>
      <c r="U146" s="44" t="s">
        <v>43</v>
      </c>
      <c r="V146" s="148">
        <v>0.282</v>
      </c>
      <c r="W146" s="148">
        <f>V146*K146</f>
        <v>2.3011199999999996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172</v>
      </c>
      <c r="AT146" s="21" t="s">
        <v>168</v>
      </c>
      <c r="AU146" s="21" t="s">
        <v>135</v>
      </c>
      <c r="AY146" s="21" t="s">
        <v>167</v>
      </c>
      <c r="BE146" s="150">
        <f>IF(U146="základní",N146,0)</f>
        <v>0</v>
      </c>
      <c r="BF146" s="150">
        <f>IF(U146="snížená",N146,0)</f>
        <v>0</v>
      </c>
      <c r="BG146" s="150">
        <f>IF(U146="zákl. přenesená",N146,0)</f>
        <v>0</v>
      </c>
      <c r="BH146" s="150">
        <f>IF(U146="sníž. přenesená",N146,0)</f>
        <v>0</v>
      </c>
      <c r="BI146" s="150">
        <f>IF(U146="nulová",N146,0)</f>
        <v>0</v>
      </c>
      <c r="BJ146" s="21" t="s">
        <v>21</v>
      </c>
      <c r="BK146" s="150">
        <f>ROUND(L146*K146,2)</f>
        <v>0</v>
      </c>
      <c r="BL146" s="21" t="s">
        <v>172</v>
      </c>
      <c r="BM146" s="21" t="s">
        <v>206</v>
      </c>
    </row>
    <row r="147" spans="2:65" s="1" customFormat="1" ht="31.5" customHeight="1">
      <c r="B147" s="141"/>
      <c r="C147" s="142" t="s">
        <v>276</v>
      </c>
      <c r="D147" s="142" t="s">
        <v>168</v>
      </c>
      <c r="E147" s="143" t="s">
        <v>208</v>
      </c>
      <c r="F147" s="293" t="s">
        <v>209</v>
      </c>
      <c r="G147" s="293"/>
      <c r="H147" s="293"/>
      <c r="I147" s="293"/>
      <c r="J147" s="144" t="s">
        <v>210</v>
      </c>
      <c r="K147" s="145">
        <v>1.5</v>
      </c>
      <c r="L147" s="294"/>
      <c r="M147" s="294"/>
      <c r="N147" s="294">
        <f>ROUND(L147*K147,2)</f>
        <v>0</v>
      </c>
      <c r="O147" s="294"/>
      <c r="P147" s="294"/>
      <c r="Q147" s="294"/>
      <c r="R147" s="146"/>
      <c r="T147" s="147" t="s">
        <v>5</v>
      </c>
      <c r="U147" s="44" t="s">
        <v>43</v>
      </c>
      <c r="V147" s="148">
        <v>33.98</v>
      </c>
      <c r="W147" s="148">
        <f>V147*K147</f>
        <v>50.97</v>
      </c>
      <c r="X147" s="148">
        <v>1.04753</v>
      </c>
      <c r="Y147" s="148">
        <f>X147*K147</f>
        <v>1.571295</v>
      </c>
      <c r="Z147" s="148">
        <v>0</v>
      </c>
      <c r="AA147" s="149">
        <f>Z147*K147</f>
        <v>0</v>
      </c>
      <c r="AR147" s="21" t="s">
        <v>172</v>
      </c>
      <c r="AT147" s="21" t="s">
        <v>168</v>
      </c>
      <c r="AU147" s="21" t="s">
        <v>135</v>
      </c>
      <c r="AY147" s="21" t="s">
        <v>167</v>
      </c>
      <c r="BE147" s="150">
        <f>IF(U147="základní",N147,0)</f>
        <v>0</v>
      </c>
      <c r="BF147" s="150">
        <f>IF(U147="snížená",N147,0)</f>
        <v>0</v>
      </c>
      <c r="BG147" s="150">
        <f>IF(U147="zákl. přenesená",N147,0)</f>
        <v>0</v>
      </c>
      <c r="BH147" s="150">
        <f>IF(U147="sníž. přenesená",N147,0)</f>
        <v>0</v>
      </c>
      <c r="BI147" s="150">
        <f>IF(U147="nulová",N147,0)</f>
        <v>0</v>
      </c>
      <c r="BJ147" s="21" t="s">
        <v>21</v>
      </c>
      <c r="BK147" s="150">
        <f>ROUND(L147*K147,2)</f>
        <v>0</v>
      </c>
      <c r="BL147" s="21" t="s">
        <v>172</v>
      </c>
      <c r="BM147" s="21" t="s">
        <v>211</v>
      </c>
    </row>
    <row r="148" spans="2:51" s="11" customFormat="1" ht="22.5" customHeight="1">
      <c r="B148" s="159"/>
      <c r="C148" s="160"/>
      <c r="D148" s="160"/>
      <c r="E148" s="161" t="s">
        <v>5</v>
      </c>
      <c r="F148" s="308" t="s">
        <v>424</v>
      </c>
      <c r="G148" s="309"/>
      <c r="H148" s="309"/>
      <c r="I148" s="309"/>
      <c r="J148" s="160"/>
      <c r="K148" s="162">
        <v>1.5</v>
      </c>
      <c r="L148" s="160"/>
      <c r="M148" s="160"/>
      <c r="N148" s="160"/>
      <c r="O148" s="160"/>
      <c r="P148" s="160"/>
      <c r="Q148" s="160"/>
      <c r="R148" s="163"/>
      <c r="T148" s="164"/>
      <c r="U148" s="160"/>
      <c r="V148" s="160"/>
      <c r="W148" s="160"/>
      <c r="X148" s="160"/>
      <c r="Y148" s="160"/>
      <c r="Z148" s="160"/>
      <c r="AA148" s="165"/>
      <c r="AT148" s="166" t="s">
        <v>179</v>
      </c>
      <c r="AU148" s="166" t="s">
        <v>135</v>
      </c>
      <c r="AV148" s="11" t="s">
        <v>135</v>
      </c>
      <c r="AW148" s="11" t="s">
        <v>35</v>
      </c>
      <c r="AX148" s="11" t="s">
        <v>21</v>
      </c>
      <c r="AY148" s="166" t="s">
        <v>167</v>
      </c>
    </row>
    <row r="149" spans="2:63" s="9" customFormat="1" ht="29.85" customHeight="1">
      <c r="B149" s="130"/>
      <c r="C149" s="131"/>
      <c r="D149" s="140" t="s">
        <v>226</v>
      </c>
      <c r="E149" s="140"/>
      <c r="F149" s="140"/>
      <c r="G149" s="140"/>
      <c r="H149" s="140"/>
      <c r="I149" s="140"/>
      <c r="J149" s="140"/>
      <c r="K149" s="140"/>
      <c r="L149" s="140"/>
      <c r="M149" s="140"/>
      <c r="N149" s="298">
        <f>BK149</f>
        <v>0</v>
      </c>
      <c r="O149" s="299"/>
      <c r="P149" s="299"/>
      <c r="Q149" s="299"/>
      <c r="R149" s="133"/>
      <c r="T149" s="134"/>
      <c r="U149" s="131"/>
      <c r="V149" s="131"/>
      <c r="W149" s="135">
        <f>SUM(W150:W158)</f>
        <v>394.894785</v>
      </c>
      <c r="X149" s="131"/>
      <c r="Y149" s="135">
        <f>SUM(Y150:Y158)</f>
        <v>76.340455</v>
      </c>
      <c r="Z149" s="131"/>
      <c r="AA149" s="136">
        <f>SUM(AA150:AA158)</f>
        <v>0</v>
      </c>
      <c r="AR149" s="137" t="s">
        <v>21</v>
      </c>
      <c r="AT149" s="138" t="s">
        <v>77</v>
      </c>
      <c r="AU149" s="138" t="s">
        <v>21</v>
      </c>
      <c r="AY149" s="137" t="s">
        <v>167</v>
      </c>
      <c r="BK149" s="139">
        <f>SUM(BK150:BK158)</f>
        <v>0</v>
      </c>
    </row>
    <row r="150" spans="2:65" s="1" customFormat="1" ht="31.5" customHeight="1">
      <c r="B150" s="141"/>
      <c r="C150" s="142" t="s">
        <v>278</v>
      </c>
      <c r="D150" s="142" t="s">
        <v>168</v>
      </c>
      <c r="E150" s="143" t="s">
        <v>282</v>
      </c>
      <c r="F150" s="293" t="s">
        <v>283</v>
      </c>
      <c r="G150" s="293"/>
      <c r="H150" s="293"/>
      <c r="I150" s="293"/>
      <c r="J150" s="144" t="s">
        <v>176</v>
      </c>
      <c r="K150" s="145">
        <v>28.9</v>
      </c>
      <c r="L150" s="294"/>
      <c r="M150" s="294"/>
      <c r="N150" s="294">
        <f>ROUND(L150*K150,2)</f>
        <v>0</v>
      </c>
      <c r="O150" s="294"/>
      <c r="P150" s="294"/>
      <c r="Q150" s="294"/>
      <c r="R150" s="146"/>
      <c r="T150" s="147" t="s">
        <v>5</v>
      </c>
      <c r="U150" s="44" t="s">
        <v>43</v>
      </c>
      <c r="V150" s="148">
        <v>1.2</v>
      </c>
      <c r="W150" s="148">
        <f>V150*K150</f>
        <v>34.68</v>
      </c>
      <c r="X150" s="148">
        <v>2.45602</v>
      </c>
      <c r="Y150" s="148">
        <f>X150*K150</f>
        <v>70.978978</v>
      </c>
      <c r="Z150" s="148">
        <v>0</v>
      </c>
      <c r="AA150" s="149">
        <f>Z150*K150</f>
        <v>0</v>
      </c>
      <c r="AR150" s="21" t="s">
        <v>172</v>
      </c>
      <c r="AT150" s="21" t="s">
        <v>168</v>
      </c>
      <c r="AU150" s="21" t="s">
        <v>135</v>
      </c>
      <c r="AY150" s="21" t="s">
        <v>167</v>
      </c>
      <c r="BE150" s="150">
        <f>IF(U150="základní",N150,0)</f>
        <v>0</v>
      </c>
      <c r="BF150" s="150">
        <f>IF(U150="snížená",N150,0)</f>
        <v>0</v>
      </c>
      <c r="BG150" s="150">
        <f>IF(U150="zákl. přenesená",N150,0)</f>
        <v>0</v>
      </c>
      <c r="BH150" s="150">
        <f>IF(U150="sníž. přenesená",N150,0)</f>
        <v>0</v>
      </c>
      <c r="BI150" s="150">
        <f>IF(U150="nulová",N150,0)</f>
        <v>0</v>
      </c>
      <c r="BJ150" s="21" t="s">
        <v>21</v>
      </c>
      <c r="BK150" s="150">
        <f>ROUND(L150*K150,2)</f>
        <v>0</v>
      </c>
      <c r="BL150" s="21" t="s">
        <v>172</v>
      </c>
      <c r="BM150" s="21" t="s">
        <v>284</v>
      </c>
    </row>
    <row r="151" spans="2:51" s="11" customFormat="1" ht="22.5" customHeight="1">
      <c r="B151" s="159"/>
      <c r="C151" s="160"/>
      <c r="D151" s="160"/>
      <c r="E151" s="161" t="s">
        <v>5</v>
      </c>
      <c r="F151" s="308" t="s">
        <v>425</v>
      </c>
      <c r="G151" s="309"/>
      <c r="H151" s="309"/>
      <c r="I151" s="309"/>
      <c r="J151" s="160"/>
      <c r="K151" s="162">
        <v>28.9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179</v>
      </c>
      <c r="AU151" s="166" t="s">
        <v>135</v>
      </c>
      <c r="AV151" s="11" t="s">
        <v>135</v>
      </c>
      <c r="AW151" s="11" t="s">
        <v>35</v>
      </c>
      <c r="AX151" s="11" t="s">
        <v>21</v>
      </c>
      <c r="AY151" s="166" t="s">
        <v>167</v>
      </c>
    </row>
    <row r="152" spans="2:65" s="1" customFormat="1" ht="22.5" customHeight="1">
      <c r="B152" s="141"/>
      <c r="C152" s="142" t="s">
        <v>11</v>
      </c>
      <c r="D152" s="142" t="s">
        <v>168</v>
      </c>
      <c r="E152" s="143" t="s">
        <v>289</v>
      </c>
      <c r="F152" s="293" t="s">
        <v>290</v>
      </c>
      <c r="G152" s="293"/>
      <c r="H152" s="293"/>
      <c r="I152" s="293"/>
      <c r="J152" s="144" t="s">
        <v>199</v>
      </c>
      <c r="K152" s="145">
        <v>231.2</v>
      </c>
      <c r="L152" s="294"/>
      <c r="M152" s="294"/>
      <c r="N152" s="294">
        <f>ROUND(L152*K152,2)</f>
        <v>0</v>
      </c>
      <c r="O152" s="294"/>
      <c r="P152" s="294"/>
      <c r="Q152" s="294"/>
      <c r="R152" s="146"/>
      <c r="T152" s="147" t="s">
        <v>5</v>
      </c>
      <c r="U152" s="44" t="s">
        <v>43</v>
      </c>
      <c r="V152" s="148">
        <v>0.497</v>
      </c>
      <c r="W152" s="148">
        <f>V152*K152</f>
        <v>114.90639999999999</v>
      </c>
      <c r="X152" s="148">
        <v>0.00282</v>
      </c>
      <c r="Y152" s="148">
        <f>X152*K152</f>
        <v>0.651984</v>
      </c>
      <c r="Z152" s="148">
        <v>0</v>
      </c>
      <c r="AA152" s="149">
        <f>Z152*K152</f>
        <v>0</v>
      </c>
      <c r="AR152" s="21" t="s">
        <v>172</v>
      </c>
      <c r="AT152" s="21" t="s">
        <v>168</v>
      </c>
      <c r="AU152" s="21" t="s">
        <v>135</v>
      </c>
      <c r="AY152" s="21" t="s">
        <v>167</v>
      </c>
      <c r="BE152" s="150">
        <f>IF(U152="základní",N152,0)</f>
        <v>0</v>
      </c>
      <c r="BF152" s="150">
        <f>IF(U152="snížená",N152,0)</f>
        <v>0</v>
      </c>
      <c r="BG152" s="150">
        <f>IF(U152="zákl. přenesená",N152,0)</f>
        <v>0</v>
      </c>
      <c r="BH152" s="150">
        <f>IF(U152="sníž. přenesená",N152,0)</f>
        <v>0</v>
      </c>
      <c r="BI152" s="150">
        <f>IF(U152="nulová",N152,0)</f>
        <v>0</v>
      </c>
      <c r="BJ152" s="21" t="s">
        <v>21</v>
      </c>
      <c r="BK152" s="150">
        <f>ROUND(L152*K152,2)</f>
        <v>0</v>
      </c>
      <c r="BL152" s="21" t="s">
        <v>172</v>
      </c>
      <c r="BM152" s="21" t="s">
        <v>291</v>
      </c>
    </row>
    <row r="153" spans="2:51" s="11" customFormat="1" ht="22.5" customHeight="1">
      <c r="B153" s="159"/>
      <c r="C153" s="160"/>
      <c r="D153" s="160"/>
      <c r="E153" s="161" t="s">
        <v>5</v>
      </c>
      <c r="F153" s="308" t="s">
        <v>426</v>
      </c>
      <c r="G153" s="309"/>
      <c r="H153" s="309"/>
      <c r="I153" s="309"/>
      <c r="J153" s="160"/>
      <c r="K153" s="162">
        <v>231.2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179</v>
      </c>
      <c r="AU153" s="166" t="s">
        <v>135</v>
      </c>
      <c r="AV153" s="11" t="s">
        <v>135</v>
      </c>
      <c r="AW153" s="11" t="s">
        <v>35</v>
      </c>
      <c r="AX153" s="11" t="s">
        <v>21</v>
      </c>
      <c r="AY153" s="166" t="s">
        <v>167</v>
      </c>
    </row>
    <row r="154" spans="2:65" s="1" customFormat="1" ht="22.5" customHeight="1">
      <c r="B154" s="141"/>
      <c r="C154" s="142" t="s">
        <v>281</v>
      </c>
      <c r="D154" s="142" t="s">
        <v>168</v>
      </c>
      <c r="E154" s="143" t="s">
        <v>296</v>
      </c>
      <c r="F154" s="293" t="s">
        <v>297</v>
      </c>
      <c r="G154" s="293"/>
      <c r="H154" s="293"/>
      <c r="I154" s="293"/>
      <c r="J154" s="144" t="s">
        <v>199</v>
      </c>
      <c r="K154" s="145">
        <v>112.2</v>
      </c>
      <c r="L154" s="294"/>
      <c r="M154" s="294"/>
      <c r="N154" s="294">
        <f>ROUND(L154*K154,2)</f>
        <v>0</v>
      </c>
      <c r="O154" s="294"/>
      <c r="P154" s="294"/>
      <c r="Q154" s="294"/>
      <c r="R154" s="146"/>
      <c r="T154" s="147" t="s">
        <v>5</v>
      </c>
      <c r="U154" s="44" t="s">
        <v>43</v>
      </c>
      <c r="V154" s="148">
        <v>0.497</v>
      </c>
      <c r="W154" s="148">
        <f>V154*K154</f>
        <v>55.763400000000004</v>
      </c>
      <c r="X154" s="148">
        <v>0.00282</v>
      </c>
      <c r="Y154" s="148">
        <f>X154*K154</f>
        <v>0.316404</v>
      </c>
      <c r="Z154" s="148">
        <v>0</v>
      </c>
      <c r="AA154" s="149">
        <f>Z154*K154</f>
        <v>0</v>
      </c>
      <c r="AR154" s="21" t="s">
        <v>172</v>
      </c>
      <c r="AT154" s="21" t="s">
        <v>168</v>
      </c>
      <c r="AU154" s="21" t="s">
        <v>135</v>
      </c>
      <c r="AY154" s="21" t="s">
        <v>167</v>
      </c>
      <c r="BE154" s="150">
        <f>IF(U154="základní",N154,0)</f>
        <v>0</v>
      </c>
      <c r="BF154" s="150">
        <f>IF(U154="snížená",N154,0)</f>
        <v>0</v>
      </c>
      <c r="BG154" s="150">
        <f>IF(U154="zákl. přenesená",N154,0)</f>
        <v>0</v>
      </c>
      <c r="BH154" s="150">
        <f>IF(U154="sníž. přenesená",N154,0)</f>
        <v>0</v>
      </c>
      <c r="BI154" s="150">
        <f>IF(U154="nulová",N154,0)</f>
        <v>0</v>
      </c>
      <c r="BJ154" s="21" t="s">
        <v>21</v>
      </c>
      <c r="BK154" s="150">
        <f>ROUND(L154*K154,2)</f>
        <v>0</v>
      </c>
      <c r="BL154" s="21" t="s">
        <v>172</v>
      </c>
      <c r="BM154" s="21" t="s">
        <v>298</v>
      </c>
    </row>
    <row r="155" spans="2:51" s="11" customFormat="1" ht="22.5" customHeight="1">
      <c r="B155" s="159"/>
      <c r="C155" s="160"/>
      <c r="D155" s="160"/>
      <c r="E155" s="161" t="s">
        <v>5</v>
      </c>
      <c r="F155" s="308" t="s">
        <v>427</v>
      </c>
      <c r="G155" s="309"/>
      <c r="H155" s="309"/>
      <c r="I155" s="309"/>
      <c r="J155" s="160"/>
      <c r="K155" s="162">
        <v>112.2</v>
      </c>
      <c r="L155" s="160"/>
      <c r="M155" s="160"/>
      <c r="N155" s="160"/>
      <c r="O155" s="160"/>
      <c r="P155" s="160"/>
      <c r="Q155" s="160"/>
      <c r="R155" s="163"/>
      <c r="T155" s="164"/>
      <c r="U155" s="160"/>
      <c r="V155" s="160"/>
      <c r="W155" s="160"/>
      <c r="X155" s="160"/>
      <c r="Y155" s="160"/>
      <c r="Z155" s="160"/>
      <c r="AA155" s="165"/>
      <c r="AT155" s="166" t="s">
        <v>179</v>
      </c>
      <c r="AU155" s="166" t="s">
        <v>135</v>
      </c>
      <c r="AV155" s="11" t="s">
        <v>135</v>
      </c>
      <c r="AW155" s="11" t="s">
        <v>35</v>
      </c>
      <c r="AX155" s="11" t="s">
        <v>21</v>
      </c>
      <c r="AY155" s="166" t="s">
        <v>167</v>
      </c>
    </row>
    <row r="156" spans="2:65" s="1" customFormat="1" ht="22.5" customHeight="1">
      <c r="B156" s="141"/>
      <c r="C156" s="142" t="s">
        <v>288</v>
      </c>
      <c r="D156" s="142" t="s">
        <v>168</v>
      </c>
      <c r="E156" s="143" t="s">
        <v>302</v>
      </c>
      <c r="F156" s="293" t="s">
        <v>303</v>
      </c>
      <c r="G156" s="293"/>
      <c r="H156" s="293"/>
      <c r="I156" s="293"/>
      <c r="J156" s="144" t="s">
        <v>199</v>
      </c>
      <c r="K156" s="145">
        <v>231.2</v>
      </c>
      <c r="L156" s="294"/>
      <c r="M156" s="294"/>
      <c r="N156" s="294">
        <f>ROUND(L156*K156,2)</f>
        <v>0</v>
      </c>
      <c r="O156" s="294"/>
      <c r="P156" s="294"/>
      <c r="Q156" s="294"/>
      <c r="R156" s="146"/>
      <c r="T156" s="147" t="s">
        <v>5</v>
      </c>
      <c r="U156" s="44" t="s">
        <v>43</v>
      </c>
      <c r="V156" s="148">
        <v>0.346</v>
      </c>
      <c r="W156" s="148">
        <f>V156*K156</f>
        <v>79.9952</v>
      </c>
      <c r="X156" s="148">
        <v>0</v>
      </c>
      <c r="Y156" s="148">
        <f>X156*K156</f>
        <v>0</v>
      </c>
      <c r="Z156" s="148">
        <v>0</v>
      </c>
      <c r="AA156" s="149">
        <f>Z156*K156</f>
        <v>0</v>
      </c>
      <c r="AR156" s="21" t="s">
        <v>172</v>
      </c>
      <c r="AT156" s="21" t="s">
        <v>168</v>
      </c>
      <c r="AU156" s="21" t="s">
        <v>135</v>
      </c>
      <c r="AY156" s="21" t="s">
        <v>167</v>
      </c>
      <c r="BE156" s="150">
        <f>IF(U156="základní",N156,0)</f>
        <v>0</v>
      </c>
      <c r="BF156" s="150">
        <f>IF(U156="snížená",N156,0)</f>
        <v>0</v>
      </c>
      <c r="BG156" s="150">
        <f>IF(U156="zákl. přenesená",N156,0)</f>
        <v>0</v>
      </c>
      <c r="BH156" s="150">
        <f>IF(U156="sníž. přenesená",N156,0)</f>
        <v>0</v>
      </c>
      <c r="BI156" s="150">
        <f>IF(U156="nulová",N156,0)</f>
        <v>0</v>
      </c>
      <c r="BJ156" s="21" t="s">
        <v>21</v>
      </c>
      <c r="BK156" s="150">
        <f>ROUND(L156*K156,2)</f>
        <v>0</v>
      </c>
      <c r="BL156" s="21" t="s">
        <v>172</v>
      </c>
      <c r="BM156" s="21" t="s">
        <v>304</v>
      </c>
    </row>
    <row r="157" spans="2:65" s="1" customFormat="1" ht="31.5" customHeight="1">
      <c r="B157" s="141"/>
      <c r="C157" s="142" t="s">
        <v>295</v>
      </c>
      <c r="D157" s="142" t="s">
        <v>168</v>
      </c>
      <c r="E157" s="143" t="s">
        <v>306</v>
      </c>
      <c r="F157" s="293" t="s">
        <v>428</v>
      </c>
      <c r="G157" s="293"/>
      <c r="H157" s="293"/>
      <c r="I157" s="293"/>
      <c r="J157" s="144" t="s">
        <v>210</v>
      </c>
      <c r="K157" s="145">
        <v>4.335</v>
      </c>
      <c r="L157" s="294"/>
      <c r="M157" s="294"/>
      <c r="N157" s="294">
        <f>ROUND(L157*K157,2)</f>
        <v>0</v>
      </c>
      <c r="O157" s="294"/>
      <c r="P157" s="294"/>
      <c r="Q157" s="294"/>
      <c r="R157" s="146"/>
      <c r="T157" s="147" t="s">
        <v>5</v>
      </c>
      <c r="U157" s="44" t="s">
        <v>43</v>
      </c>
      <c r="V157" s="148">
        <v>25.271</v>
      </c>
      <c r="W157" s="148">
        <f>V157*K157</f>
        <v>109.549785</v>
      </c>
      <c r="X157" s="148">
        <v>1.0134</v>
      </c>
      <c r="Y157" s="148">
        <f>X157*K157</f>
        <v>4.393089000000001</v>
      </c>
      <c r="Z157" s="148">
        <v>0</v>
      </c>
      <c r="AA157" s="149">
        <f>Z157*K157</f>
        <v>0</v>
      </c>
      <c r="AR157" s="21" t="s">
        <v>172</v>
      </c>
      <c r="AT157" s="21" t="s">
        <v>168</v>
      </c>
      <c r="AU157" s="21" t="s">
        <v>135</v>
      </c>
      <c r="AY157" s="21" t="s">
        <v>167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21</v>
      </c>
      <c r="BK157" s="150">
        <f>ROUND(L157*K157,2)</f>
        <v>0</v>
      </c>
      <c r="BL157" s="21" t="s">
        <v>172</v>
      </c>
      <c r="BM157" s="21" t="s">
        <v>308</v>
      </c>
    </row>
    <row r="158" spans="2:51" s="11" customFormat="1" ht="22.5" customHeight="1">
      <c r="B158" s="159"/>
      <c r="C158" s="160"/>
      <c r="D158" s="160"/>
      <c r="E158" s="161" t="s">
        <v>5</v>
      </c>
      <c r="F158" s="308" t="s">
        <v>429</v>
      </c>
      <c r="G158" s="309"/>
      <c r="H158" s="309"/>
      <c r="I158" s="309"/>
      <c r="J158" s="160"/>
      <c r="K158" s="162">
        <v>4.335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179</v>
      </c>
      <c r="AU158" s="166" t="s">
        <v>135</v>
      </c>
      <c r="AV158" s="11" t="s">
        <v>135</v>
      </c>
      <c r="AW158" s="11" t="s">
        <v>35</v>
      </c>
      <c r="AX158" s="11" t="s">
        <v>21</v>
      </c>
      <c r="AY158" s="166" t="s">
        <v>167</v>
      </c>
    </row>
    <row r="159" spans="2:63" s="9" customFormat="1" ht="29.85" customHeight="1">
      <c r="B159" s="130"/>
      <c r="C159" s="131"/>
      <c r="D159" s="140" t="s">
        <v>411</v>
      </c>
      <c r="E159" s="140"/>
      <c r="F159" s="140"/>
      <c r="G159" s="140"/>
      <c r="H159" s="140"/>
      <c r="I159" s="140"/>
      <c r="J159" s="140"/>
      <c r="K159" s="140"/>
      <c r="L159" s="140"/>
      <c r="M159" s="140"/>
      <c r="N159" s="298">
        <f>BK159</f>
        <v>0</v>
      </c>
      <c r="O159" s="299"/>
      <c r="P159" s="299"/>
      <c r="Q159" s="299"/>
      <c r="R159" s="133"/>
      <c r="T159" s="134"/>
      <c r="U159" s="131"/>
      <c r="V159" s="131"/>
      <c r="W159" s="135">
        <f>SUM(W160:W177)</f>
        <v>141.61</v>
      </c>
      <c r="X159" s="131"/>
      <c r="Y159" s="135">
        <f>SUM(Y160:Y177)</f>
        <v>1.4515776000000002</v>
      </c>
      <c r="Z159" s="131"/>
      <c r="AA159" s="136">
        <f>SUM(AA160:AA177)</f>
        <v>0</v>
      </c>
      <c r="AR159" s="137" t="s">
        <v>21</v>
      </c>
      <c r="AT159" s="138" t="s">
        <v>77</v>
      </c>
      <c r="AU159" s="138" t="s">
        <v>21</v>
      </c>
      <c r="AY159" s="137" t="s">
        <v>167</v>
      </c>
      <c r="BK159" s="139">
        <f>SUM(BK160:BK177)</f>
        <v>0</v>
      </c>
    </row>
    <row r="160" spans="2:65" s="1" customFormat="1" ht="31.5" customHeight="1">
      <c r="B160" s="141"/>
      <c r="C160" s="142" t="s">
        <v>301</v>
      </c>
      <c r="D160" s="142" t="s">
        <v>168</v>
      </c>
      <c r="E160" s="143" t="s">
        <v>430</v>
      </c>
      <c r="F160" s="293" t="s">
        <v>431</v>
      </c>
      <c r="G160" s="293"/>
      <c r="H160" s="293"/>
      <c r="I160" s="293"/>
      <c r="J160" s="144" t="s">
        <v>199</v>
      </c>
      <c r="K160" s="145">
        <v>61.2</v>
      </c>
      <c r="L160" s="294"/>
      <c r="M160" s="294"/>
      <c r="N160" s="294">
        <f>ROUND(L160*K160,2)</f>
        <v>0</v>
      </c>
      <c r="O160" s="294"/>
      <c r="P160" s="294"/>
      <c r="Q160" s="294"/>
      <c r="R160" s="146"/>
      <c r="T160" s="147" t="s">
        <v>5</v>
      </c>
      <c r="U160" s="44" t="s">
        <v>43</v>
      </c>
      <c r="V160" s="148">
        <v>0.33</v>
      </c>
      <c r="W160" s="148">
        <f>V160*K160</f>
        <v>20.196</v>
      </c>
      <c r="X160" s="148">
        <v>0.00489</v>
      </c>
      <c r="Y160" s="148">
        <f>X160*K160</f>
        <v>0.29926800000000003</v>
      </c>
      <c r="Z160" s="148">
        <v>0</v>
      </c>
      <c r="AA160" s="149">
        <f>Z160*K160</f>
        <v>0</v>
      </c>
      <c r="AR160" s="21" t="s">
        <v>172</v>
      </c>
      <c r="AT160" s="21" t="s">
        <v>168</v>
      </c>
      <c r="AU160" s="21" t="s">
        <v>135</v>
      </c>
      <c r="AY160" s="21" t="s">
        <v>167</v>
      </c>
      <c r="BE160" s="150">
        <f>IF(U160="základní",N160,0)</f>
        <v>0</v>
      </c>
      <c r="BF160" s="150">
        <f>IF(U160="snížená",N160,0)</f>
        <v>0</v>
      </c>
      <c r="BG160" s="150">
        <f>IF(U160="zákl. přenesená",N160,0)</f>
        <v>0</v>
      </c>
      <c r="BH160" s="150">
        <f>IF(U160="sníž. přenesená",N160,0)</f>
        <v>0</v>
      </c>
      <c r="BI160" s="150">
        <f>IF(U160="nulová",N160,0)</f>
        <v>0</v>
      </c>
      <c r="BJ160" s="21" t="s">
        <v>21</v>
      </c>
      <c r="BK160" s="150">
        <f>ROUND(L160*K160,2)</f>
        <v>0</v>
      </c>
      <c r="BL160" s="21" t="s">
        <v>172</v>
      </c>
      <c r="BM160" s="21" t="s">
        <v>432</v>
      </c>
    </row>
    <row r="161" spans="2:51" s="11" customFormat="1" ht="22.5" customHeight="1">
      <c r="B161" s="159"/>
      <c r="C161" s="160"/>
      <c r="D161" s="160"/>
      <c r="E161" s="161" t="s">
        <v>5</v>
      </c>
      <c r="F161" s="308" t="s">
        <v>433</v>
      </c>
      <c r="G161" s="309"/>
      <c r="H161" s="309"/>
      <c r="I161" s="309"/>
      <c r="J161" s="160"/>
      <c r="K161" s="162">
        <v>61.2</v>
      </c>
      <c r="L161" s="160"/>
      <c r="M161" s="160"/>
      <c r="N161" s="160"/>
      <c r="O161" s="160"/>
      <c r="P161" s="160"/>
      <c r="Q161" s="160"/>
      <c r="R161" s="163"/>
      <c r="T161" s="164"/>
      <c r="U161" s="160"/>
      <c r="V161" s="160"/>
      <c r="W161" s="160"/>
      <c r="X161" s="160"/>
      <c r="Y161" s="160"/>
      <c r="Z161" s="160"/>
      <c r="AA161" s="165"/>
      <c r="AT161" s="166" t="s">
        <v>179</v>
      </c>
      <c r="AU161" s="166" t="s">
        <v>135</v>
      </c>
      <c r="AV161" s="11" t="s">
        <v>135</v>
      </c>
      <c r="AW161" s="11" t="s">
        <v>35</v>
      </c>
      <c r="AX161" s="11" t="s">
        <v>21</v>
      </c>
      <c r="AY161" s="166" t="s">
        <v>167</v>
      </c>
    </row>
    <row r="162" spans="2:65" s="1" customFormat="1" ht="31.5" customHeight="1">
      <c r="B162" s="141"/>
      <c r="C162" s="142" t="s">
        <v>305</v>
      </c>
      <c r="D162" s="142" t="s">
        <v>168</v>
      </c>
      <c r="E162" s="143" t="s">
        <v>434</v>
      </c>
      <c r="F162" s="293" t="s">
        <v>435</v>
      </c>
      <c r="G162" s="293"/>
      <c r="H162" s="293"/>
      <c r="I162" s="293"/>
      <c r="J162" s="144" t="s">
        <v>259</v>
      </c>
      <c r="K162" s="145">
        <v>27.2</v>
      </c>
      <c r="L162" s="294"/>
      <c r="M162" s="294"/>
      <c r="N162" s="294">
        <f>ROUND(L162*K162,2)</f>
        <v>0</v>
      </c>
      <c r="O162" s="294"/>
      <c r="P162" s="294"/>
      <c r="Q162" s="294"/>
      <c r="R162" s="146"/>
      <c r="T162" s="147" t="s">
        <v>5</v>
      </c>
      <c r="U162" s="44" t="s">
        <v>43</v>
      </c>
      <c r="V162" s="148">
        <v>0.31</v>
      </c>
      <c r="W162" s="148">
        <f>V162*K162</f>
        <v>8.432</v>
      </c>
      <c r="X162" s="148">
        <v>2E-05</v>
      </c>
      <c r="Y162" s="148">
        <f>X162*K162</f>
        <v>0.000544</v>
      </c>
      <c r="Z162" s="148">
        <v>0</v>
      </c>
      <c r="AA162" s="149">
        <f>Z162*K162</f>
        <v>0</v>
      </c>
      <c r="AR162" s="21" t="s">
        <v>172</v>
      </c>
      <c r="AT162" s="21" t="s">
        <v>168</v>
      </c>
      <c r="AU162" s="21" t="s">
        <v>135</v>
      </c>
      <c r="AY162" s="21" t="s">
        <v>167</v>
      </c>
      <c r="BE162" s="150">
        <f>IF(U162="základní",N162,0)</f>
        <v>0</v>
      </c>
      <c r="BF162" s="150">
        <f>IF(U162="snížená",N162,0)</f>
        <v>0</v>
      </c>
      <c r="BG162" s="150">
        <f>IF(U162="zákl. přenesená",N162,0)</f>
        <v>0</v>
      </c>
      <c r="BH162" s="150">
        <f>IF(U162="sníž. přenesená",N162,0)</f>
        <v>0</v>
      </c>
      <c r="BI162" s="150">
        <f>IF(U162="nulová",N162,0)</f>
        <v>0</v>
      </c>
      <c r="BJ162" s="21" t="s">
        <v>21</v>
      </c>
      <c r="BK162" s="150">
        <f>ROUND(L162*K162,2)</f>
        <v>0</v>
      </c>
      <c r="BL162" s="21" t="s">
        <v>172</v>
      </c>
      <c r="BM162" s="21" t="s">
        <v>436</v>
      </c>
    </row>
    <row r="163" spans="2:51" s="11" customFormat="1" ht="22.5" customHeight="1">
      <c r="B163" s="159"/>
      <c r="C163" s="160"/>
      <c r="D163" s="160"/>
      <c r="E163" s="161" t="s">
        <v>5</v>
      </c>
      <c r="F163" s="308" t="s">
        <v>437</v>
      </c>
      <c r="G163" s="309"/>
      <c r="H163" s="309"/>
      <c r="I163" s="309"/>
      <c r="J163" s="160"/>
      <c r="K163" s="162">
        <v>27.2</v>
      </c>
      <c r="L163" s="160"/>
      <c r="M163" s="160"/>
      <c r="N163" s="160"/>
      <c r="O163" s="160"/>
      <c r="P163" s="160"/>
      <c r="Q163" s="160"/>
      <c r="R163" s="163"/>
      <c r="T163" s="164"/>
      <c r="U163" s="160"/>
      <c r="V163" s="160"/>
      <c r="W163" s="160"/>
      <c r="X163" s="160"/>
      <c r="Y163" s="160"/>
      <c r="Z163" s="160"/>
      <c r="AA163" s="165"/>
      <c r="AT163" s="166" t="s">
        <v>179</v>
      </c>
      <c r="AU163" s="166" t="s">
        <v>135</v>
      </c>
      <c r="AV163" s="11" t="s">
        <v>135</v>
      </c>
      <c r="AW163" s="11" t="s">
        <v>35</v>
      </c>
      <c r="AX163" s="11" t="s">
        <v>21</v>
      </c>
      <c r="AY163" s="166" t="s">
        <v>167</v>
      </c>
    </row>
    <row r="164" spans="2:65" s="1" customFormat="1" ht="31.5" customHeight="1">
      <c r="B164" s="141"/>
      <c r="C164" s="178" t="s">
        <v>10</v>
      </c>
      <c r="D164" s="178" t="s">
        <v>317</v>
      </c>
      <c r="E164" s="179" t="s">
        <v>438</v>
      </c>
      <c r="F164" s="313" t="s">
        <v>439</v>
      </c>
      <c r="G164" s="313"/>
      <c r="H164" s="313"/>
      <c r="I164" s="313"/>
      <c r="J164" s="180" t="s">
        <v>259</v>
      </c>
      <c r="K164" s="181">
        <v>28</v>
      </c>
      <c r="L164" s="314"/>
      <c r="M164" s="314"/>
      <c r="N164" s="314">
        <f>ROUND(L164*K164,2)</f>
        <v>0</v>
      </c>
      <c r="O164" s="294"/>
      <c r="P164" s="294"/>
      <c r="Q164" s="294"/>
      <c r="R164" s="146"/>
      <c r="T164" s="147" t="s">
        <v>5</v>
      </c>
      <c r="U164" s="44" t="s">
        <v>43</v>
      </c>
      <c r="V164" s="148">
        <v>0</v>
      </c>
      <c r="W164" s="148">
        <f>V164*K164</f>
        <v>0</v>
      </c>
      <c r="X164" s="148">
        <v>0.0001</v>
      </c>
      <c r="Y164" s="148">
        <f>X164*K164</f>
        <v>0.0028</v>
      </c>
      <c r="Z164" s="148">
        <v>0</v>
      </c>
      <c r="AA164" s="149">
        <f>Z164*K164</f>
        <v>0</v>
      </c>
      <c r="AR164" s="21" t="s">
        <v>213</v>
      </c>
      <c r="AT164" s="21" t="s">
        <v>317</v>
      </c>
      <c r="AU164" s="21" t="s">
        <v>135</v>
      </c>
      <c r="AY164" s="21" t="s">
        <v>167</v>
      </c>
      <c r="BE164" s="150">
        <f>IF(U164="základní",N164,0)</f>
        <v>0</v>
      </c>
      <c r="BF164" s="150">
        <f>IF(U164="snížená",N164,0)</f>
        <v>0</v>
      </c>
      <c r="BG164" s="150">
        <f>IF(U164="zákl. přenesená",N164,0)</f>
        <v>0</v>
      </c>
      <c r="BH164" s="150">
        <f>IF(U164="sníž. přenesená",N164,0)</f>
        <v>0</v>
      </c>
      <c r="BI164" s="150">
        <f>IF(U164="nulová",N164,0)</f>
        <v>0</v>
      </c>
      <c r="BJ164" s="21" t="s">
        <v>21</v>
      </c>
      <c r="BK164" s="150">
        <f>ROUND(L164*K164,2)</f>
        <v>0</v>
      </c>
      <c r="BL164" s="21" t="s">
        <v>172</v>
      </c>
      <c r="BM164" s="21" t="s">
        <v>440</v>
      </c>
    </row>
    <row r="165" spans="2:65" s="1" customFormat="1" ht="31.5" customHeight="1">
      <c r="B165" s="141"/>
      <c r="C165" s="142" t="s">
        <v>316</v>
      </c>
      <c r="D165" s="142" t="s">
        <v>168</v>
      </c>
      <c r="E165" s="143" t="s">
        <v>441</v>
      </c>
      <c r="F165" s="293" t="s">
        <v>442</v>
      </c>
      <c r="G165" s="293"/>
      <c r="H165" s="293"/>
      <c r="I165" s="293"/>
      <c r="J165" s="144" t="s">
        <v>259</v>
      </c>
      <c r="K165" s="145">
        <v>27.2</v>
      </c>
      <c r="L165" s="294"/>
      <c r="M165" s="294"/>
      <c r="N165" s="294">
        <f>ROUND(L165*K165,2)</f>
        <v>0</v>
      </c>
      <c r="O165" s="294"/>
      <c r="P165" s="294"/>
      <c r="Q165" s="294"/>
      <c r="R165" s="146"/>
      <c r="T165" s="147" t="s">
        <v>5</v>
      </c>
      <c r="U165" s="44" t="s">
        <v>43</v>
      </c>
      <c r="V165" s="148">
        <v>0.11</v>
      </c>
      <c r="W165" s="148">
        <f>V165*K165</f>
        <v>2.992</v>
      </c>
      <c r="X165" s="148">
        <v>0</v>
      </c>
      <c r="Y165" s="148">
        <f>X165*K165</f>
        <v>0</v>
      </c>
      <c r="Z165" s="148">
        <v>0</v>
      </c>
      <c r="AA165" s="149">
        <f>Z165*K165</f>
        <v>0</v>
      </c>
      <c r="AR165" s="21" t="s">
        <v>172</v>
      </c>
      <c r="AT165" s="21" t="s">
        <v>168</v>
      </c>
      <c r="AU165" s="21" t="s">
        <v>135</v>
      </c>
      <c r="AY165" s="21" t="s">
        <v>167</v>
      </c>
      <c r="BE165" s="150">
        <f>IF(U165="základní",N165,0)</f>
        <v>0</v>
      </c>
      <c r="BF165" s="150">
        <f>IF(U165="snížená",N165,0)</f>
        <v>0</v>
      </c>
      <c r="BG165" s="150">
        <f>IF(U165="zákl. přenesená",N165,0)</f>
        <v>0</v>
      </c>
      <c r="BH165" s="150">
        <f>IF(U165="sníž. přenesená",N165,0)</f>
        <v>0</v>
      </c>
      <c r="BI165" s="150">
        <f>IF(U165="nulová",N165,0)</f>
        <v>0</v>
      </c>
      <c r="BJ165" s="21" t="s">
        <v>21</v>
      </c>
      <c r="BK165" s="150">
        <f>ROUND(L165*K165,2)</f>
        <v>0</v>
      </c>
      <c r="BL165" s="21" t="s">
        <v>172</v>
      </c>
      <c r="BM165" s="21" t="s">
        <v>443</v>
      </c>
    </row>
    <row r="166" spans="2:65" s="1" customFormat="1" ht="22.5" customHeight="1">
      <c r="B166" s="141"/>
      <c r="C166" s="178" t="s">
        <v>321</v>
      </c>
      <c r="D166" s="178" t="s">
        <v>317</v>
      </c>
      <c r="E166" s="179" t="s">
        <v>444</v>
      </c>
      <c r="F166" s="313" t="s">
        <v>445</v>
      </c>
      <c r="G166" s="313"/>
      <c r="H166" s="313"/>
      <c r="I166" s="313"/>
      <c r="J166" s="180" t="s">
        <v>259</v>
      </c>
      <c r="K166" s="181">
        <v>28</v>
      </c>
      <c r="L166" s="314"/>
      <c r="M166" s="314"/>
      <c r="N166" s="314">
        <f>ROUND(L166*K166,2)</f>
        <v>0</v>
      </c>
      <c r="O166" s="294"/>
      <c r="P166" s="294"/>
      <c r="Q166" s="294"/>
      <c r="R166" s="146"/>
      <c r="T166" s="147" t="s">
        <v>5</v>
      </c>
      <c r="U166" s="44" t="s">
        <v>43</v>
      </c>
      <c r="V166" s="148">
        <v>0</v>
      </c>
      <c r="W166" s="148">
        <f>V166*K166</f>
        <v>0</v>
      </c>
      <c r="X166" s="148">
        <v>3E-05</v>
      </c>
      <c r="Y166" s="148">
        <f>X166*K166</f>
        <v>0.00084</v>
      </c>
      <c r="Z166" s="148">
        <v>0</v>
      </c>
      <c r="AA166" s="149">
        <f>Z166*K166</f>
        <v>0</v>
      </c>
      <c r="AR166" s="21" t="s">
        <v>213</v>
      </c>
      <c r="AT166" s="21" t="s">
        <v>317</v>
      </c>
      <c r="AU166" s="21" t="s">
        <v>135</v>
      </c>
      <c r="AY166" s="21" t="s">
        <v>167</v>
      </c>
      <c r="BE166" s="150">
        <f>IF(U166="základní",N166,0)</f>
        <v>0</v>
      </c>
      <c r="BF166" s="150">
        <f>IF(U166="snížená",N166,0)</f>
        <v>0</v>
      </c>
      <c r="BG166" s="150">
        <f>IF(U166="zákl. přenesená",N166,0)</f>
        <v>0</v>
      </c>
      <c r="BH166" s="150">
        <f>IF(U166="sníž. přenesená",N166,0)</f>
        <v>0</v>
      </c>
      <c r="BI166" s="150">
        <f>IF(U166="nulová",N166,0)</f>
        <v>0</v>
      </c>
      <c r="BJ166" s="21" t="s">
        <v>21</v>
      </c>
      <c r="BK166" s="150">
        <f>ROUND(L166*K166,2)</f>
        <v>0</v>
      </c>
      <c r="BL166" s="21" t="s">
        <v>172</v>
      </c>
      <c r="BM166" s="21" t="s">
        <v>446</v>
      </c>
    </row>
    <row r="167" spans="2:65" s="1" customFormat="1" ht="31.5" customHeight="1">
      <c r="B167" s="141"/>
      <c r="C167" s="142" t="s">
        <v>326</v>
      </c>
      <c r="D167" s="142" t="s">
        <v>168</v>
      </c>
      <c r="E167" s="143" t="s">
        <v>447</v>
      </c>
      <c r="F167" s="293" t="s">
        <v>448</v>
      </c>
      <c r="G167" s="293"/>
      <c r="H167" s="293"/>
      <c r="I167" s="293"/>
      <c r="J167" s="144" t="s">
        <v>199</v>
      </c>
      <c r="K167" s="145">
        <v>88.4</v>
      </c>
      <c r="L167" s="294"/>
      <c r="M167" s="294"/>
      <c r="N167" s="294">
        <f>ROUND(L167*K167,2)</f>
        <v>0</v>
      </c>
      <c r="O167" s="294"/>
      <c r="P167" s="294"/>
      <c r="Q167" s="294"/>
      <c r="R167" s="146"/>
      <c r="T167" s="147" t="s">
        <v>5</v>
      </c>
      <c r="U167" s="44" t="s">
        <v>43</v>
      </c>
      <c r="V167" s="148">
        <v>1.04</v>
      </c>
      <c r="W167" s="148">
        <f>V167*K167</f>
        <v>91.936</v>
      </c>
      <c r="X167" s="148">
        <v>0.00832</v>
      </c>
      <c r="Y167" s="148">
        <f>X167*K167</f>
        <v>0.735488</v>
      </c>
      <c r="Z167" s="148">
        <v>0</v>
      </c>
      <c r="AA167" s="149">
        <f>Z167*K167</f>
        <v>0</v>
      </c>
      <c r="AR167" s="21" t="s">
        <v>172</v>
      </c>
      <c r="AT167" s="21" t="s">
        <v>168</v>
      </c>
      <c r="AU167" s="21" t="s">
        <v>135</v>
      </c>
      <c r="AY167" s="21" t="s">
        <v>167</v>
      </c>
      <c r="BE167" s="150">
        <f>IF(U167="základní",N167,0)</f>
        <v>0</v>
      </c>
      <c r="BF167" s="150">
        <f>IF(U167="snížená",N167,0)</f>
        <v>0</v>
      </c>
      <c r="BG167" s="150">
        <f>IF(U167="zákl. přenesená",N167,0)</f>
        <v>0</v>
      </c>
      <c r="BH167" s="150">
        <f>IF(U167="sníž. přenesená",N167,0)</f>
        <v>0</v>
      </c>
      <c r="BI167" s="150">
        <f>IF(U167="nulová",N167,0)</f>
        <v>0</v>
      </c>
      <c r="BJ167" s="21" t="s">
        <v>21</v>
      </c>
      <c r="BK167" s="150">
        <f>ROUND(L167*K167,2)</f>
        <v>0</v>
      </c>
      <c r="BL167" s="21" t="s">
        <v>172</v>
      </c>
      <c r="BM167" s="21" t="s">
        <v>449</v>
      </c>
    </row>
    <row r="168" spans="2:51" s="10" customFormat="1" ht="22.5" customHeight="1">
      <c r="B168" s="151"/>
      <c r="C168" s="152"/>
      <c r="D168" s="152"/>
      <c r="E168" s="153" t="s">
        <v>5</v>
      </c>
      <c r="F168" s="300" t="s">
        <v>450</v>
      </c>
      <c r="G168" s="301"/>
      <c r="H168" s="301"/>
      <c r="I168" s="301"/>
      <c r="J168" s="152"/>
      <c r="K168" s="154" t="s">
        <v>5</v>
      </c>
      <c r="L168" s="152"/>
      <c r="M168" s="152"/>
      <c r="N168" s="152"/>
      <c r="O168" s="152"/>
      <c r="P168" s="152"/>
      <c r="Q168" s="152"/>
      <c r="R168" s="155"/>
      <c r="T168" s="156"/>
      <c r="U168" s="152"/>
      <c r="V168" s="152"/>
      <c r="W168" s="152"/>
      <c r="X168" s="152"/>
      <c r="Y168" s="152"/>
      <c r="Z168" s="152"/>
      <c r="AA168" s="157"/>
      <c r="AT168" s="158" t="s">
        <v>179</v>
      </c>
      <c r="AU168" s="158" t="s">
        <v>135</v>
      </c>
      <c r="AV168" s="10" t="s">
        <v>21</v>
      </c>
      <c r="AW168" s="10" t="s">
        <v>35</v>
      </c>
      <c r="AX168" s="10" t="s">
        <v>78</v>
      </c>
      <c r="AY168" s="158" t="s">
        <v>167</v>
      </c>
    </row>
    <row r="169" spans="2:51" s="11" customFormat="1" ht="22.5" customHeight="1">
      <c r="B169" s="159"/>
      <c r="C169" s="160"/>
      <c r="D169" s="160"/>
      <c r="E169" s="161" t="s">
        <v>5</v>
      </c>
      <c r="F169" s="302" t="s">
        <v>433</v>
      </c>
      <c r="G169" s="303"/>
      <c r="H169" s="303"/>
      <c r="I169" s="303"/>
      <c r="J169" s="160"/>
      <c r="K169" s="162">
        <v>61.2</v>
      </c>
      <c r="L169" s="160"/>
      <c r="M169" s="160"/>
      <c r="N169" s="160"/>
      <c r="O169" s="160"/>
      <c r="P169" s="160"/>
      <c r="Q169" s="160"/>
      <c r="R169" s="163"/>
      <c r="T169" s="164"/>
      <c r="U169" s="160"/>
      <c r="V169" s="160"/>
      <c r="W169" s="160"/>
      <c r="X169" s="160"/>
      <c r="Y169" s="160"/>
      <c r="Z169" s="160"/>
      <c r="AA169" s="165"/>
      <c r="AT169" s="166" t="s">
        <v>179</v>
      </c>
      <c r="AU169" s="166" t="s">
        <v>135</v>
      </c>
      <c r="AV169" s="11" t="s">
        <v>135</v>
      </c>
      <c r="AW169" s="11" t="s">
        <v>35</v>
      </c>
      <c r="AX169" s="11" t="s">
        <v>78</v>
      </c>
      <c r="AY169" s="166" t="s">
        <v>167</v>
      </c>
    </row>
    <row r="170" spans="2:51" s="10" customFormat="1" ht="22.5" customHeight="1">
      <c r="B170" s="151"/>
      <c r="C170" s="152"/>
      <c r="D170" s="152"/>
      <c r="E170" s="153" t="s">
        <v>5</v>
      </c>
      <c r="F170" s="304" t="s">
        <v>451</v>
      </c>
      <c r="G170" s="305"/>
      <c r="H170" s="305"/>
      <c r="I170" s="305"/>
      <c r="J170" s="152"/>
      <c r="K170" s="154" t="s">
        <v>5</v>
      </c>
      <c r="L170" s="152"/>
      <c r="M170" s="152"/>
      <c r="N170" s="152"/>
      <c r="O170" s="152"/>
      <c r="P170" s="152"/>
      <c r="Q170" s="152"/>
      <c r="R170" s="155"/>
      <c r="T170" s="156"/>
      <c r="U170" s="152"/>
      <c r="V170" s="152"/>
      <c r="W170" s="152"/>
      <c r="X170" s="152"/>
      <c r="Y170" s="152"/>
      <c r="Z170" s="152"/>
      <c r="AA170" s="157"/>
      <c r="AT170" s="158" t="s">
        <v>179</v>
      </c>
      <c r="AU170" s="158" t="s">
        <v>135</v>
      </c>
      <c r="AV170" s="10" t="s">
        <v>21</v>
      </c>
      <c r="AW170" s="10" t="s">
        <v>35</v>
      </c>
      <c r="AX170" s="10" t="s">
        <v>78</v>
      </c>
      <c r="AY170" s="158" t="s">
        <v>167</v>
      </c>
    </row>
    <row r="171" spans="2:51" s="11" customFormat="1" ht="22.5" customHeight="1">
      <c r="B171" s="159"/>
      <c r="C171" s="160"/>
      <c r="D171" s="160"/>
      <c r="E171" s="161" t="s">
        <v>5</v>
      </c>
      <c r="F171" s="302" t="s">
        <v>452</v>
      </c>
      <c r="G171" s="303"/>
      <c r="H171" s="303"/>
      <c r="I171" s="303"/>
      <c r="J171" s="160"/>
      <c r="K171" s="162">
        <v>27.2</v>
      </c>
      <c r="L171" s="160"/>
      <c r="M171" s="160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179</v>
      </c>
      <c r="AU171" s="166" t="s">
        <v>135</v>
      </c>
      <c r="AV171" s="11" t="s">
        <v>135</v>
      </c>
      <c r="AW171" s="11" t="s">
        <v>35</v>
      </c>
      <c r="AX171" s="11" t="s">
        <v>78</v>
      </c>
      <c r="AY171" s="166" t="s">
        <v>167</v>
      </c>
    </row>
    <row r="172" spans="2:51" s="12" customFormat="1" ht="22.5" customHeight="1">
      <c r="B172" s="167"/>
      <c r="C172" s="168"/>
      <c r="D172" s="168"/>
      <c r="E172" s="169" t="s">
        <v>5</v>
      </c>
      <c r="F172" s="306" t="s">
        <v>183</v>
      </c>
      <c r="G172" s="307"/>
      <c r="H172" s="307"/>
      <c r="I172" s="307"/>
      <c r="J172" s="168"/>
      <c r="K172" s="170">
        <v>88.4</v>
      </c>
      <c r="L172" s="168"/>
      <c r="M172" s="16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179</v>
      </c>
      <c r="AU172" s="174" t="s">
        <v>135</v>
      </c>
      <c r="AV172" s="12" t="s">
        <v>172</v>
      </c>
      <c r="AW172" s="12" t="s">
        <v>35</v>
      </c>
      <c r="AX172" s="12" t="s">
        <v>21</v>
      </c>
      <c r="AY172" s="174" t="s">
        <v>167</v>
      </c>
    </row>
    <row r="173" spans="2:65" s="1" customFormat="1" ht="31.5" customHeight="1">
      <c r="B173" s="141"/>
      <c r="C173" s="178" t="s">
        <v>331</v>
      </c>
      <c r="D173" s="178" t="s">
        <v>317</v>
      </c>
      <c r="E173" s="179" t="s">
        <v>453</v>
      </c>
      <c r="F173" s="313" t="s">
        <v>454</v>
      </c>
      <c r="G173" s="313"/>
      <c r="H173" s="313"/>
      <c r="I173" s="313"/>
      <c r="J173" s="180" t="s">
        <v>199</v>
      </c>
      <c r="K173" s="181">
        <v>63.048</v>
      </c>
      <c r="L173" s="314"/>
      <c r="M173" s="314"/>
      <c r="N173" s="314">
        <f>ROUND(L173*K173,2)</f>
        <v>0</v>
      </c>
      <c r="O173" s="294"/>
      <c r="P173" s="294"/>
      <c r="Q173" s="294"/>
      <c r="R173" s="146"/>
      <c r="T173" s="147" t="s">
        <v>5</v>
      </c>
      <c r="U173" s="44" t="s">
        <v>43</v>
      </c>
      <c r="V173" s="148">
        <v>0</v>
      </c>
      <c r="W173" s="148">
        <f>V173*K173</f>
        <v>0</v>
      </c>
      <c r="X173" s="148">
        <v>0.0017</v>
      </c>
      <c r="Y173" s="148">
        <f>X173*K173</f>
        <v>0.1071816</v>
      </c>
      <c r="Z173" s="148">
        <v>0</v>
      </c>
      <c r="AA173" s="149">
        <f>Z173*K173</f>
        <v>0</v>
      </c>
      <c r="AR173" s="21" t="s">
        <v>213</v>
      </c>
      <c r="AT173" s="21" t="s">
        <v>317</v>
      </c>
      <c r="AU173" s="21" t="s">
        <v>135</v>
      </c>
      <c r="AY173" s="21" t="s">
        <v>167</v>
      </c>
      <c r="BE173" s="150">
        <f>IF(U173="základní",N173,0)</f>
        <v>0</v>
      </c>
      <c r="BF173" s="150">
        <f>IF(U173="snížená",N173,0)</f>
        <v>0</v>
      </c>
      <c r="BG173" s="150">
        <f>IF(U173="zákl. přenesená",N173,0)</f>
        <v>0</v>
      </c>
      <c r="BH173" s="150">
        <f>IF(U173="sníž. přenesená",N173,0)</f>
        <v>0</v>
      </c>
      <c r="BI173" s="150">
        <f>IF(U173="nulová",N173,0)</f>
        <v>0</v>
      </c>
      <c r="BJ173" s="21" t="s">
        <v>21</v>
      </c>
      <c r="BK173" s="150">
        <f>ROUND(L173*K173,2)</f>
        <v>0</v>
      </c>
      <c r="BL173" s="21" t="s">
        <v>172</v>
      </c>
      <c r="BM173" s="21" t="s">
        <v>455</v>
      </c>
    </row>
    <row r="174" spans="2:51" s="11" customFormat="1" ht="22.5" customHeight="1">
      <c r="B174" s="159"/>
      <c r="C174" s="160"/>
      <c r="D174" s="160"/>
      <c r="E174" s="161" t="s">
        <v>5</v>
      </c>
      <c r="F174" s="308" t="s">
        <v>456</v>
      </c>
      <c r="G174" s="309"/>
      <c r="H174" s="309"/>
      <c r="I174" s="309"/>
      <c r="J174" s="160"/>
      <c r="K174" s="162">
        <v>61.812</v>
      </c>
      <c r="L174" s="160"/>
      <c r="M174" s="160"/>
      <c r="N174" s="160"/>
      <c r="O174" s="160"/>
      <c r="P174" s="160"/>
      <c r="Q174" s="160"/>
      <c r="R174" s="163"/>
      <c r="T174" s="164"/>
      <c r="U174" s="160"/>
      <c r="V174" s="160"/>
      <c r="W174" s="160"/>
      <c r="X174" s="160"/>
      <c r="Y174" s="160"/>
      <c r="Z174" s="160"/>
      <c r="AA174" s="165"/>
      <c r="AT174" s="166" t="s">
        <v>179</v>
      </c>
      <c r="AU174" s="166" t="s">
        <v>135</v>
      </c>
      <c r="AV174" s="11" t="s">
        <v>135</v>
      </c>
      <c r="AW174" s="11" t="s">
        <v>35</v>
      </c>
      <c r="AX174" s="11" t="s">
        <v>21</v>
      </c>
      <c r="AY174" s="166" t="s">
        <v>167</v>
      </c>
    </row>
    <row r="175" spans="2:65" s="1" customFormat="1" ht="31.5" customHeight="1">
      <c r="B175" s="141"/>
      <c r="C175" s="178" t="s">
        <v>335</v>
      </c>
      <c r="D175" s="178" t="s">
        <v>317</v>
      </c>
      <c r="E175" s="179" t="s">
        <v>457</v>
      </c>
      <c r="F175" s="313" t="s">
        <v>458</v>
      </c>
      <c r="G175" s="313"/>
      <c r="H175" s="313"/>
      <c r="I175" s="313"/>
      <c r="J175" s="180" t="s">
        <v>199</v>
      </c>
      <c r="K175" s="181">
        <v>29.92</v>
      </c>
      <c r="L175" s="314"/>
      <c r="M175" s="314"/>
      <c r="N175" s="314">
        <f>ROUND(L175*K175,2)</f>
        <v>0</v>
      </c>
      <c r="O175" s="294"/>
      <c r="P175" s="294"/>
      <c r="Q175" s="294"/>
      <c r="R175" s="146"/>
      <c r="T175" s="147" t="s">
        <v>5</v>
      </c>
      <c r="U175" s="44" t="s">
        <v>43</v>
      </c>
      <c r="V175" s="148">
        <v>0</v>
      </c>
      <c r="W175" s="148">
        <f>V175*K175</f>
        <v>0</v>
      </c>
      <c r="X175" s="148">
        <v>0.0035</v>
      </c>
      <c r="Y175" s="148">
        <f>X175*K175</f>
        <v>0.10472000000000001</v>
      </c>
      <c r="Z175" s="148">
        <v>0</v>
      </c>
      <c r="AA175" s="149">
        <f>Z175*K175</f>
        <v>0</v>
      </c>
      <c r="AR175" s="21" t="s">
        <v>213</v>
      </c>
      <c r="AT175" s="21" t="s">
        <v>317</v>
      </c>
      <c r="AU175" s="21" t="s">
        <v>135</v>
      </c>
      <c r="AY175" s="21" t="s">
        <v>167</v>
      </c>
      <c r="BE175" s="150">
        <f>IF(U175="základní",N175,0)</f>
        <v>0</v>
      </c>
      <c r="BF175" s="150">
        <f>IF(U175="snížená",N175,0)</f>
        <v>0</v>
      </c>
      <c r="BG175" s="150">
        <f>IF(U175="zákl. přenesená",N175,0)</f>
        <v>0</v>
      </c>
      <c r="BH175" s="150">
        <f>IF(U175="sníž. přenesená",N175,0)</f>
        <v>0</v>
      </c>
      <c r="BI175" s="150">
        <f>IF(U175="nulová",N175,0)</f>
        <v>0</v>
      </c>
      <c r="BJ175" s="21" t="s">
        <v>21</v>
      </c>
      <c r="BK175" s="150">
        <f>ROUND(L175*K175,2)</f>
        <v>0</v>
      </c>
      <c r="BL175" s="21" t="s">
        <v>172</v>
      </c>
      <c r="BM175" s="21" t="s">
        <v>459</v>
      </c>
    </row>
    <row r="176" spans="2:51" s="11" customFormat="1" ht="22.5" customHeight="1">
      <c r="B176" s="159"/>
      <c r="C176" s="160"/>
      <c r="D176" s="160"/>
      <c r="E176" s="161" t="s">
        <v>5</v>
      </c>
      <c r="F176" s="308" t="s">
        <v>460</v>
      </c>
      <c r="G176" s="309"/>
      <c r="H176" s="309"/>
      <c r="I176" s="309"/>
      <c r="J176" s="160"/>
      <c r="K176" s="162">
        <v>29.92</v>
      </c>
      <c r="L176" s="160"/>
      <c r="M176" s="160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179</v>
      </c>
      <c r="AU176" s="166" t="s">
        <v>135</v>
      </c>
      <c r="AV176" s="11" t="s">
        <v>135</v>
      </c>
      <c r="AW176" s="11" t="s">
        <v>35</v>
      </c>
      <c r="AX176" s="11" t="s">
        <v>21</v>
      </c>
      <c r="AY176" s="166" t="s">
        <v>167</v>
      </c>
    </row>
    <row r="177" spans="2:65" s="1" customFormat="1" ht="31.5" customHeight="1">
      <c r="B177" s="141"/>
      <c r="C177" s="142" t="s">
        <v>340</v>
      </c>
      <c r="D177" s="142" t="s">
        <v>168</v>
      </c>
      <c r="E177" s="143" t="s">
        <v>461</v>
      </c>
      <c r="F177" s="293" t="s">
        <v>462</v>
      </c>
      <c r="G177" s="293"/>
      <c r="H177" s="293"/>
      <c r="I177" s="293"/>
      <c r="J177" s="144" t="s">
        <v>199</v>
      </c>
      <c r="K177" s="145">
        <v>61.2</v>
      </c>
      <c r="L177" s="294"/>
      <c r="M177" s="294"/>
      <c r="N177" s="294">
        <f>ROUND(L177*K177,2)</f>
        <v>0</v>
      </c>
      <c r="O177" s="294"/>
      <c r="P177" s="294"/>
      <c r="Q177" s="294"/>
      <c r="R177" s="146"/>
      <c r="T177" s="147" t="s">
        <v>5</v>
      </c>
      <c r="U177" s="44" t="s">
        <v>43</v>
      </c>
      <c r="V177" s="148">
        <v>0.295</v>
      </c>
      <c r="W177" s="148">
        <f>V177*K177</f>
        <v>18.054</v>
      </c>
      <c r="X177" s="148">
        <v>0.00328</v>
      </c>
      <c r="Y177" s="148">
        <f>X177*K177</f>
        <v>0.200736</v>
      </c>
      <c r="Z177" s="148">
        <v>0</v>
      </c>
      <c r="AA177" s="149">
        <f>Z177*K177</f>
        <v>0</v>
      </c>
      <c r="AR177" s="21" t="s">
        <v>172</v>
      </c>
      <c r="AT177" s="21" t="s">
        <v>168</v>
      </c>
      <c r="AU177" s="21" t="s">
        <v>135</v>
      </c>
      <c r="AY177" s="21" t="s">
        <v>167</v>
      </c>
      <c r="BE177" s="150">
        <f>IF(U177="základní",N177,0)</f>
        <v>0</v>
      </c>
      <c r="BF177" s="150">
        <f>IF(U177="snížená",N177,0)</f>
        <v>0</v>
      </c>
      <c r="BG177" s="150">
        <f>IF(U177="zákl. přenesená",N177,0)</f>
        <v>0</v>
      </c>
      <c r="BH177" s="150">
        <f>IF(U177="sníž. přenesená",N177,0)</f>
        <v>0</v>
      </c>
      <c r="BI177" s="150">
        <f>IF(U177="nulová",N177,0)</f>
        <v>0</v>
      </c>
      <c r="BJ177" s="21" t="s">
        <v>21</v>
      </c>
      <c r="BK177" s="150">
        <f>ROUND(L177*K177,2)</f>
        <v>0</v>
      </c>
      <c r="BL177" s="21" t="s">
        <v>172</v>
      </c>
      <c r="BM177" s="21" t="s">
        <v>463</v>
      </c>
    </row>
    <row r="178" spans="2:63" s="9" customFormat="1" ht="29.85" customHeight="1">
      <c r="B178" s="130"/>
      <c r="C178" s="131"/>
      <c r="D178" s="140" t="s">
        <v>228</v>
      </c>
      <c r="E178" s="140"/>
      <c r="F178" s="140"/>
      <c r="G178" s="140"/>
      <c r="H178" s="140"/>
      <c r="I178" s="140"/>
      <c r="J178" s="140"/>
      <c r="K178" s="140"/>
      <c r="L178" s="140"/>
      <c r="M178" s="140"/>
      <c r="N178" s="310">
        <f>BK178</f>
        <v>0</v>
      </c>
      <c r="O178" s="311"/>
      <c r="P178" s="311"/>
      <c r="Q178" s="311"/>
      <c r="R178" s="133"/>
      <c r="T178" s="134"/>
      <c r="U178" s="131"/>
      <c r="V178" s="131"/>
      <c r="W178" s="135">
        <f>SUM(W179:W184)</f>
        <v>74.403</v>
      </c>
      <c r="X178" s="131"/>
      <c r="Y178" s="135">
        <f>SUM(Y179:Y184)</f>
        <v>0.05985</v>
      </c>
      <c r="Z178" s="131"/>
      <c r="AA178" s="136">
        <f>SUM(AA179:AA184)</f>
        <v>0</v>
      </c>
      <c r="AR178" s="137" t="s">
        <v>21</v>
      </c>
      <c r="AT178" s="138" t="s">
        <v>77</v>
      </c>
      <c r="AU178" s="138" t="s">
        <v>21</v>
      </c>
      <c r="AY178" s="137" t="s">
        <v>167</v>
      </c>
      <c r="BK178" s="139">
        <f>SUM(BK179:BK184)</f>
        <v>0</v>
      </c>
    </row>
    <row r="179" spans="2:65" s="1" customFormat="1" ht="44.25" customHeight="1">
      <c r="B179" s="141"/>
      <c r="C179" s="142" t="s">
        <v>344</v>
      </c>
      <c r="D179" s="142" t="s">
        <v>168</v>
      </c>
      <c r="E179" s="143" t="s">
        <v>464</v>
      </c>
      <c r="F179" s="293" t="s">
        <v>465</v>
      </c>
      <c r="G179" s="293"/>
      <c r="H179" s="293"/>
      <c r="I179" s="293"/>
      <c r="J179" s="144" t="s">
        <v>199</v>
      </c>
      <c r="K179" s="145">
        <v>91</v>
      </c>
      <c r="L179" s="294"/>
      <c r="M179" s="294"/>
      <c r="N179" s="294">
        <f>ROUND(L179*K179,2)</f>
        <v>0</v>
      </c>
      <c r="O179" s="294"/>
      <c r="P179" s="294"/>
      <c r="Q179" s="294"/>
      <c r="R179" s="146"/>
      <c r="T179" s="147" t="s">
        <v>5</v>
      </c>
      <c r="U179" s="44" t="s">
        <v>43</v>
      </c>
      <c r="V179" s="148">
        <v>0.259</v>
      </c>
      <c r="W179" s="148">
        <f>V179*K179</f>
        <v>23.569</v>
      </c>
      <c r="X179" s="148">
        <v>0</v>
      </c>
      <c r="Y179" s="148">
        <f>X179*K179</f>
        <v>0</v>
      </c>
      <c r="Z179" s="148">
        <v>0</v>
      </c>
      <c r="AA179" s="149">
        <f>Z179*K179</f>
        <v>0</v>
      </c>
      <c r="AR179" s="21" t="s">
        <v>172</v>
      </c>
      <c r="AT179" s="21" t="s">
        <v>168</v>
      </c>
      <c r="AU179" s="21" t="s">
        <v>135</v>
      </c>
      <c r="AY179" s="21" t="s">
        <v>167</v>
      </c>
      <c r="BE179" s="150">
        <f>IF(U179="základní",N179,0)</f>
        <v>0</v>
      </c>
      <c r="BF179" s="150">
        <f>IF(U179="snížená",N179,0)</f>
        <v>0</v>
      </c>
      <c r="BG179" s="150">
        <f>IF(U179="zákl. přenesená",N179,0)</f>
        <v>0</v>
      </c>
      <c r="BH179" s="150">
        <f>IF(U179="sníž. přenesená",N179,0)</f>
        <v>0</v>
      </c>
      <c r="BI179" s="150">
        <f>IF(U179="nulová",N179,0)</f>
        <v>0</v>
      </c>
      <c r="BJ179" s="21" t="s">
        <v>21</v>
      </c>
      <c r="BK179" s="150">
        <f>ROUND(L179*K179,2)</f>
        <v>0</v>
      </c>
      <c r="BL179" s="21" t="s">
        <v>172</v>
      </c>
      <c r="BM179" s="21" t="s">
        <v>466</v>
      </c>
    </row>
    <row r="180" spans="2:51" s="11" customFormat="1" ht="22.5" customHeight="1">
      <c r="B180" s="159"/>
      <c r="C180" s="160"/>
      <c r="D180" s="160"/>
      <c r="E180" s="161" t="s">
        <v>5</v>
      </c>
      <c r="F180" s="308" t="s">
        <v>467</v>
      </c>
      <c r="G180" s="309"/>
      <c r="H180" s="309"/>
      <c r="I180" s="309"/>
      <c r="J180" s="160"/>
      <c r="K180" s="162">
        <v>91</v>
      </c>
      <c r="L180" s="160"/>
      <c r="M180" s="160"/>
      <c r="N180" s="160"/>
      <c r="O180" s="160"/>
      <c r="P180" s="160"/>
      <c r="Q180" s="160"/>
      <c r="R180" s="163"/>
      <c r="T180" s="164"/>
      <c r="U180" s="160"/>
      <c r="V180" s="160"/>
      <c r="W180" s="160"/>
      <c r="X180" s="160"/>
      <c r="Y180" s="160"/>
      <c r="Z180" s="160"/>
      <c r="AA180" s="165"/>
      <c r="AT180" s="166" t="s">
        <v>179</v>
      </c>
      <c r="AU180" s="166" t="s">
        <v>135</v>
      </c>
      <c r="AV180" s="11" t="s">
        <v>135</v>
      </c>
      <c r="AW180" s="11" t="s">
        <v>35</v>
      </c>
      <c r="AX180" s="11" t="s">
        <v>21</v>
      </c>
      <c r="AY180" s="166" t="s">
        <v>167</v>
      </c>
    </row>
    <row r="181" spans="2:65" s="1" customFormat="1" ht="44.25" customHeight="1">
      <c r="B181" s="141"/>
      <c r="C181" s="142" t="s">
        <v>349</v>
      </c>
      <c r="D181" s="142" t="s">
        <v>168</v>
      </c>
      <c r="E181" s="143" t="s">
        <v>468</v>
      </c>
      <c r="F181" s="293" t="s">
        <v>469</v>
      </c>
      <c r="G181" s="293"/>
      <c r="H181" s="293"/>
      <c r="I181" s="293"/>
      <c r="J181" s="144" t="s">
        <v>199</v>
      </c>
      <c r="K181" s="145">
        <v>2730</v>
      </c>
      <c r="L181" s="294"/>
      <c r="M181" s="294"/>
      <c r="N181" s="294">
        <f>ROUND(L181*K181,2)</f>
        <v>0</v>
      </c>
      <c r="O181" s="294"/>
      <c r="P181" s="294"/>
      <c r="Q181" s="294"/>
      <c r="R181" s="146"/>
      <c r="T181" s="147" t="s">
        <v>5</v>
      </c>
      <c r="U181" s="44" t="s">
        <v>43</v>
      </c>
      <c r="V181" s="148">
        <v>0</v>
      </c>
      <c r="W181" s="148">
        <f>V181*K181</f>
        <v>0</v>
      </c>
      <c r="X181" s="148">
        <v>0</v>
      </c>
      <c r="Y181" s="148">
        <f>X181*K181</f>
        <v>0</v>
      </c>
      <c r="Z181" s="148">
        <v>0</v>
      </c>
      <c r="AA181" s="149">
        <f>Z181*K181</f>
        <v>0</v>
      </c>
      <c r="AR181" s="21" t="s">
        <v>172</v>
      </c>
      <c r="AT181" s="21" t="s">
        <v>168</v>
      </c>
      <c r="AU181" s="21" t="s">
        <v>135</v>
      </c>
      <c r="AY181" s="21" t="s">
        <v>167</v>
      </c>
      <c r="BE181" s="150">
        <f>IF(U181="základní",N181,0)</f>
        <v>0</v>
      </c>
      <c r="BF181" s="150">
        <f>IF(U181="snížená",N181,0)</f>
        <v>0</v>
      </c>
      <c r="BG181" s="150">
        <f>IF(U181="zákl. přenesená",N181,0)</f>
        <v>0</v>
      </c>
      <c r="BH181" s="150">
        <f>IF(U181="sníž. přenesená",N181,0)</f>
        <v>0</v>
      </c>
      <c r="BI181" s="150">
        <f>IF(U181="nulová",N181,0)</f>
        <v>0</v>
      </c>
      <c r="BJ181" s="21" t="s">
        <v>21</v>
      </c>
      <c r="BK181" s="150">
        <f>ROUND(L181*K181,2)</f>
        <v>0</v>
      </c>
      <c r="BL181" s="21" t="s">
        <v>172</v>
      </c>
      <c r="BM181" s="21" t="s">
        <v>470</v>
      </c>
    </row>
    <row r="182" spans="2:51" s="11" customFormat="1" ht="22.5" customHeight="1">
      <c r="B182" s="159"/>
      <c r="C182" s="160"/>
      <c r="D182" s="160"/>
      <c r="E182" s="161" t="s">
        <v>5</v>
      </c>
      <c r="F182" s="308" t="s">
        <v>471</v>
      </c>
      <c r="G182" s="309"/>
      <c r="H182" s="309"/>
      <c r="I182" s="309"/>
      <c r="J182" s="160"/>
      <c r="K182" s="162">
        <v>2730</v>
      </c>
      <c r="L182" s="160"/>
      <c r="M182" s="160"/>
      <c r="N182" s="160"/>
      <c r="O182" s="160"/>
      <c r="P182" s="160"/>
      <c r="Q182" s="160"/>
      <c r="R182" s="163"/>
      <c r="T182" s="164"/>
      <c r="U182" s="160"/>
      <c r="V182" s="160"/>
      <c r="W182" s="160"/>
      <c r="X182" s="160"/>
      <c r="Y182" s="160"/>
      <c r="Z182" s="160"/>
      <c r="AA182" s="165"/>
      <c r="AT182" s="166" t="s">
        <v>179</v>
      </c>
      <c r="AU182" s="166" t="s">
        <v>135</v>
      </c>
      <c r="AV182" s="11" t="s">
        <v>135</v>
      </c>
      <c r="AW182" s="11" t="s">
        <v>35</v>
      </c>
      <c r="AX182" s="11" t="s">
        <v>21</v>
      </c>
      <c r="AY182" s="166" t="s">
        <v>167</v>
      </c>
    </row>
    <row r="183" spans="2:65" s="1" customFormat="1" ht="44.25" customHeight="1">
      <c r="B183" s="141"/>
      <c r="C183" s="142" t="s">
        <v>472</v>
      </c>
      <c r="D183" s="142" t="s">
        <v>168</v>
      </c>
      <c r="E183" s="143" t="s">
        <v>473</v>
      </c>
      <c r="F183" s="293" t="s">
        <v>474</v>
      </c>
      <c r="G183" s="293"/>
      <c r="H183" s="293"/>
      <c r="I183" s="293"/>
      <c r="J183" s="144" t="s">
        <v>199</v>
      </c>
      <c r="K183" s="145">
        <v>91</v>
      </c>
      <c r="L183" s="294"/>
      <c r="M183" s="294"/>
      <c r="N183" s="294">
        <f>ROUND(L183*K183,2)</f>
        <v>0</v>
      </c>
      <c r="O183" s="294"/>
      <c r="P183" s="294"/>
      <c r="Q183" s="294"/>
      <c r="R183" s="146"/>
      <c r="T183" s="147" t="s">
        <v>5</v>
      </c>
      <c r="U183" s="44" t="s">
        <v>43</v>
      </c>
      <c r="V183" s="148">
        <v>0.164</v>
      </c>
      <c r="W183" s="148">
        <f>V183*K183</f>
        <v>14.924000000000001</v>
      </c>
      <c r="X183" s="148">
        <v>0</v>
      </c>
      <c r="Y183" s="148">
        <f>X183*K183</f>
        <v>0</v>
      </c>
      <c r="Z183" s="148">
        <v>0</v>
      </c>
      <c r="AA183" s="149">
        <f>Z183*K183</f>
        <v>0</v>
      </c>
      <c r="AR183" s="21" t="s">
        <v>172</v>
      </c>
      <c r="AT183" s="21" t="s">
        <v>168</v>
      </c>
      <c r="AU183" s="21" t="s">
        <v>135</v>
      </c>
      <c r="AY183" s="21" t="s">
        <v>167</v>
      </c>
      <c r="BE183" s="150">
        <f>IF(U183="základní",N183,0)</f>
        <v>0</v>
      </c>
      <c r="BF183" s="150">
        <f>IF(U183="snížená",N183,0)</f>
        <v>0</v>
      </c>
      <c r="BG183" s="150">
        <f>IF(U183="zákl. přenesená",N183,0)</f>
        <v>0</v>
      </c>
      <c r="BH183" s="150">
        <f>IF(U183="sníž. přenesená",N183,0)</f>
        <v>0</v>
      </c>
      <c r="BI183" s="150">
        <f>IF(U183="nulová",N183,0)</f>
        <v>0</v>
      </c>
      <c r="BJ183" s="21" t="s">
        <v>21</v>
      </c>
      <c r="BK183" s="150">
        <f>ROUND(L183*K183,2)</f>
        <v>0</v>
      </c>
      <c r="BL183" s="21" t="s">
        <v>172</v>
      </c>
      <c r="BM183" s="21" t="s">
        <v>475</v>
      </c>
    </row>
    <row r="184" spans="2:65" s="1" customFormat="1" ht="44.25" customHeight="1">
      <c r="B184" s="141"/>
      <c r="C184" s="142" t="s">
        <v>476</v>
      </c>
      <c r="D184" s="142" t="s">
        <v>168</v>
      </c>
      <c r="E184" s="143" t="s">
        <v>345</v>
      </c>
      <c r="F184" s="293" t="s">
        <v>346</v>
      </c>
      <c r="G184" s="293"/>
      <c r="H184" s="293"/>
      <c r="I184" s="293"/>
      <c r="J184" s="144" t="s">
        <v>199</v>
      </c>
      <c r="K184" s="145">
        <v>285</v>
      </c>
      <c r="L184" s="294"/>
      <c r="M184" s="294"/>
      <c r="N184" s="294">
        <f>ROUND(L184*K184,2)</f>
        <v>0</v>
      </c>
      <c r="O184" s="294"/>
      <c r="P184" s="294"/>
      <c r="Q184" s="294"/>
      <c r="R184" s="146"/>
      <c r="T184" s="147" t="s">
        <v>5</v>
      </c>
      <c r="U184" s="44" t="s">
        <v>43</v>
      </c>
      <c r="V184" s="148">
        <v>0.126</v>
      </c>
      <c r="W184" s="148">
        <f>V184*K184</f>
        <v>35.910000000000004</v>
      </c>
      <c r="X184" s="148">
        <v>0.00021</v>
      </c>
      <c r="Y184" s="148">
        <f>X184*K184</f>
        <v>0.05985</v>
      </c>
      <c r="Z184" s="148">
        <v>0</v>
      </c>
      <c r="AA184" s="149">
        <f>Z184*K184</f>
        <v>0</v>
      </c>
      <c r="AR184" s="21" t="s">
        <v>172</v>
      </c>
      <c r="AT184" s="21" t="s">
        <v>168</v>
      </c>
      <c r="AU184" s="21" t="s">
        <v>135</v>
      </c>
      <c r="AY184" s="21" t="s">
        <v>167</v>
      </c>
      <c r="BE184" s="150">
        <f>IF(U184="základní",N184,0)</f>
        <v>0</v>
      </c>
      <c r="BF184" s="150">
        <f>IF(U184="snížená",N184,0)</f>
        <v>0</v>
      </c>
      <c r="BG184" s="150">
        <f>IF(U184="zákl. přenesená",N184,0)</f>
        <v>0</v>
      </c>
      <c r="BH184" s="150">
        <f>IF(U184="sníž. přenesená",N184,0)</f>
        <v>0</v>
      </c>
      <c r="BI184" s="150">
        <f>IF(U184="nulová",N184,0)</f>
        <v>0</v>
      </c>
      <c r="BJ184" s="21" t="s">
        <v>21</v>
      </c>
      <c r="BK184" s="150">
        <f>ROUND(L184*K184,2)</f>
        <v>0</v>
      </c>
      <c r="BL184" s="21" t="s">
        <v>172</v>
      </c>
      <c r="BM184" s="21" t="s">
        <v>347</v>
      </c>
    </row>
    <row r="185" spans="2:63" s="9" customFormat="1" ht="29.85" customHeight="1">
      <c r="B185" s="130"/>
      <c r="C185" s="131"/>
      <c r="D185" s="140" t="s">
        <v>151</v>
      </c>
      <c r="E185" s="140"/>
      <c r="F185" s="140"/>
      <c r="G185" s="140"/>
      <c r="H185" s="140"/>
      <c r="I185" s="140"/>
      <c r="J185" s="140"/>
      <c r="K185" s="140"/>
      <c r="L185" s="140"/>
      <c r="M185" s="140"/>
      <c r="N185" s="310">
        <f>BK185</f>
        <v>0</v>
      </c>
      <c r="O185" s="311"/>
      <c r="P185" s="311"/>
      <c r="Q185" s="311"/>
      <c r="R185" s="133"/>
      <c r="T185" s="134"/>
      <c r="U185" s="131"/>
      <c r="V185" s="131"/>
      <c r="W185" s="135">
        <f>W186</f>
        <v>50.222592000000006</v>
      </c>
      <c r="X185" s="131"/>
      <c r="Y185" s="135">
        <f>Y186</f>
        <v>0</v>
      </c>
      <c r="Z185" s="131"/>
      <c r="AA185" s="136">
        <f>AA186</f>
        <v>0</v>
      </c>
      <c r="AR185" s="137" t="s">
        <v>21</v>
      </c>
      <c r="AT185" s="138" t="s">
        <v>77</v>
      </c>
      <c r="AU185" s="138" t="s">
        <v>21</v>
      </c>
      <c r="AY185" s="137" t="s">
        <v>167</v>
      </c>
      <c r="BK185" s="139">
        <f>BK186</f>
        <v>0</v>
      </c>
    </row>
    <row r="186" spans="2:65" s="1" customFormat="1" ht="22.5" customHeight="1">
      <c r="B186" s="141"/>
      <c r="C186" s="142" t="s">
        <v>477</v>
      </c>
      <c r="D186" s="142" t="s">
        <v>168</v>
      </c>
      <c r="E186" s="143" t="s">
        <v>222</v>
      </c>
      <c r="F186" s="293" t="s">
        <v>223</v>
      </c>
      <c r="G186" s="293"/>
      <c r="H186" s="293"/>
      <c r="I186" s="293"/>
      <c r="J186" s="144" t="s">
        <v>210</v>
      </c>
      <c r="K186" s="145">
        <v>149.472</v>
      </c>
      <c r="L186" s="294"/>
      <c r="M186" s="294"/>
      <c r="N186" s="294">
        <f>ROUND(L186*K186,2)</f>
        <v>0</v>
      </c>
      <c r="O186" s="294"/>
      <c r="P186" s="294"/>
      <c r="Q186" s="294"/>
      <c r="R186" s="146"/>
      <c r="T186" s="147" t="s">
        <v>5</v>
      </c>
      <c r="U186" s="44" t="s">
        <v>43</v>
      </c>
      <c r="V186" s="148">
        <v>0.336</v>
      </c>
      <c r="W186" s="148">
        <f>V186*K186</f>
        <v>50.222592000000006</v>
      </c>
      <c r="X186" s="148">
        <v>0</v>
      </c>
      <c r="Y186" s="148">
        <f>X186*K186</f>
        <v>0</v>
      </c>
      <c r="Z186" s="148">
        <v>0</v>
      </c>
      <c r="AA186" s="149">
        <f>Z186*K186</f>
        <v>0</v>
      </c>
      <c r="AR186" s="21" t="s">
        <v>172</v>
      </c>
      <c r="AT186" s="21" t="s">
        <v>168</v>
      </c>
      <c r="AU186" s="21" t="s">
        <v>135</v>
      </c>
      <c r="AY186" s="21" t="s">
        <v>167</v>
      </c>
      <c r="BE186" s="150">
        <f>IF(U186="základní",N186,0)</f>
        <v>0</v>
      </c>
      <c r="BF186" s="150">
        <f>IF(U186="snížená",N186,0)</f>
        <v>0</v>
      </c>
      <c r="BG186" s="150">
        <f>IF(U186="zákl. přenesená",N186,0)</f>
        <v>0</v>
      </c>
      <c r="BH186" s="150">
        <f>IF(U186="sníž. přenesená",N186,0)</f>
        <v>0</v>
      </c>
      <c r="BI186" s="150">
        <f>IF(U186="nulová",N186,0)</f>
        <v>0</v>
      </c>
      <c r="BJ186" s="21" t="s">
        <v>21</v>
      </c>
      <c r="BK186" s="150">
        <f>ROUND(L186*K186,2)</f>
        <v>0</v>
      </c>
      <c r="BL186" s="21" t="s">
        <v>172</v>
      </c>
      <c r="BM186" s="21" t="s">
        <v>350</v>
      </c>
    </row>
    <row r="187" spans="2:63" s="9" customFormat="1" ht="37.35" customHeight="1">
      <c r="B187" s="130"/>
      <c r="C187" s="131"/>
      <c r="D187" s="132" t="s">
        <v>387</v>
      </c>
      <c r="E187" s="132"/>
      <c r="F187" s="132"/>
      <c r="G187" s="132"/>
      <c r="H187" s="132"/>
      <c r="I187" s="132"/>
      <c r="J187" s="132"/>
      <c r="K187" s="132"/>
      <c r="L187" s="132"/>
      <c r="M187" s="132"/>
      <c r="N187" s="315">
        <f>BK187</f>
        <v>0</v>
      </c>
      <c r="O187" s="316"/>
      <c r="P187" s="316"/>
      <c r="Q187" s="316"/>
      <c r="R187" s="133"/>
      <c r="T187" s="134"/>
      <c r="U187" s="131"/>
      <c r="V187" s="131"/>
      <c r="W187" s="135">
        <f>W188</f>
        <v>1.5</v>
      </c>
      <c r="X187" s="131"/>
      <c r="Y187" s="135">
        <f>Y188</f>
        <v>0</v>
      </c>
      <c r="Z187" s="131"/>
      <c r="AA187" s="136">
        <f>AA188</f>
        <v>0</v>
      </c>
      <c r="AR187" s="137" t="s">
        <v>135</v>
      </c>
      <c r="AT187" s="138" t="s">
        <v>77</v>
      </c>
      <c r="AU187" s="138" t="s">
        <v>78</v>
      </c>
      <c r="AY187" s="137" t="s">
        <v>167</v>
      </c>
      <c r="BK187" s="139">
        <f>BK188</f>
        <v>0</v>
      </c>
    </row>
    <row r="188" spans="2:63" s="9" customFormat="1" ht="19.9" customHeight="1">
      <c r="B188" s="130"/>
      <c r="C188" s="131"/>
      <c r="D188" s="140" t="s">
        <v>412</v>
      </c>
      <c r="E188" s="140"/>
      <c r="F188" s="140"/>
      <c r="G188" s="140"/>
      <c r="H188" s="140"/>
      <c r="I188" s="140"/>
      <c r="J188" s="140"/>
      <c r="K188" s="140"/>
      <c r="L188" s="140"/>
      <c r="M188" s="140"/>
      <c r="N188" s="298">
        <f>BK188</f>
        <v>0</v>
      </c>
      <c r="O188" s="299"/>
      <c r="P188" s="299"/>
      <c r="Q188" s="299"/>
      <c r="R188" s="133"/>
      <c r="T188" s="134"/>
      <c r="U188" s="131"/>
      <c r="V188" s="131"/>
      <c r="W188" s="135">
        <f>W189</f>
        <v>1.5</v>
      </c>
      <c r="X188" s="131"/>
      <c r="Y188" s="135">
        <f>Y189</f>
        <v>0</v>
      </c>
      <c r="Z188" s="131"/>
      <c r="AA188" s="136">
        <f>AA189</f>
        <v>0</v>
      </c>
      <c r="AR188" s="137" t="s">
        <v>135</v>
      </c>
      <c r="AT188" s="138" t="s">
        <v>77</v>
      </c>
      <c r="AU188" s="138" t="s">
        <v>21</v>
      </c>
      <c r="AY188" s="137" t="s">
        <v>167</v>
      </c>
      <c r="BK188" s="139">
        <f>BK189</f>
        <v>0</v>
      </c>
    </row>
    <row r="189" spans="2:65" s="1" customFormat="1" ht="31.5" customHeight="1">
      <c r="B189" s="141"/>
      <c r="C189" s="142" t="s">
        <v>478</v>
      </c>
      <c r="D189" s="142" t="s">
        <v>168</v>
      </c>
      <c r="E189" s="143" t="s">
        <v>479</v>
      </c>
      <c r="F189" s="293" t="s">
        <v>480</v>
      </c>
      <c r="G189" s="293"/>
      <c r="H189" s="293"/>
      <c r="I189" s="293"/>
      <c r="J189" s="144" t="s">
        <v>259</v>
      </c>
      <c r="K189" s="145">
        <v>12.5</v>
      </c>
      <c r="L189" s="294"/>
      <c r="M189" s="294"/>
      <c r="N189" s="294">
        <f>ROUND(L189*K189,2)</f>
        <v>0</v>
      </c>
      <c r="O189" s="294"/>
      <c r="P189" s="294"/>
      <c r="Q189" s="294"/>
      <c r="R189" s="146"/>
      <c r="T189" s="147" t="s">
        <v>5</v>
      </c>
      <c r="U189" s="175" t="s">
        <v>43</v>
      </c>
      <c r="V189" s="176">
        <v>0.12</v>
      </c>
      <c r="W189" s="176">
        <f>V189*K189</f>
        <v>1.5</v>
      </c>
      <c r="X189" s="176">
        <v>0</v>
      </c>
      <c r="Y189" s="176">
        <f>X189*K189</f>
        <v>0</v>
      </c>
      <c r="Z189" s="176">
        <v>0</v>
      </c>
      <c r="AA189" s="177">
        <f>Z189*K189</f>
        <v>0</v>
      </c>
      <c r="AR189" s="21" t="s">
        <v>281</v>
      </c>
      <c r="AT189" s="21" t="s">
        <v>168</v>
      </c>
      <c r="AU189" s="21" t="s">
        <v>135</v>
      </c>
      <c r="AY189" s="21" t="s">
        <v>167</v>
      </c>
      <c r="BE189" s="150">
        <f>IF(U189="základní",N189,0)</f>
        <v>0</v>
      </c>
      <c r="BF189" s="150">
        <f>IF(U189="snížená",N189,0)</f>
        <v>0</v>
      </c>
      <c r="BG189" s="150">
        <f>IF(U189="zákl. přenesená",N189,0)</f>
        <v>0</v>
      </c>
      <c r="BH189" s="150">
        <f>IF(U189="sníž. přenesená",N189,0)</f>
        <v>0</v>
      </c>
      <c r="BI189" s="150">
        <f>IF(U189="nulová",N189,0)</f>
        <v>0</v>
      </c>
      <c r="BJ189" s="21" t="s">
        <v>21</v>
      </c>
      <c r="BK189" s="150">
        <f>ROUND(L189*K189,2)</f>
        <v>0</v>
      </c>
      <c r="BL189" s="21" t="s">
        <v>281</v>
      </c>
      <c r="BM189" s="21" t="s">
        <v>481</v>
      </c>
    </row>
    <row r="190" spans="2:18" s="1" customFormat="1" ht="6.95" customHeight="1"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1"/>
    </row>
  </sheetData>
  <mergeCells count="197">
    <mergeCell ref="H1:K1"/>
    <mergeCell ref="S2:AC2"/>
    <mergeCell ref="F186:I186"/>
    <mergeCell ref="L186:M186"/>
    <mergeCell ref="N186:Q186"/>
    <mergeCell ref="F189:I189"/>
    <mergeCell ref="L189:M189"/>
    <mergeCell ref="N189:Q189"/>
    <mergeCell ref="N118:Q118"/>
    <mergeCell ref="N119:Q119"/>
    <mergeCell ref="N120:Q120"/>
    <mergeCell ref="N133:Q133"/>
    <mergeCell ref="N149:Q149"/>
    <mergeCell ref="N159:Q159"/>
    <mergeCell ref="N178:Q178"/>
    <mergeCell ref="N185:Q185"/>
    <mergeCell ref="N187:Q187"/>
    <mergeCell ref="N188:Q188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L184:M184"/>
    <mergeCell ref="N184:Q184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9:I179"/>
    <mergeCell ref="L179:M179"/>
    <mergeCell ref="N179:Q179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58:I158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47:I147"/>
    <mergeCell ref="L147:M147"/>
    <mergeCell ref="N147:Q147"/>
    <mergeCell ref="F148:I148"/>
    <mergeCell ref="F150:I150"/>
    <mergeCell ref="L150:M150"/>
    <mergeCell ref="N150:Q150"/>
    <mergeCell ref="F151:I151"/>
    <mergeCell ref="F152:I152"/>
    <mergeCell ref="L152:M152"/>
    <mergeCell ref="N152:Q152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31:I131"/>
    <mergeCell ref="F132:I132"/>
    <mergeCell ref="F134:I134"/>
    <mergeCell ref="L134:M134"/>
    <mergeCell ref="N134:Q134"/>
    <mergeCell ref="F135:I135"/>
    <mergeCell ref="F136:I136"/>
    <mergeCell ref="L136:M136"/>
    <mergeCell ref="N136:Q13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1:I121"/>
    <mergeCell ref="L121:M121"/>
    <mergeCell ref="N121:Q121"/>
    <mergeCell ref="F122:I122"/>
    <mergeCell ref="F123:I123"/>
    <mergeCell ref="F124:I124"/>
    <mergeCell ref="F125:I125"/>
    <mergeCell ref="F126:I126"/>
    <mergeCell ref="F127:I127"/>
    <mergeCell ref="L127:M127"/>
    <mergeCell ref="N127:Q12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1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220"/>
  <sheetViews>
    <sheetView showGridLines="0" view="pageBreakPreview" zoomScaleSheetLayoutView="100" workbookViewId="0" topLeftCell="A1">
      <pane ySplit="1" topLeftCell="A205" activePane="bottomLeft" state="frozen"/>
      <selection pane="topLeft" activeCell="AE85" sqref="AE84:AE85"/>
      <selection pane="bottomLeft" activeCell="AD231" sqref="AD2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101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482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34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N98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ROUNDUP((SUM(BE98:BE99)+SUM(BE117:BE219)),2)</f>
        <v>0</v>
      </c>
      <c r="I32" s="275"/>
      <c r="J32" s="275"/>
      <c r="K32" s="36"/>
      <c r="L32" s="36"/>
      <c r="M32" s="279">
        <f>ROUNDUP(ROUNDUP((SUM(BE98:BE99)+SUM(BE117:BE219)),2)*F32,1)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ROUNDUP((SUM(BF98:BF99)+SUM(BF117:BF219)),2)</f>
        <v>0</v>
      </c>
      <c r="I33" s="275"/>
      <c r="J33" s="275"/>
      <c r="K33" s="36"/>
      <c r="L33" s="36"/>
      <c r="M33" s="279">
        <f>ROUNDUP(ROUNDUP((SUM(BF98:BF99)+SUM(BF117:BF219)),2)*F33,1)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ROUNDUP((SUM(BG98:BG99)+SUM(BG117:BG219)),2)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ROUNDUP((SUM(BH98:BH99)+SUM(BH117:BH219)),2)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ROUNDUP((SUM(BI98:BI99)+SUM(BI117:BI219)),2)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 xml:space="preserve">SO.1.06 - Objekt ČOV - propojovací potrubí 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N117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N118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N119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483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N162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150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N175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228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N202</f>
        <v>0</v>
      </c>
      <c r="O93" s="288"/>
      <c r="P93" s="288"/>
      <c r="Q93" s="288"/>
      <c r="R93" s="120"/>
    </row>
    <row r="94" spans="2:18" s="7" customFormat="1" ht="14.85" customHeight="1">
      <c r="B94" s="117"/>
      <c r="C94" s="118"/>
      <c r="D94" s="119" t="s">
        <v>484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N206</f>
        <v>0</v>
      </c>
      <c r="O94" s="288"/>
      <c r="P94" s="288"/>
      <c r="Q94" s="288"/>
      <c r="R94" s="120"/>
    </row>
    <row r="95" spans="2:18" s="6" customFormat="1" ht="24.95" customHeight="1">
      <c r="B95" s="113"/>
      <c r="C95" s="114"/>
      <c r="D95" s="115" t="s">
        <v>387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85">
        <f>N208</f>
        <v>0</v>
      </c>
      <c r="O95" s="286"/>
      <c r="P95" s="286"/>
      <c r="Q95" s="286"/>
      <c r="R95" s="116"/>
    </row>
    <row r="96" spans="2:18" s="7" customFormat="1" ht="19.9" customHeight="1">
      <c r="B96" s="117"/>
      <c r="C96" s="118"/>
      <c r="D96" s="119" t="s">
        <v>485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87">
        <f>N209</f>
        <v>0</v>
      </c>
      <c r="O96" s="288"/>
      <c r="P96" s="288"/>
      <c r="Q96" s="288"/>
      <c r="R96" s="120"/>
    </row>
    <row r="97" spans="2:18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2" t="s">
        <v>152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84">
        <v>0</v>
      </c>
      <c r="O98" s="289"/>
      <c r="P98" s="289"/>
      <c r="Q98" s="289"/>
      <c r="R98" s="37"/>
      <c r="T98" s="121"/>
      <c r="U98" s="122" t="s">
        <v>42</v>
      </c>
    </row>
    <row r="99" spans="2:18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18" s="1" customFormat="1" ht="29.25" customHeight="1">
      <c r="B100" s="35"/>
      <c r="C100" s="103" t="s">
        <v>129</v>
      </c>
      <c r="D100" s="104"/>
      <c r="E100" s="104"/>
      <c r="F100" s="104"/>
      <c r="G100" s="104"/>
      <c r="H100" s="104"/>
      <c r="I100" s="104"/>
      <c r="J100" s="104"/>
      <c r="K100" s="104"/>
      <c r="L100" s="268">
        <f>ROUNDUP(SUM(N88+N98),2)</f>
        <v>0</v>
      </c>
      <c r="M100" s="268"/>
      <c r="N100" s="268"/>
      <c r="O100" s="268"/>
      <c r="P100" s="268"/>
      <c r="Q100" s="268"/>
      <c r="R100" s="37"/>
    </row>
    <row r="101" spans="2:18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18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5" customHeight="1">
      <c r="B106" s="35"/>
      <c r="C106" s="237" t="s">
        <v>153</v>
      </c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2" t="s">
        <v>16</v>
      </c>
      <c r="D108" s="36"/>
      <c r="E108" s="36"/>
      <c r="F108" s="273" t="str">
        <f>F6</f>
        <v>ČOV a splašková kanalizace Žinkovy</v>
      </c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36"/>
      <c r="R108" s="37"/>
    </row>
    <row r="109" spans="2:18" s="1" customFormat="1" ht="36.95" customHeight="1">
      <c r="B109" s="35"/>
      <c r="C109" s="69" t="s">
        <v>137</v>
      </c>
      <c r="D109" s="36"/>
      <c r="E109" s="36"/>
      <c r="F109" s="254" t="str">
        <f>F7</f>
        <v xml:space="preserve">SO.1.06 - Objekt ČOV - propojovací potrubí </v>
      </c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36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18" customHeight="1">
      <c r="B111" s="35"/>
      <c r="C111" s="32" t="s">
        <v>22</v>
      </c>
      <c r="D111" s="36"/>
      <c r="E111" s="36"/>
      <c r="F111" s="30" t="str">
        <f>F9</f>
        <v>Žinkovy</v>
      </c>
      <c r="G111" s="36"/>
      <c r="H111" s="36"/>
      <c r="I111" s="36"/>
      <c r="J111" s="36"/>
      <c r="K111" s="32" t="s">
        <v>24</v>
      </c>
      <c r="L111" s="36"/>
      <c r="M111" s="276">
        <f>IF(O9="","",O9)</f>
        <v>42912</v>
      </c>
      <c r="N111" s="276"/>
      <c r="O111" s="276"/>
      <c r="P111" s="276"/>
      <c r="Q111" s="36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5">
      <c r="B113" s="35"/>
      <c r="C113" s="32" t="s">
        <v>27</v>
      </c>
      <c r="D113" s="36"/>
      <c r="E113" s="36"/>
      <c r="F113" s="30" t="str">
        <f>E12</f>
        <v>Obec Žinkovy</v>
      </c>
      <c r="G113" s="36"/>
      <c r="H113" s="36"/>
      <c r="I113" s="36"/>
      <c r="J113" s="36"/>
      <c r="K113" s="32" t="s">
        <v>33</v>
      </c>
      <c r="L113" s="36"/>
      <c r="M113" s="277" t="str">
        <f>E18</f>
        <v>PIK Vítek</v>
      </c>
      <c r="N113" s="277"/>
      <c r="O113" s="277"/>
      <c r="P113" s="277"/>
      <c r="Q113" s="277"/>
      <c r="R113" s="37"/>
    </row>
    <row r="114" spans="2:18" s="1" customFormat="1" ht="14.45" customHeight="1">
      <c r="B114" s="35"/>
      <c r="C114" s="32" t="s">
        <v>31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36</v>
      </c>
      <c r="L114" s="36"/>
      <c r="M114" s="277" t="str">
        <f>E21</f>
        <v>Acrone s.r.o.</v>
      </c>
      <c r="N114" s="277"/>
      <c r="O114" s="277"/>
      <c r="P114" s="277"/>
      <c r="Q114" s="277"/>
      <c r="R114" s="37"/>
    </row>
    <row r="115" spans="2:18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27" s="8" customFormat="1" ht="29.25" customHeight="1">
      <c r="B116" s="123"/>
      <c r="C116" s="124" t="s">
        <v>154</v>
      </c>
      <c r="D116" s="125" t="s">
        <v>155</v>
      </c>
      <c r="E116" s="125" t="s">
        <v>60</v>
      </c>
      <c r="F116" s="290" t="s">
        <v>156</v>
      </c>
      <c r="G116" s="290"/>
      <c r="H116" s="290"/>
      <c r="I116" s="290"/>
      <c r="J116" s="125" t="s">
        <v>157</v>
      </c>
      <c r="K116" s="125" t="s">
        <v>158</v>
      </c>
      <c r="L116" s="291" t="s">
        <v>159</v>
      </c>
      <c r="M116" s="291"/>
      <c r="N116" s="290" t="s">
        <v>144</v>
      </c>
      <c r="O116" s="290"/>
      <c r="P116" s="290"/>
      <c r="Q116" s="292"/>
      <c r="R116" s="126"/>
      <c r="T116" s="76" t="s">
        <v>160</v>
      </c>
      <c r="U116" s="77" t="s">
        <v>42</v>
      </c>
      <c r="V116" s="77" t="s">
        <v>161</v>
      </c>
      <c r="W116" s="77" t="s">
        <v>162</v>
      </c>
      <c r="X116" s="77" t="s">
        <v>163</v>
      </c>
      <c r="Y116" s="77" t="s">
        <v>164</v>
      </c>
      <c r="Z116" s="77" t="s">
        <v>165</v>
      </c>
      <c r="AA116" s="78" t="s">
        <v>166</v>
      </c>
    </row>
    <row r="117" spans="2:63" s="1" customFormat="1" ht="29.25" customHeight="1">
      <c r="B117" s="35"/>
      <c r="C117" s="80" t="s">
        <v>140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95">
        <f>BK117</f>
        <v>0</v>
      </c>
      <c r="O117" s="296"/>
      <c r="P117" s="296"/>
      <c r="Q117" s="296"/>
      <c r="R117" s="37"/>
      <c r="T117" s="79"/>
      <c r="U117" s="51"/>
      <c r="V117" s="51"/>
      <c r="W117" s="127">
        <f>W118+W208</f>
        <v>628.7740009999999</v>
      </c>
      <c r="X117" s="51"/>
      <c r="Y117" s="127">
        <f>Y118+Y208</f>
        <v>21.8394885</v>
      </c>
      <c r="Z117" s="51"/>
      <c r="AA117" s="128">
        <f>AA118+AA208</f>
        <v>0</v>
      </c>
      <c r="AT117" s="21" t="s">
        <v>77</v>
      </c>
      <c r="AU117" s="21" t="s">
        <v>146</v>
      </c>
      <c r="BK117" s="129">
        <f>BK118+BK208</f>
        <v>0</v>
      </c>
    </row>
    <row r="118" spans="2:63" s="9" customFormat="1" ht="37.35" customHeight="1">
      <c r="B118" s="130"/>
      <c r="C118" s="131"/>
      <c r="D118" s="132" t="s">
        <v>147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297">
        <f>BK118</f>
        <v>0</v>
      </c>
      <c r="O118" s="285"/>
      <c r="P118" s="285"/>
      <c r="Q118" s="285"/>
      <c r="R118" s="133"/>
      <c r="T118" s="134"/>
      <c r="U118" s="131"/>
      <c r="V118" s="131"/>
      <c r="W118" s="135">
        <f>W119+W162+W175+W202</f>
        <v>580.0449679999999</v>
      </c>
      <c r="X118" s="131"/>
      <c r="Y118" s="135">
        <f>Y119+Y162+Y175+Y202</f>
        <v>20.0678376</v>
      </c>
      <c r="Z118" s="131"/>
      <c r="AA118" s="136">
        <f>AA119+AA162+AA175+AA202</f>
        <v>0</v>
      </c>
      <c r="AR118" s="137" t="s">
        <v>21</v>
      </c>
      <c r="AT118" s="138" t="s">
        <v>77</v>
      </c>
      <c r="AU118" s="138" t="s">
        <v>78</v>
      </c>
      <c r="AY118" s="137" t="s">
        <v>167</v>
      </c>
      <c r="BK118" s="139">
        <f>BK119+BK162+BK175+BK202</f>
        <v>0</v>
      </c>
    </row>
    <row r="119" spans="2:63" s="9" customFormat="1" ht="19.9" customHeight="1">
      <c r="B119" s="130"/>
      <c r="C119" s="131"/>
      <c r="D119" s="140" t="s">
        <v>148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98">
        <f>BK119</f>
        <v>0</v>
      </c>
      <c r="O119" s="299"/>
      <c r="P119" s="299"/>
      <c r="Q119" s="299"/>
      <c r="R119" s="133"/>
      <c r="T119" s="134"/>
      <c r="U119" s="131"/>
      <c r="V119" s="131"/>
      <c r="W119" s="135">
        <f>SUM(W120:W161)</f>
        <v>419.744448</v>
      </c>
      <c r="X119" s="131"/>
      <c r="Y119" s="135">
        <f>SUM(Y120:Y161)</f>
        <v>0</v>
      </c>
      <c r="Z119" s="131"/>
      <c r="AA119" s="136">
        <f>SUM(AA120:AA161)</f>
        <v>0</v>
      </c>
      <c r="AR119" s="137" t="s">
        <v>21</v>
      </c>
      <c r="AT119" s="138" t="s">
        <v>77</v>
      </c>
      <c r="AU119" s="138" t="s">
        <v>21</v>
      </c>
      <c r="AY119" s="137" t="s">
        <v>167</v>
      </c>
      <c r="BK119" s="139">
        <f>SUM(BK120:BK161)</f>
        <v>0</v>
      </c>
    </row>
    <row r="120" spans="2:65" s="1" customFormat="1" ht="31.5" customHeight="1">
      <c r="B120" s="141"/>
      <c r="C120" s="142" t="s">
        <v>21</v>
      </c>
      <c r="D120" s="142" t="s">
        <v>168</v>
      </c>
      <c r="E120" s="143" t="s">
        <v>486</v>
      </c>
      <c r="F120" s="293" t="s">
        <v>487</v>
      </c>
      <c r="G120" s="293"/>
      <c r="H120" s="293"/>
      <c r="I120" s="293"/>
      <c r="J120" s="144" t="s">
        <v>176</v>
      </c>
      <c r="K120" s="145">
        <v>51</v>
      </c>
      <c r="L120" s="294"/>
      <c r="M120" s="294"/>
      <c r="N120" s="294">
        <f>ROUND(L120*K120,2)</f>
        <v>0</v>
      </c>
      <c r="O120" s="294"/>
      <c r="P120" s="294"/>
      <c r="Q120" s="294"/>
      <c r="R120" s="146"/>
      <c r="T120" s="147" t="s">
        <v>5</v>
      </c>
      <c r="U120" s="44" t="s">
        <v>43</v>
      </c>
      <c r="V120" s="148">
        <v>0.871</v>
      </c>
      <c r="W120" s="148">
        <f>V120*K120</f>
        <v>44.421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172</v>
      </c>
      <c r="AT120" s="21" t="s">
        <v>168</v>
      </c>
      <c r="AU120" s="21" t="s">
        <v>135</v>
      </c>
      <c r="AY120" s="21" t="s">
        <v>167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21</v>
      </c>
      <c r="BK120" s="150">
        <f>ROUND(L120*K120,2)</f>
        <v>0</v>
      </c>
      <c r="BL120" s="21" t="s">
        <v>172</v>
      </c>
      <c r="BM120" s="21" t="s">
        <v>488</v>
      </c>
    </row>
    <row r="121" spans="2:51" s="11" customFormat="1" ht="22.5" customHeight="1">
      <c r="B121" s="159"/>
      <c r="C121" s="160"/>
      <c r="D121" s="160"/>
      <c r="E121" s="161" t="s">
        <v>5</v>
      </c>
      <c r="F121" s="308" t="s">
        <v>489</v>
      </c>
      <c r="G121" s="309"/>
      <c r="H121" s="309"/>
      <c r="I121" s="309"/>
      <c r="J121" s="160"/>
      <c r="K121" s="162">
        <v>51</v>
      </c>
      <c r="L121" s="160"/>
      <c r="M121" s="160"/>
      <c r="N121" s="160"/>
      <c r="O121" s="160"/>
      <c r="P121" s="160"/>
      <c r="Q121" s="160"/>
      <c r="R121" s="163"/>
      <c r="T121" s="164"/>
      <c r="U121" s="160"/>
      <c r="V121" s="160"/>
      <c r="W121" s="160"/>
      <c r="X121" s="160"/>
      <c r="Y121" s="160"/>
      <c r="Z121" s="160"/>
      <c r="AA121" s="165"/>
      <c r="AT121" s="166" t="s">
        <v>179</v>
      </c>
      <c r="AU121" s="166" t="s">
        <v>135</v>
      </c>
      <c r="AV121" s="11" t="s">
        <v>135</v>
      </c>
      <c r="AW121" s="11" t="s">
        <v>35</v>
      </c>
      <c r="AX121" s="11" t="s">
        <v>21</v>
      </c>
      <c r="AY121" s="166" t="s">
        <v>167</v>
      </c>
    </row>
    <row r="122" spans="2:65" s="1" customFormat="1" ht="31.5" customHeight="1">
      <c r="B122" s="141"/>
      <c r="C122" s="142" t="s">
        <v>135</v>
      </c>
      <c r="D122" s="142" t="s">
        <v>168</v>
      </c>
      <c r="E122" s="143" t="s">
        <v>245</v>
      </c>
      <c r="F122" s="293" t="s">
        <v>246</v>
      </c>
      <c r="G122" s="293"/>
      <c r="H122" s="293"/>
      <c r="I122" s="293"/>
      <c r="J122" s="144" t="s">
        <v>176</v>
      </c>
      <c r="K122" s="145">
        <v>51</v>
      </c>
      <c r="L122" s="294"/>
      <c r="M122" s="294"/>
      <c r="N122" s="294">
        <f>ROUND(L122*K122,2)</f>
        <v>0</v>
      </c>
      <c r="O122" s="294"/>
      <c r="P122" s="294"/>
      <c r="Q122" s="294"/>
      <c r="R122" s="146"/>
      <c r="T122" s="147" t="s">
        <v>5</v>
      </c>
      <c r="U122" s="44" t="s">
        <v>43</v>
      </c>
      <c r="V122" s="148">
        <v>0.04</v>
      </c>
      <c r="W122" s="148">
        <f>V122*K122</f>
        <v>2.04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172</v>
      </c>
      <c r="AT122" s="21" t="s">
        <v>168</v>
      </c>
      <c r="AU122" s="21" t="s">
        <v>135</v>
      </c>
      <c r="AY122" s="21" t="s">
        <v>167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21</v>
      </c>
      <c r="BK122" s="150">
        <f>ROUND(L122*K122,2)</f>
        <v>0</v>
      </c>
      <c r="BL122" s="21" t="s">
        <v>172</v>
      </c>
      <c r="BM122" s="21" t="s">
        <v>490</v>
      </c>
    </row>
    <row r="123" spans="2:65" s="1" customFormat="1" ht="31.5" customHeight="1">
      <c r="B123" s="141"/>
      <c r="C123" s="142" t="s">
        <v>184</v>
      </c>
      <c r="D123" s="142" t="s">
        <v>168</v>
      </c>
      <c r="E123" s="143" t="s">
        <v>491</v>
      </c>
      <c r="F123" s="293" t="s">
        <v>492</v>
      </c>
      <c r="G123" s="293"/>
      <c r="H123" s="293"/>
      <c r="I123" s="293"/>
      <c r="J123" s="144" t="s">
        <v>176</v>
      </c>
      <c r="K123" s="145">
        <v>84.12</v>
      </c>
      <c r="L123" s="294"/>
      <c r="M123" s="294"/>
      <c r="N123" s="294">
        <f>ROUND(L123*K123,2)</f>
        <v>0</v>
      </c>
      <c r="O123" s="294"/>
      <c r="P123" s="294"/>
      <c r="Q123" s="294"/>
      <c r="R123" s="146"/>
      <c r="T123" s="147" t="s">
        <v>5</v>
      </c>
      <c r="U123" s="44" t="s">
        <v>43</v>
      </c>
      <c r="V123" s="148">
        <v>1.444</v>
      </c>
      <c r="W123" s="148">
        <f>V123*K123</f>
        <v>121.46928</v>
      </c>
      <c r="X123" s="148">
        <v>0</v>
      </c>
      <c r="Y123" s="148">
        <f>X123*K123</f>
        <v>0</v>
      </c>
      <c r="Z123" s="148">
        <v>0</v>
      </c>
      <c r="AA123" s="149">
        <f>Z123*K123</f>
        <v>0</v>
      </c>
      <c r="AR123" s="21" t="s">
        <v>172</v>
      </c>
      <c r="AT123" s="21" t="s">
        <v>168</v>
      </c>
      <c r="AU123" s="21" t="s">
        <v>135</v>
      </c>
      <c r="AY123" s="21" t="s">
        <v>167</v>
      </c>
      <c r="BE123" s="150">
        <f>IF(U123="základní",N123,0)</f>
        <v>0</v>
      </c>
      <c r="BF123" s="150">
        <f>IF(U123="snížená",N123,0)</f>
        <v>0</v>
      </c>
      <c r="BG123" s="150">
        <f>IF(U123="zákl. přenesená",N123,0)</f>
        <v>0</v>
      </c>
      <c r="BH123" s="150">
        <f>IF(U123="sníž. přenesená",N123,0)</f>
        <v>0</v>
      </c>
      <c r="BI123" s="150">
        <f>IF(U123="nulová",N123,0)</f>
        <v>0</v>
      </c>
      <c r="BJ123" s="21" t="s">
        <v>21</v>
      </c>
      <c r="BK123" s="150">
        <f>ROUND(L123*K123,2)</f>
        <v>0</v>
      </c>
      <c r="BL123" s="21" t="s">
        <v>172</v>
      </c>
      <c r="BM123" s="21" t="s">
        <v>493</v>
      </c>
    </row>
    <row r="124" spans="2:51" s="10" customFormat="1" ht="22.5" customHeight="1">
      <c r="B124" s="151"/>
      <c r="C124" s="152"/>
      <c r="D124" s="152"/>
      <c r="E124" s="153" t="s">
        <v>5</v>
      </c>
      <c r="F124" s="300" t="s">
        <v>494</v>
      </c>
      <c r="G124" s="301"/>
      <c r="H124" s="301"/>
      <c r="I124" s="301"/>
      <c r="J124" s="152"/>
      <c r="K124" s="154" t="s">
        <v>5</v>
      </c>
      <c r="L124" s="152"/>
      <c r="M124" s="152"/>
      <c r="N124" s="152"/>
      <c r="O124" s="152"/>
      <c r="P124" s="152"/>
      <c r="Q124" s="152"/>
      <c r="R124" s="155"/>
      <c r="T124" s="156"/>
      <c r="U124" s="152"/>
      <c r="V124" s="152"/>
      <c r="W124" s="152"/>
      <c r="X124" s="152"/>
      <c r="Y124" s="152"/>
      <c r="Z124" s="152"/>
      <c r="AA124" s="157"/>
      <c r="AT124" s="158" t="s">
        <v>179</v>
      </c>
      <c r="AU124" s="158" t="s">
        <v>135</v>
      </c>
      <c r="AV124" s="10" t="s">
        <v>21</v>
      </c>
      <c r="AW124" s="10" t="s">
        <v>35</v>
      </c>
      <c r="AX124" s="10" t="s">
        <v>78</v>
      </c>
      <c r="AY124" s="158" t="s">
        <v>167</v>
      </c>
    </row>
    <row r="125" spans="2:51" s="10" customFormat="1" ht="22.5" customHeight="1">
      <c r="B125" s="151"/>
      <c r="C125" s="152"/>
      <c r="D125" s="152"/>
      <c r="E125" s="153" t="s">
        <v>5</v>
      </c>
      <c r="F125" s="304" t="s">
        <v>495</v>
      </c>
      <c r="G125" s="305"/>
      <c r="H125" s="305"/>
      <c r="I125" s="305"/>
      <c r="J125" s="152"/>
      <c r="K125" s="154" t="s">
        <v>5</v>
      </c>
      <c r="L125" s="152"/>
      <c r="M125" s="152"/>
      <c r="N125" s="152"/>
      <c r="O125" s="152"/>
      <c r="P125" s="152"/>
      <c r="Q125" s="152"/>
      <c r="R125" s="155"/>
      <c r="T125" s="156"/>
      <c r="U125" s="152"/>
      <c r="V125" s="152"/>
      <c r="W125" s="152"/>
      <c r="X125" s="152"/>
      <c r="Y125" s="152"/>
      <c r="Z125" s="152"/>
      <c r="AA125" s="157"/>
      <c r="AT125" s="158" t="s">
        <v>179</v>
      </c>
      <c r="AU125" s="158" t="s">
        <v>135</v>
      </c>
      <c r="AV125" s="10" t="s">
        <v>21</v>
      </c>
      <c r="AW125" s="10" t="s">
        <v>35</v>
      </c>
      <c r="AX125" s="10" t="s">
        <v>78</v>
      </c>
      <c r="AY125" s="158" t="s">
        <v>167</v>
      </c>
    </row>
    <row r="126" spans="2:51" s="11" customFormat="1" ht="22.5" customHeight="1">
      <c r="B126" s="159"/>
      <c r="C126" s="160"/>
      <c r="D126" s="160"/>
      <c r="E126" s="161" t="s">
        <v>5</v>
      </c>
      <c r="F126" s="302" t="s">
        <v>496</v>
      </c>
      <c r="G126" s="303"/>
      <c r="H126" s="303"/>
      <c r="I126" s="303"/>
      <c r="J126" s="160"/>
      <c r="K126" s="162">
        <v>56.448</v>
      </c>
      <c r="L126" s="160"/>
      <c r="M126" s="160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179</v>
      </c>
      <c r="AU126" s="166" t="s">
        <v>135</v>
      </c>
      <c r="AV126" s="11" t="s">
        <v>135</v>
      </c>
      <c r="AW126" s="11" t="s">
        <v>35</v>
      </c>
      <c r="AX126" s="11" t="s">
        <v>78</v>
      </c>
      <c r="AY126" s="166" t="s">
        <v>167</v>
      </c>
    </row>
    <row r="127" spans="2:51" s="10" customFormat="1" ht="22.5" customHeight="1">
      <c r="B127" s="151"/>
      <c r="C127" s="152"/>
      <c r="D127" s="152"/>
      <c r="E127" s="153" t="s">
        <v>5</v>
      </c>
      <c r="F127" s="304" t="s">
        <v>497</v>
      </c>
      <c r="G127" s="305"/>
      <c r="H127" s="305"/>
      <c r="I127" s="305"/>
      <c r="J127" s="152"/>
      <c r="K127" s="154" t="s">
        <v>5</v>
      </c>
      <c r="L127" s="152"/>
      <c r="M127" s="152"/>
      <c r="N127" s="152"/>
      <c r="O127" s="152"/>
      <c r="P127" s="152"/>
      <c r="Q127" s="152"/>
      <c r="R127" s="155"/>
      <c r="T127" s="156"/>
      <c r="U127" s="152"/>
      <c r="V127" s="152"/>
      <c r="W127" s="152"/>
      <c r="X127" s="152"/>
      <c r="Y127" s="152"/>
      <c r="Z127" s="152"/>
      <c r="AA127" s="157"/>
      <c r="AT127" s="158" t="s">
        <v>179</v>
      </c>
      <c r="AU127" s="158" t="s">
        <v>135</v>
      </c>
      <c r="AV127" s="10" t="s">
        <v>21</v>
      </c>
      <c r="AW127" s="10" t="s">
        <v>35</v>
      </c>
      <c r="AX127" s="10" t="s">
        <v>78</v>
      </c>
      <c r="AY127" s="158" t="s">
        <v>167</v>
      </c>
    </row>
    <row r="128" spans="2:51" s="11" customFormat="1" ht="22.5" customHeight="1">
      <c r="B128" s="159"/>
      <c r="C128" s="160"/>
      <c r="D128" s="160"/>
      <c r="E128" s="161" t="s">
        <v>5</v>
      </c>
      <c r="F128" s="302" t="s">
        <v>498</v>
      </c>
      <c r="G128" s="303"/>
      <c r="H128" s="303"/>
      <c r="I128" s="303"/>
      <c r="J128" s="160"/>
      <c r="K128" s="162">
        <v>6</v>
      </c>
      <c r="L128" s="160"/>
      <c r="M128" s="160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179</v>
      </c>
      <c r="AU128" s="166" t="s">
        <v>135</v>
      </c>
      <c r="AV128" s="11" t="s">
        <v>135</v>
      </c>
      <c r="AW128" s="11" t="s">
        <v>35</v>
      </c>
      <c r="AX128" s="11" t="s">
        <v>78</v>
      </c>
      <c r="AY128" s="166" t="s">
        <v>167</v>
      </c>
    </row>
    <row r="129" spans="2:51" s="10" customFormat="1" ht="22.5" customHeight="1">
      <c r="B129" s="151"/>
      <c r="C129" s="152"/>
      <c r="D129" s="152"/>
      <c r="E129" s="153" t="s">
        <v>5</v>
      </c>
      <c r="F129" s="304" t="s">
        <v>499</v>
      </c>
      <c r="G129" s="305"/>
      <c r="H129" s="305"/>
      <c r="I129" s="305"/>
      <c r="J129" s="152"/>
      <c r="K129" s="154" t="s">
        <v>5</v>
      </c>
      <c r="L129" s="152"/>
      <c r="M129" s="152"/>
      <c r="N129" s="152"/>
      <c r="O129" s="152"/>
      <c r="P129" s="152"/>
      <c r="Q129" s="152"/>
      <c r="R129" s="155"/>
      <c r="T129" s="156"/>
      <c r="U129" s="152"/>
      <c r="V129" s="152"/>
      <c r="W129" s="152"/>
      <c r="X129" s="152"/>
      <c r="Y129" s="152"/>
      <c r="Z129" s="152"/>
      <c r="AA129" s="157"/>
      <c r="AT129" s="158" t="s">
        <v>179</v>
      </c>
      <c r="AU129" s="158" t="s">
        <v>135</v>
      </c>
      <c r="AV129" s="10" t="s">
        <v>21</v>
      </c>
      <c r="AW129" s="10" t="s">
        <v>35</v>
      </c>
      <c r="AX129" s="10" t="s">
        <v>78</v>
      </c>
      <c r="AY129" s="158" t="s">
        <v>167</v>
      </c>
    </row>
    <row r="130" spans="2:51" s="11" customFormat="1" ht="22.5" customHeight="1">
      <c r="B130" s="159"/>
      <c r="C130" s="160"/>
      <c r="D130" s="160"/>
      <c r="E130" s="161" t="s">
        <v>5</v>
      </c>
      <c r="F130" s="302" t="s">
        <v>500</v>
      </c>
      <c r="G130" s="303"/>
      <c r="H130" s="303"/>
      <c r="I130" s="303"/>
      <c r="J130" s="160"/>
      <c r="K130" s="162">
        <v>3.384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179</v>
      </c>
      <c r="AU130" s="166" t="s">
        <v>135</v>
      </c>
      <c r="AV130" s="11" t="s">
        <v>135</v>
      </c>
      <c r="AW130" s="11" t="s">
        <v>35</v>
      </c>
      <c r="AX130" s="11" t="s">
        <v>78</v>
      </c>
      <c r="AY130" s="166" t="s">
        <v>167</v>
      </c>
    </row>
    <row r="131" spans="2:51" s="10" customFormat="1" ht="22.5" customHeight="1">
      <c r="B131" s="151"/>
      <c r="C131" s="152"/>
      <c r="D131" s="152"/>
      <c r="E131" s="153" t="s">
        <v>5</v>
      </c>
      <c r="F131" s="304" t="s">
        <v>501</v>
      </c>
      <c r="G131" s="305"/>
      <c r="H131" s="305"/>
      <c r="I131" s="305"/>
      <c r="J131" s="152"/>
      <c r="K131" s="154" t="s">
        <v>5</v>
      </c>
      <c r="L131" s="152"/>
      <c r="M131" s="152"/>
      <c r="N131" s="152"/>
      <c r="O131" s="152"/>
      <c r="P131" s="152"/>
      <c r="Q131" s="152"/>
      <c r="R131" s="155"/>
      <c r="T131" s="156"/>
      <c r="U131" s="152"/>
      <c r="V131" s="152"/>
      <c r="W131" s="152"/>
      <c r="X131" s="152"/>
      <c r="Y131" s="152"/>
      <c r="Z131" s="152"/>
      <c r="AA131" s="157"/>
      <c r="AT131" s="158" t="s">
        <v>179</v>
      </c>
      <c r="AU131" s="158" t="s">
        <v>135</v>
      </c>
      <c r="AV131" s="10" t="s">
        <v>21</v>
      </c>
      <c r="AW131" s="10" t="s">
        <v>35</v>
      </c>
      <c r="AX131" s="10" t="s">
        <v>78</v>
      </c>
      <c r="AY131" s="158" t="s">
        <v>167</v>
      </c>
    </row>
    <row r="132" spans="2:51" s="11" customFormat="1" ht="22.5" customHeight="1">
      <c r="B132" s="159"/>
      <c r="C132" s="160"/>
      <c r="D132" s="160"/>
      <c r="E132" s="161" t="s">
        <v>5</v>
      </c>
      <c r="F132" s="302" t="s">
        <v>502</v>
      </c>
      <c r="G132" s="303"/>
      <c r="H132" s="303"/>
      <c r="I132" s="303"/>
      <c r="J132" s="160"/>
      <c r="K132" s="162">
        <v>6.12</v>
      </c>
      <c r="L132" s="160"/>
      <c r="M132" s="160"/>
      <c r="N132" s="160"/>
      <c r="O132" s="160"/>
      <c r="P132" s="160"/>
      <c r="Q132" s="160"/>
      <c r="R132" s="163"/>
      <c r="T132" s="164"/>
      <c r="U132" s="160"/>
      <c r="V132" s="160"/>
      <c r="W132" s="160"/>
      <c r="X132" s="160"/>
      <c r="Y132" s="160"/>
      <c r="Z132" s="160"/>
      <c r="AA132" s="165"/>
      <c r="AT132" s="166" t="s">
        <v>179</v>
      </c>
      <c r="AU132" s="166" t="s">
        <v>135</v>
      </c>
      <c r="AV132" s="11" t="s">
        <v>135</v>
      </c>
      <c r="AW132" s="11" t="s">
        <v>35</v>
      </c>
      <c r="AX132" s="11" t="s">
        <v>78</v>
      </c>
      <c r="AY132" s="166" t="s">
        <v>167</v>
      </c>
    </row>
    <row r="133" spans="2:51" s="10" customFormat="1" ht="22.5" customHeight="1">
      <c r="B133" s="151"/>
      <c r="C133" s="152"/>
      <c r="D133" s="152"/>
      <c r="E133" s="153" t="s">
        <v>5</v>
      </c>
      <c r="F133" s="304" t="s">
        <v>503</v>
      </c>
      <c r="G133" s="305"/>
      <c r="H133" s="305"/>
      <c r="I133" s="305"/>
      <c r="J133" s="152"/>
      <c r="K133" s="154" t="s">
        <v>5</v>
      </c>
      <c r="L133" s="152"/>
      <c r="M133" s="152"/>
      <c r="N133" s="152"/>
      <c r="O133" s="152"/>
      <c r="P133" s="152"/>
      <c r="Q133" s="152"/>
      <c r="R133" s="155"/>
      <c r="T133" s="156"/>
      <c r="U133" s="152"/>
      <c r="V133" s="152"/>
      <c r="W133" s="152"/>
      <c r="X133" s="152"/>
      <c r="Y133" s="152"/>
      <c r="Z133" s="152"/>
      <c r="AA133" s="157"/>
      <c r="AT133" s="158" t="s">
        <v>179</v>
      </c>
      <c r="AU133" s="158" t="s">
        <v>135</v>
      </c>
      <c r="AV133" s="10" t="s">
        <v>21</v>
      </c>
      <c r="AW133" s="10" t="s">
        <v>35</v>
      </c>
      <c r="AX133" s="10" t="s">
        <v>78</v>
      </c>
      <c r="AY133" s="158" t="s">
        <v>167</v>
      </c>
    </row>
    <row r="134" spans="2:51" s="11" customFormat="1" ht="22.5" customHeight="1">
      <c r="B134" s="159"/>
      <c r="C134" s="160"/>
      <c r="D134" s="160"/>
      <c r="E134" s="161" t="s">
        <v>5</v>
      </c>
      <c r="F134" s="302" t="s">
        <v>504</v>
      </c>
      <c r="G134" s="303"/>
      <c r="H134" s="303"/>
      <c r="I134" s="303"/>
      <c r="J134" s="160"/>
      <c r="K134" s="162">
        <v>12.168</v>
      </c>
      <c r="L134" s="160"/>
      <c r="M134" s="160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179</v>
      </c>
      <c r="AU134" s="166" t="s">
        <v>135</v>
      </c>
      <c r="AV134" s="11" t="s">
        <v>135</v>
      </c>
      <c r="AW134" s="11" t="s">
        <v>35</v>
      </c>
      <c r="AX134" s="11" t="s">
        <v>78</v>
      </c>
      <c r="AY134" s="166" t="s">
        <v>167</v>
      </c>
    </row>
    <row r="135" spans="2:51" s="12" customFormat="1" ht="22.5" customHeight="1">
      <c r="B135" s="167"/>
      <c r="C135" s="168"/>
      <c r="D135" s="168"/>
      <c r="E135" s="169" t="s">
        <v>5</v>
      </c>
      <c r="F135" s="306" t="s">
        <v>183</v>
      </c>
      <c r="G135" s="307"/>
      <c r="H135" s="307"/>
      <c r="I135" s="307"/>
      <c r="J135" s="168"/>
      <c r="K135" s="170">
        <v>84.12</v>
      </c>
      <c r="L135" s="168"/>
      <c r="M135" s="168"/>
      <c r="N135" s="168"/>
      <c r="O135" s="168"/>
      <c r="P135" s="168"/>
      <c r="Q135" s="168"/>
      <c r="R135" s="171"/>
      <c r="T135" s="172"/>
      <c r="U135" s="168"/>
      <c r="V135" s="168"/>
      <c r="W135" s="168"/>
      <c r="X135" s="168"/>
      <c r="Y135" s="168"/>
      <c r="Z135" s="168"/>
      <c r="AA135" s="173"/>
      <c r="AT135" s="174" t="s">
        <v>179</v>
      </c>
      <c r="AU135" s="174" t="s">
        <v>135</v>
      </c>
      <c r="AV135" s="12" t="s">
        <v>172</v>
      </c>
      <c r="AW135" s="12" t="s">
        <v>35</v>
      </c>
      <c r="AX135" s="12" t="s">
        <v>21</v>
      </c>
      <c r="AY135" s="174" t="s">
        <v>167</v>
      </c>
    </row>
    <row r="136" spans="2:65" s="1" customFormat="1" ht="31.5" customHeight="1">
      <c r="B136" s="141"/>
      <c r="C136" s="142" t="s">
        <v>172</v>
      </c>
      <c r="D136" s="142" t="s">
        <v>168</v>
      </c>
      <c r="E136" s="143" t="s">
        <v>505</v>
      </c>
      <c r="F136" s="293" t="s">
        <v>506</v>
      </c>
      <c r="G136" s="293"/>
      <c r="H136" s="293"/>
      <c r="I136" s="293"/>
      <c r="J136" s="144" t="s">
        <v>176</v>
      </c>
      <c r="K136" s="145">
        <v>84.12</v>
      </c>
      <c r="L136" s="294"/>
      <c r="M136" s="294"/>
      <c r="N136" s="294">
        <f>ROUND(L136*K136,2)</f>
        <v>0</v>
      </c>
      <c r="O136" s="294"/>
      <c r="P136" s="294"/>
      <c r="Q136" s="294"/>
      <c r="R136" s="146"/>
      <c r="T136" s="147" t="s">
        <v>5</v>
      </c>
      <c r="U136" s="44" t="s">
        <v>43</v>
      </c>
      <c r="V136" s="148">
        <v>0.085</v>
      </c>
      <c r="W136" s="148">
        <f>V136*K136</f>
        <v>7.150200000000001</v>
      </c>
      <c r="X136" s="148">
        <v>0</v>
      </c>
      <c r="Y136" s="148">
        <f>X136*K136</f>
        <v>0</v>
      </c>
      <c r="Z136" s="148">
        <v>0</v>
      </c>
      <c r="AA136" s="149">
        <f>Z136*K136</f>
        <v>0</v>
      </c>
      <c r="AR136" s="21" t="s">
        <v>172</v>
      </c>
      <c r="AT136" s="21" t="s">
        <v>168</v>
      </c>
      <c r="AU136" s="21" t="s">
        <v>135</v>
      </c>
      <c r="AY136" s="21" t="s">
        <v>167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21" t="s">
        <v>21</v>
      </c>
      <c r="BK136" s="150">
        <f>ROUND(L136*K136,2)</f>
        <v>0</v>
      </c>
      <c r="BL136" s="21" t="s">
        <v>172</v>
      </c>
      <c r="BM136" s="21" t="s">
        <v>507</v>
      </c>
    </row>
    <row r="137" spans="2:65" s="1" customFormat="1" ht="31.5" customHeight="1">
      <c r="B137" s="141"/>
      <c r="C137" s="142" t="s">
        <v>196</v>
      </c>
      <c r="D137" s="142" t="s">
        <v>168</v>
      </c>
      <c r="E137" s="143" t="s">
        <v>508</v>
      </c>
      <c r="F137" s="293" t="s">
        <v>509</v>
      </c>
      <c r="G137" s="293"/>
      <c r="H137" s="293"/>
      <c r="I137" s="293"/>
      <c r="J137" s="144" t="s">
        <v>176</v>
      </c>
      <c r="K137" s="145">
        <v>27</v>
      </c>
      <c r="L137" s="294"/>
      <c r="M137" s="294"/>
      <c r="N137" s="294">
        <f>ROUND(L137*K137,2)</f>
        <v>0</v>
      </c>
      <c r="O137" s="294"/>
      <c r="P137" s="294"/>
      <c r="Q137" s="294"/>
      <c r="R137" s="146"/>
      <c r="T137" s="147" t="s">
        <v>5</v>
      </c>
      <c r="U137" s="44" t="s">
        <v>43</v>
      </c>
      <c r="V137" s="148">
        <v>3.131</v>
      </c>
      <c r="W137" s="148">
        <f>V137*K137</f>
        <v>84.53699999999999</v>
      </c>
      <c r="X137" s="148">
        <v>0</v>
      </c>
      <c r="Y137" s="148">
        <f>X137*K137</f>
        <v>0</v>
      </c>
      <c r="Z137" s="148">
        <v>0</v>
      </c>
      <c r="AA137" s="149">
        <f>Z137*K137</f>
        <v>0</v>
      </c>
      <c r="AR137" s="21" t="s">
        <v>172</v>
      </c>
      <c r="AT137" s="21" t="s">
        <v>168</v>
      </c>
      <c r="AU137" s="21" t="s">
        <v>135</v>
      </c>
      <c r="AY137" s="21" t="s">
        <v>167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21</v>
      </c>
      <c r="BK137" s="150">
        <f>ROUND(L137*K137,2)</f>
        <v>0</v>
      </c>
      <c r="BL137" s="21" t="s">
        <v>172</v>
      </c>
      <c r="BM137" s="21" t="s">
        <v>510</v>
      </c>
    </row>
    <row r="138" spans="2:51" s="11" customFormat="1" ht="22.5" customHeight="1">
      <c r="B138" s="159"/>
      <c r="C138" s="160"/>
      <c r="D138" s="160"/>
      <c r="E138" s="161" t="s">
        <v>5</v>
      </c>
      <c r="F138" s="308" t="s">
        <v>511</v>
      </c>
      <c r="G138" s="309"/>
      <c r="H138" s="309"/>
      <c r="I138" s="309"/>
      <c r="J138" s="160"/>
      <c r="K138" s="162">
        <v>27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179</v>
      </c>
      <c r="AU138" s="166" t="s">
        <v>135</v>
      </c>
      <c r="AV138" s="11" t="s">
        <v>135</v>
      </c>
      <c r="AW138" s="11" t="s">
        <v>35</v>
      </c>
      <c r="AX138" s="11" t="s">
        <v>21</v>
      </c>
      <c r="AY138" s="166" t="s">
        <v>167</v>
      </c>
    </row>
    <row r="139" spans="2:65" s="1" customFormat="1" ht="31.5" customHeight="1">
      <c r="B139" s="141"/>
      <c r="C139" s="142" t="s">
        <v>203</v>
      </c>
      <c r="D139" s="142" t="s">
        <v>168</v>
      </c>
      <c r="E139" s="143" t="s">
        <v>512</v>
      </c>
      <c r="F139" s="293" t="s">
        <v>513</v>
      </c>
      <c r="G139" s="293"/>
      <c r="H139" s="293"/>
      <c r="I139" s="293"/>
      <c r="J139" s="144" t="s">
        <v>176</v>
      </c>
      <c r="K139" s="145">
        <v>27</v>
      </c>
      <c r="L139" s="294"/>
      <c r="M139" s="294"/>
      <c r="N139" s="294">
        <f>ROUND(L139*K139,2)</f>
        <v>0</v>
      </c>
      <c r="O139" s="294"/>
      <c r="P139" s="294"/>
      <c r="Q139" s="294"/>
      <c r="R139" s="146"/>
      <c r="T139" s="147" t="s">
        <v>5</v>
      </c>
      <c r="U139" s="44" t="s">
        <v>43</v>
      </c>
      <c r="V139" s="148">
        <v>0.474</v>
      </c>
      <c r="W139" s="148">
        <f>V139*K139</f>
        <v>12.798</v>
      </c>
      <c r="X139" s="148">
        <v>0</v>
      </c>
      <c r="Y139" s="148">
        <f>X139*K139</f>
        <v>0</v>
      </c>
      <c r="Z139" s="148">
        <v>0</v>
      </c>
      <c r="AA139" s="149">
        <f>Z139*K139</f>
        <v>0</v>
      </c>
      <c r="AR139" s="21" t="s">
        <v>172</v>
      </c>
      <c r="AT139" s="21" t="s">
        <v>168</v>
      </c>
      <c r="AU139" s="21" t="s">
        <v>135</v>
      </c>
      <c r="AY139" s="21" t="s">
        <v>167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21</v>
      </c>
      <c r="BK139" s="150">
        <f>ROUND(L139*K139,2)</f>
        <v>0</v>
      </c>
      <c r="BL139" s="21" t="s">
        <v>172</v>
      </c>
      <c r="BM139" s="21" t="s">
        <v>514</v>
      </c>
    </row>
    <row r="140" spans="2:65" s="1" customFormat="1" ht="31.5" customHeight="1">
      <c r="B140" s="141"/>
      <c r="C140" s="142" t="s">
        <v>207</v>
      </c>
      <c r="D140" s="142" t="s">
        <v>168</v>
      </c>
      <c r="E140" s="143" t="s">
        <v>251</v>
      </c>
      <c r="F140" s="293" t="s">
        <v>515</v>
      </c>
      <c r="G140" s="293"/>
      <c r="H140" s="293"/>
      <c r="I140" s="293"/>
      <c r="J140" s="144" t="s">
        <v>176</v>
      </c>
      <c r="K140" s="145">
        <v>196.568</v>
      </c>
      <c r="L140" s="294"/>
      <c r="M140" s="294"/>
      <c r="N140" s="294">
        <f>ROUND(L140*K140,2)</f>
        <v>0</v>
      </c>
      <c r="O140" s="294"/>
      <c r="P140" s="294"/>
      <c r="Q140" s="294"/>
      <c r="R140" s="146"/>
      <c r="T140" s="147" t="s">
        <v>5</v>
      </c>
      <c r="U140" s="44" t="s">
        <v>43</v>
      </c>
      <c r="V140" s="148">
        <v>0.044</v>
      </c>
      <c r="W140" s="148">
        <f>V140*K140</f>
        <v>8.648992</v>
      </c>
      <c r="X140" s="148">
        <v>0</v>
      </c>
      <c r="Y140" s="148">
        <f>X140*K140</f>
        <v>0</v>
      </c>
      <c r="Z140" s="148">
        <v>0</v>
      </c>
      <c r="AA140" s="149">
        <f>Z140*K140</f>
        <v>0</v>
      </c>
      <c r="AR140" s="21" t="s">
        <v>172</v>
      </c>
      <c r="AT140" s="21" t="s">
        <v>168</v>
      </c>
      <c r="AU140" s="21" t="s">
        <v>135</v>
      </c>
      <c r="AY140" s="21" t="s">
        <v>167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21" t="s">
        <v>21</v>
      </c>
      <c r="BK140" s="150">
        <f>ROUND(L140*K140,2)</f>
        <v>0</v>
      </c>
      <c r="BL140" s="21" t="s">
        <v>172</v>
      </c>
      <c r="BM140" s="21" t="s">
        <v>516</v>
      </c>
    </row>
    <row r="141" spans="2:51" s="10" customFormat="1" ht="22.5" customHeight="1">
      <c r="B141" s="151"/>
      <c r="C141" s="152"/>
      <c r="D141" s="152"/>
      <c r="E141" s="153" t="s">
        <v>5</v>
      </c>
      <c r="F141" s="300" t="s">
        <v>517</v>
      </c>
      <c r="G141" s="301"/>
      <c r="H141" s="301"/>
      <c r="I141" s="301"/>
      <c r="J141" s="152"/>
      <c r="K141" s="154" t="s">
        <v>5</v>
      </c>
      <c r="L141" s="152"/>
      <c r="M141" s="152"/>
      <c r="N141" s="152"/>
      <c r="O141" s="152"/>
      <c r="P141" s="152"/>
      <c r="Q141" s="152"/>
      <c r="R141" s="155"/>
      <c r="T141" s="156"/>
      <c r="U141" s="152"/>
      <c r="V141" s="152"/>
      <c r="W141" s="152"/>
      <c r="X141" s="152"/>
      <c r="Y141" s="152"/>
      <c r="Z141" s="152"/>
      <c r="AA141" s="157"/>
      <c r="AT141" s="158" t="s">
        <v>179</v>
      </c>
      <c r="AU141" s="158" t="s">
        <v>135</v>
      </c>
      <c r="AV141" s="10" t="s">
        <v>21</v>
      </c>
      <c r="AW141" s="10" t="s">
        <v>35</v>
      </c>
      <c r="AX141" s="10" t="s">
        <v>78</v>
      </c>
      <c r="AY141" s="158" t="s">
        <v>167</v>
      </c>
    </row>
    <row r="142" spans="2:51" s="11" customFormat="1" ht="22.5" customHeight="1">
      <c r="B142" s="159"/>
      <c r="C142" s="160"/>
      <c r="D142" s="160"/>
      <c r="E142" s="161" t="s">
        <v>5</v>
      </c>
      <c r="F142" s="302" t="s">
        <v>518</v>
      </c>
      <c r="G142" s="303"/>
      <c r="H142" s="303"/>
      <c r="I142" s="303"/>
      <c r="J142" s="160"/>
      <c r="K142" s="162">
        <v>162.12</v>
      </c>
      <c r="L142" s="160"/>
      <c r="M142" s="160"/>
      <c r="N142" s="160"/>
      <c r="O142" s="160"/>
      <c r="P142" s="160"/>
      <c r="Q142" s="160"/>
      <c r="R142" s="163"/>
      <c r="T142" s="164"/>
      <c r="U142" s="160"/>
      <c r="V142" s="160"/>
      <c r="W142" s="160"/>
      <c r="X142" s="160"/>
      <c r="Y142" s="160"/>
      <c r="Z142" s="160"/>
      <c r="AA142" s="165"/>
      <c r="AT142" s="166" t="s">
        <v>179</v>
      </c>
      <c r="AU142" s="166" t="s">
        <v>135</v>
      </c>
      <c r="AV142" s="11" t="s">
        <v>135</v>
      </c>
      <c r="AW142" s="11" t="s">
        <v>35</v>
      </c>
      <c r="AX142" s="11" t="s">
        <v>78</v>
      </c>
      <c r="AY142" s="166" t="s">
        <v>167</v>
      </c>
    </row>
    <row r="143" spans="2:51" s="10" customFormat="1" ht="22.5" customHeight="1">
      <c r="B143" s="151"/>
      <c r="C143" s="152"/>
      <c r="D143" s="152"/>
      <c r="E143" s="153" t="s">
        <v>5</v>
      </c>
      <c r="F143" s="304" t="s">
        <v>519</v>
      </c>
      <c r="G143" s="305"/>
      <c r="H143" s="305"/>
      <c r="I143" s="305"/>
      <c r="J143" s="152"/>
      <c r="K143" s="154" t="s">
        <v>5</v>
      </c>
      <c r="L143" s="152"/>
      <c r="M143" s="152"/>
      <c r="N143" s="152"/>
      <c r="O143" s="152"/>
      <c r="P143" s="152"/>
      <c r="Q143" s="152"/>
      <c r="R143" s="155"/>
      <c r="T143" s="156"/>
      <c r="U143" s="152"/>
      <c r="V143" s="152"/>
      <c r="W143" s="152"/>
      <c r="X143" s="152"/>
      <c r="Y143" s="152"/>
      <c r="Z143" s="152"/>
      <c r="AA143" s="157"/>
      <c r="AT143" s="158" t="s">
        <v>179</v>
      </c>
      <c r="AU143" s="158" t="s">
        <v>135</v>
      </c>
      <c r="AV143" s="10" t="s">
        <v>21</v>
      </c>
      <c r="AW143" s="10" t="s">
        <v>35</v>
      </c>
      <c r="AX143" s="10" t="s">
        <v>78</v>
      </c>
      <c r="AY143" s="158" t="s">
        <v>167</v>
      </c>
    </row>
    <row r="144" spans="2:51" s="11" customFormat="1" ht="22.5" customHeight="1">
      <c r="B144" s="159"/>
      <c r="C144" s="160"/>
      <c r="D144" s="160"/>
      <c r="E144" s="161" t="s">
        <v>5</v>
      </c>
      <c r="F144" s="302" t="s">
        <v>520</v>
      </c>
      <c r="G144" s="303"/>
      <c r="H144" s="303"/>
      <c r="I144" s="303"/>
      <c r="J144" s="160"/>
      <c r="K144" s="162">
        <v>34.448</v>
      </c>
      <c r="L144" s="160"/>
      <c r="M144" s="160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179</v>
      </c>
      <c r="AU144" s="166" t="s">
        <v>135</v>
      </c>
      <c r="AV144" s="11" t="s">
        <v>135</v>
      </c>
      <c r="AW144" s="11" t="s">
        <v>35</v>
      </c>
      <c r="AX144" s="11" t="s">
        <v>78</v>
      </c>
      <c r="AY144" s="166" t="s">
        <v>167</v>
      </c>
    </row>
    <row r="145" spans="2:51" s="12" customFormat="1" ht="22.5" customHeight="1">
      <c r="B145" s="167"/>
      <c r="C145" s="168"/>
      <c r="D145" s="168"/>
      <c r="E145" s="169" t="s">
        <v>5</v>
      </c>
      <c r="F145" s="306" t="s">
        <v>183</v>
      </c>
      <c r="G145" s="307"/>
      <c r="H145" s="307"/>
      <c r="I145" s="307"/>
      <c r="J145" s="168"/>
      <c r="K145" s="170">
        <v>196.568</v>
      </c>
      <c r="L145" s="168"/>
      <c r="M145" s="168"/>
      <c r="N145" s="168"/>
      <c r="O145" s="168"/>
      <c r="P145" s="168"/>
      <c r="Q145" s="168"/>
      <c r="R145" s="171"/>
      <c r="T145" s="172"/>
      <c r="U145" s="168"/>
      <c r="V145" s="168"/>
      <c r="W145" s="168"/>
      <c r="X145" s="168"/>
      <c r="Y145" s="168"/>
      <c r="Z145" s="168"/>
      <c r="AA145" s="173"/>
      <c r="AT145" s="174" t="s">
        <v>179</v>
      </c>
      <c r="AU145" s="174" t="s">
        <v>135</v>
      </c>
      <c r="AV145" s="12" t="s">
        <v>172</v>
      </c>
      <c r="AW145" s="12" t="s">
        <v>35</v>
      </c>
      <c r="AX145" s="12" t="s">
        <v>21</v>
      </c>
      <c r="AY145" s="174" t="s">
        <v>167</v>
      </c>
    </row>
    <row r="146" spans="2:65" s="1" customFormat="1" ht="31.5" customHeight="1">
      <c r="B146" s="141"/>
      <c r="C146" s="142" t="s">
        <v>213</v>
      </c>
      <c r="D146" s="142" t="s">
        <v>168</v>
      </c>
      <c r="E146" s="143" t="s">
        <v>248</v>
      </c>
      <c r="F146" s="293" t="s">
        <v>249</v>
      </c>
      <c r="G146" s="293"/>
      <c r="H146" s="293"/>
      <c r="I146" s="293"/>
      <c r="J146" s="144" t="s">
        <v>176</v>
      </c>
      <c r="K146" s="145">
        <v>196.568</v>
      </c>
      <c r="L146" s="294"/>
      <c r="M146" s="294"/>
      <c r="N146" s="294">
        <f>ROUND(L146*K146,2)</f>
        <v>0</v>
      </c>
      <c r="O146" s="294"/>
      <c r="P146" s="294"/>
      <c r="Q146" s="294"/>
      <c r="R146" s="146"/>
      <c r="T146" s="147" t="s">
        <v>5</v>
      </c>
      <c r="U146" s="44" t="s">
        <v>43</v>
      </c>
      <c r="V146" s="148">
        <v>0.097</v>
      </c>
      <c r="W146" s="148">
        <f>V146*K146</f>
        <v>19.067096000000003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172</v>
      </c>
      <c r="AT146" s="21" t="s">
        <v>168</v>
      </c>
      <c r="AU146" s="21" t="s">
        <v>135</v>
      </c>
      <c r="AY146" s="21" t="s">
        <v>167</v>
      </c>
      <c r="BE146" s="150">
        <f>IF(U146="základní",N146,0)</f>
        <v>0</v>
      </c>
      <c r="BF146" s="150">
        <f>IF(U146="snížená",N146,0)</f>
        <v>0</v>
      </c>
      <c r="BG146" s="150">
        <f>IF(U146="zákl. přenesená",N146,0)</f>
        <v>0</v>
      </c>
      <c r="BH146" s="150">
        <f>IF(U146="sníž. přenesená",N146,0)</f>
        <v>0</v>
      </c>
      <c r="BI146" s="150">
        <f>IF(U146="nulová",N146,0)</f>
        <v>0</v>
      </c>
      <c r="BJ146" s="21" t="s">
        <v>21</v>
      </c>
      <c r="BK146" s="150">
        <f>ROUND(L146*K146,2)</f>
        <v>0</v>
      </c>
      <c r="BL146" s="21" t="s">
        <v>172</v>
      </c>
      <c r="BM146" s="21" t="s">
        <v>521</v>
      </c>
    </row>
    <row r="147" spans="2:65" s="1" customFormat="1" ht="22.5" customHeight="1">
      <c r="B147" s="141"/>
      <c r="C147" s="142" t="s">
        <v>218</v>
      </c>
      <c r="D147" s="142" t="s">
        <v>168</v>
      </c>
      <c r="E147" s="143" t="s">
        <v>522</v>
      </c>
      <c r="F147" s="293" t="s">
        <v>523</v>
      </c>
      <c r="G147" s="293"/>
      <c r="H147" s="293"/>
      <c r="I147" s="293"/>
      <c r="J147" s="144" t="s">
        <v>176</v>
      </c>
      <c r="K147" s="145">
        <v>6</v>
      </c>
      <c r="L147" s="294"/>
      <c r="M147" s="294"/>
      <c r="N147" s="294">
        <f>ROUND(L147*K147,2)</f>
        <v>0</v>
      </c>
      <c r="O147" s="294"/>
      <c r="P147" s="294"/>
      <c r="Q147" s="294"/>
      <c r="R147" s="146"/>
      <c r="T147" s="147" t="s">
        <v>5</v>
      </c>
      <c r="U147" s="44" t="s">
        <v>43</v>
      </c>
      <c r="V147" s="148">
        <v>0.299</v>
      </c>
      <c r="W147" s="148">
        <f>V147*K147</f>
        <v>1.794</v>
      </c>
      <c r="X147" s="148">
        <v>0</v>
      </c>
      <c r="Y147" s="148">
        <f>X147*K147</f>
        <v>0</v>
      </c>
      <c r="Z147" s="148">
        <v>0</v>
      </c>
      <c r="AA147" s="149">
        <f>Z147*K147</f>
        <v>0</v>
      </c>
      <c r="AR147" s="21" t="s">
        <v>172</v>
      </c>
      <c r="AT147" s="21" t="s">
        <v>168</v>
      </c>
      <c r="AU147" s="21" t="s">
        <v>135</v>
      </c>
      <c r="AY147" s="21" t="s">
        <v>167</v>
      </c>
      <c r="BE147" s="150">
        <f>IF(U147="základní",N147,0)</f>
        <v>0</v>
      </c>
      <c r="BF147" s="150">
        <f>IF(U147="snížená",N147,0)</f>
        <v>0</v>
      </c>
      <c r="BG147" s="150">
        <f>IF(U147="zákl. přenesená",N147,0)</f>
        <v>0</v>
      </c>
      <c r="BH147" s="150">
        <f>IF(U147="sníž. přenesená",N147,0)</f>
        <v>0</v>
      </c>
      <c r="BI147" s="150">
        <f>IF(U147="nulová",N147,0)</f>
        <v>0</v>
      </c>
      <c r="BJ147" s="21" t="s">
        <v>21</v>
      </c>
      <c r="BK147" s="150">
        <f>ROUND(L147*K147,2)</f>
        <v>0</v>
      </c>
      <c r="BL147" s="21" t="s">
        <v>172</v>
      </c>
      <c r="BM147" s="21" t="s">
        <v>524</v>
      </c>
    </row>
    <row r="148" spans="2:65" s="1" customFormat="1" ht="22.5" customHeight="1">
      <c r="B148" s="141"/>
      <c r="C148" s="142" t="s">
        <v>25</v>
      </c>
      <c r="D148" s="142" t="s">
        <v>168</v>
      </c>
      <c r="E148" s="143" t="s">
        <v>525</v>
      </c>
      <c r="F148" s="293" t="s">
        <v>526</v>
      </c>
      <c r="G148" s="293"/>
      <c r="H148" s="293"/>
      <c r="I148" s="293"/>
      <c r="J148" s="144" t="s">
        <v>176</v>
      </c>
      <c r="K148" s="145">
        <v>28.448</v>
      </c>
      <c r="L148" s="294"/>
      <c r="M148" s="294"/>
      <c r="N148" s="294">
        <f>ROUND(L148*K148,2)</f>
        <v>0</v>
      </c>
      <c r="O148" s="294"/>
      <c r="P148" s="294"/>
      <c r="Q148" s="294"/>
      <c r="R148" s="146"/>
      <c r="T148" s="147" t="s">
        <v>5</v>
      </c>
      <c r="U148" s="44" t="s">
        <v>43</v>
      </c>
      <c r="V148" s="148">
        <v>1.587</v>
      </c>
      <c r="W148" s="148">
        <f>V148*K148</f>
        <v>45.146976</v>
      </c>
      <c r="X148" s="148">
        <v>0</v>
      </c>
      <c r="Y148" s="148">
        <f>X148*K148</f>
        <v>0</v>
      </c>
      <c r="Z148" s="148">
        <v>0</v>
      </c>
      <c r="AA148" s="149">
        <f>Z148*K148</f>
        <v>0</v>
      </c>
      <c r="AR148" s="21" t="s">
        <v>172</v>
      </c>
      <c r="AT148" s="21" t="s">
        <v>168</v>
      </c>
      <c r="AU148" s="21" t="s">
        <v>135</v>
      </c>
      <c r="AY148" s="21" t="s">
        <v>167</v>
      </c>
      <c r="BE148" s="150">
        <f>IF(U148="základní",N148,0)</f>
        <v>0</v>
      </c>
      <c r="BF148" s="150">
        <f>IF(U148="snížená",N148,0)</f>
        <v>0</v>
      </c>
      <c r="BG148" s="150">
        <f>IF(U148="zákl. přenesená",N148,0)</f>
        <v>0</v>
      </c>
      <c r="BH148" s="150">
        <f>IF(U148="sníž. přenesená",N148,0)</f>
        <v>0</v>
      </c>
      <c r="BI148" s="150">
        <f>IF(U148="nulová",N148,0)</f>
        <v>0</v>
      </c>
      <c r="BJ148" s="21" t="s">
        <v>21</v>
      </c>
      <c r="BK148" s="150">
        <f>ROUND(L148*K148,2)</f>
        <v>0</v>
      </c>
      <c r="BL148" s="21" t="s">
        <v>172</v>
      </c>
      <c r="BM148" s="21" t="s">
        <v>527</v>
      </c>
    </row>
    <row r="149" spans="2:51" s="11" customFormat="1" ht="22.5" customHeight="1">
      <c r="B149" s="159"/>
      <c r="C149" s="160"/>
      <c r="D149" s="160"/>
      <c r="E149" s="161" t="s">
        <v>5</v>
      </c>
      <c r="F149" s="308" t="s">
        <v>528</v>
      </c>
      <c r="G149" s="309"/>
      <c r="H149" s="309"/>
      <c r="I149" s="309"/>
      <c r="J149" s="160"/>
      <c r="K149" s="162">
        <v>28.448</v>
      </c>
      <c r="L149" s="160"/>
      <c r="M149" s="160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179</v>
      </c>
      <c r="AU149" s="166" t="s">
        <v>135</v>
      </c>
      <c r="AV149" s="11" t="s">
        <v>135</v>
      </c>
      <c r="AW149" s="11" t="s">
        <v>35</v>
      </c>
      <c r="AX149" s="11" t="s">
        <v>21</v>
      </c>
      <c r="AY149" s="166" t="s">
        <v>167</v>
      </c>
    </row>
    <row r="150" spans="2:65" s="1" customFormat="1" ht="22.5" customHeight="1">
      <c r="B150" s="141"/>
      <c r="C150" s="142" t="s">
        <v>270</v>
      </c>
      <c r="D150" s="142" t="s">
        <v>168</v>
      </c>
      <c r="E150" s="143" t="s">
        <v>529</v>
      </c>
      <c r="F150" s="293" t="s">
        <v>530</v>
      </c>
      <c r="G150" s="293"/>
      <c r="H150" s="293"/>
      <c r="I150" s="293"/>
      <c r="J150" s="144" t="s">
        <v>176</v>
      </c>
      <c r="K150" s="145">
        <v>45.792</v>
      </c>
      <c r="L150" s="294"/>
      <c r="M150" s="294"/>
      <c r="N150" s="294">
        <f>ROUND(L150*K150,2)</f>
        <v>0</v>
      </c>
      <c r="O150" s="294"/>
      <c r="P150" s="294"/>
      <c r="Q150" s="294"/>
      <c r="R150" s="146"/>
      <c r="T150" s="147" t="s">
        <v>5</v>
      </c>
      <c r="U150" s="44" t="s">
        <v>43</v>
      </c>
      <c r="V150" s="148">
        <v>1.587</v>
      </c>
      <c r="W150" s="148">
        <f>V150*K150</f>
        <v>72.671904</v>
      </c>
      <c r="X150" s="148">
        <v>0</v>
      </c>
      <c r="Y150" s="148">
        <f>X150*K150</f>
        <v>0</v>
      </c>
      <c r="Z150" s="148">
        <v>0</v>
      </c>
      <c r="AA150" s="149">
        <f>Z150*K150</f>
        <v>0</v>
      </c>
      <c r="AR150" s="21" t="s">
        <v>172</v>
      </c>
      <c r="AT150" s="21" t="s">
        <v>168</v>
      </c>
      <c r="AU150" s="21" t="s">
        <v>135</v>
      </c>
      <c r="AY150" s="21" t="s">
        <v>167</v>
      </c>
      <c r="BE150" s="150">
        <f>IF(U150="základní",N150,0)</f>
        <v>0</v>
      </c>
      <c r="BF150" s="150">
        <f>IF(U150="snížená",N150,0)</f>
        <v>0</v>
      </c>
      <c r="BG150" s="150">
        <f>IF(U150="zákl. přenesená",N150,0)</f>
        <v>0</v>
      </c>
      <c r="BH150" s="150">
        <f>IF(U150="sníž. přenesená",N150,0)</f>
        <v>0</v>
      </c>
      <c r="BI150" s="150">
        <f>IF(U150="nulová",N150,0)</f>
        <v>0</v>
      </c>
      <c r="BJ150" s="21" t="s">
        <v>21</v>
      </c>
      <c r="BK150" s="150">
        <f>ROUND(L150*K150,2)</f>
        <v>0</v>
      </c>
      <c r="BL150" s="21" t="s">
        <v>172</v>
      </c>
      <c r="BM150" s="21" t="s">
        <v>531</v>
      </c>
    </row>
    <row r="151" spans="2:51" s="10" customFormat="1" ht="22.5" customHeight="1">
      <c r="B151" s="151"/>
      <c r="C151" s="152"/>
      <c r="D151" s="152"/>
      <c r="E151" s="153" t="s">
        <v>5</v>
      </c>
      <c r="F151" s="300" t="s">
        <v>495</v>
      </c>
      <c r="G151" s="301"/>
      <c r="H151" s="301"/>
      <c r="I151" s="301"/>
      <c r="J151" s="152"/>
      <c r="K151" s="154" t="s">
        <v>5</v>
      </c>
      <c r="L151" s="152"/>
      <c r="M151" s="152"/>
      <c r="N151" s="152"/>
      <c r="O151" s="152"/>
      <c r="P151" s="152"/>
      <c r="Q151" s="152"/>
      <c r="R151" s="155"/>
      <c r="T151" s="156"/>
      <c r="U151" s="152"/>
      <c r="V151" s="152"/>
      <c r="W151" s="152"/>
      <c r="X151" s="152"/>
      <c r="Y151" s="152"/>
      <c r="Z151" s="152"/>
      <c r="AA151" s="157"/>
      <c r="AT151" s="158" t="s">
        <v>179</v>
      </c>
      <c r="AU151" s="158" t="s">
        <v>135</v>
      </c>
      <c r="AV151" s="10" t="s">
        <v>21</v>
      </c>
      <c r="AW151" s="10" t="s">
        <v>35</v>
      </c>
      <c r="AX151" s="10" t="s">
        <v>78</v>
      </c>
      <c r="AY151" s="158" t="s">
        <v>167</v>
      </c>
    </row>
    <row r="152" spans="2:51" s="11" customFormat="1" ht="22.5" customHeight="1">
      <c r="B152" s="159"/>
      <c r="C152" s="160"/>
      <c r="D152" s="160"/>
      <c r="E152" s="161" t="s">
        <v>5</v>
      </c>
      <c r="F152" s="302" t="s">
        <v>532</v>
      </c>
      <c r="G152" s="303"/>
      <c r="H152" s="303"/>
      <c r="I152" s="303"/>
      <c r="J152" s="160"/>
      <c r="K152" s="162">
        <v>31.36</v>
      </c>
      <c r="L152" s="160"/>
      <c r="M152" s="160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179</v>
      </c>
      <c r="AU152" s="166" t="s">
        <v>135</v>
      </c>
      <c r="AV152" s="11" t="s">
        <v>135</v>
      </c>
      <c r="AW152" s="11" t="s">
        <v>35</v>
      </c>
      <c r="AX152" s="11" t="s">
        <v>78</v>
      </c>
      <c r="AY152" s="166" t="s">
        <v>167</v>
      </c>
    </row>
    <row r="153" spans="2:51" s="10" customFormat="1" ht="22.5" customHeight="1">
      <c r="B153" s="151"/>
      <c r="C153" s="152"/>
      <c r="D153" s="152"/>
      <c r="E153" s="153" t="s">
        <v>5</v>
      </c>
      <c r="F153" s="304" t="s">
        <v>497</v>
      </c>
      <c r="G153" s="305"/>
      <c r="H153" s="305"/>
      <c r="I153" s="305"/>
      <c r="J153" s="152"/>
      <c r="K153" s="154" t="s">
        <v>5</v>
      </c>
      <c r="L153" s="152"/>
      <c r="M153" s="152"/>
      <c r="N153" s="152"/>
      <c r="O153" s="152"/>
      <c r="P153" s="152"/>
      <c r="Q153" s="152"/>
      <c r="R153" s="155"/>
      <c r="T153" s="156"/>
      <c r="U153" s="152"/>
      <c r="V153" s="152"/>
      <c r="W153" s="152"/>
      <c r="X153" s="152"/>
      <c r="Y153" s="152"/>
      <c r="Z153" s="152"/>
      <c r="AA153" s="157"/>
      <c r="AT153" s="158" t="s">
        <v>179</v>
      </c>
      <c r="AU153" s="158" t="s">
        <v>135</v>
      </c>
      <c r="AV153" s="10" t="s">
        <v>21</v>
      </c>
      <c r="AW153" s="10" t="s">
        <v>35</v>
      </c>
      <c r="AX153" s="10" t="s">
        <v>78</v>
      </c>
      <c r="AY153" s="158" t="s">
        <v>167</v>
      </c>
    </row>
    <row r="154" spans="2:51" s="11" customFormat="1" ht="22.5" customHeight="1">
      <c r="B154" s="159"/>
      <c r="C154" s="160"/>
      <c r="D154" s="160"/>
      <c r="E154" s="161" t="s">
        <v>5</v>
      </c>
      <c r="F154" s="302" t="s">
        <v>533</v>
      </c>
      <c r="G154" s="303"/>
      <c r="H154" s="303"/>
      <c r="I154" s="303"/>
      <c r="J154" s="160"/>
      <c r="K154" s="162">
        <v>4.8</v>
      </c>
      <c r="L154" s="160"/>
      <c r="M154" s="160"/>
      <c r="N154" s="160"/>
      <c r="O154" s="160"/>
      <c r="P154" s="160"/>
      <c r="Q154" s="160"/>
      <c r="R154" s="163"/>
      <c r="T154" s="164"/>
      <c r="U154" s="160"/>
      <c r="V154" s="160"/>
      <c r="W154" s="160"/>
      <c r="X154" s="160"/>
      <c r="Y154" s="160"/>
      <c r="Z154" s="160"/>
      <c r="AA154" s="165"/>
      <c r="AT154" s="166" t="s">
        <v>179</v>
      </c>
      <c r="AU154" s="166" t="s">
        <v>135</v>
      </c>
      <c r="AV154" s="11" t="s">
        <v>135</v>
      </c>
      <c r="AW154" s="11" t="s">
        <v>35</v>
      </c>
      <c r="AX154" s="11" t="s">
        <v>78</v>
      </c>
      <c r="AY154" s="166" t="s">
        <v>167</v>
      </c>
    </row>
    <row r="155" spans="2:51" s="10" customFormat="1" ht="22.5" customHeight="1">
      <c r="B155" s="151"/>
      <c r="C155" s="152"/>
      <c r="D155" s="152"/>
      <c r="E155" s="153" t="s">
        <v>5</v>
      </c>
      <c r="F155" s="304" t="s">
        <v>499</v>
      </c>
      <c r="G155" s="305"/>
      <c r="H155" s="305"/>
      <c r="I155" s="305"/>
      <c r="J155" s="152"/>
      <c r="K155" s="154" t="s">
        <v>5</v>
      </c>
      <c r="L155" s="152"/>
      <c r="M155" s="152"/>
      <c r="N155" s="152"/>
      <c r="O155" s="152"/>
      <c r="P155" s="152"/>
      <c r="Q155" s="152"/>
      <c r="R155" s="155"/>
      <c r="T155" s="156"/>
      <c r="U155" s="152"/>
      <c r="V155" s="152"/>
      <c r="W155" s="152"/>
      <c r="X155" s="152"/>
      <c r="Y155" s="152"/>
      <c r="Z155" s="152"/>
      <c r="AA155" s="157"/>
      <c r="AT155" s="158" t="s">
        <v>179</v>
      </c>
      <c r="AU155" s="158" t="s">
        <v>135</v>
      </c>
      <c r="AV155" s="10" t="s">
        <v>21</v>
      </c>
      <c r="AW155" s="10" t="s">
        <v>35</v>
      </c>
      <c r="AX155" s="10" t="s">
        <v>78</v>
      </c>
      <c r="AY155" s="158" t="s">
        <v>167</v>
      </c>
    </row>
    <row r="156" spans="2:51" s="11" customFormat="1" ht="22.5" customHeight="1">
      <c r="B156" s="159"/>
      <c r="C156" s="160"/>
      <c r="D156" s="160"/>
      <c r="E156" s="161" t="s">
        <v>5</v>
      </c>
      <c r="F156" s="302" t="s">
        <v>534</v>
      </c>
      <c r="G156" s="303"/>
      <c r="H156" s="303"/>
      <c r="I156" s="303"/>
      <c r="J156" s="160"/>
      <c r="K156" s="162">
        <v>1.504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179</v>
      </c>
      <c r="AU156" s="166" t="s">
        <v>135</v>
      </c>
      <c r="AV156" s="11" t="s">
        <v>135</v>
      </c>
      <c r="AW156" s="11" t="s">
        <v>35</v>
      </c>
      <c r="AX156" s="11" t="s">
        <v>78</v>
      </c>
      <c r="AY156" s="166" t="s">
        <v>167</v>
      </c>
    </row>
    <row r="157" spans="2:51" s="10" customFormat="1" ht="22.5" customHeight="1">
      <c r="B157" s="151"/>
      <c r="C157" s="152"/>
      <c r="D157" s="152"/>
      <c r="E157" s="153" t="s">
        <v>5</v>
      </c>
      <c r="F157" s="304" t="s">
        <v>501</v>
      </c>
      <c r="G157" s="305"/>
      <c r="H157" s="305"/>
      <c r="I157" s="305"/>
      <c r="J157" s="152"/>
      <c r="K157" s="154" t="s">
        <v>5</v>
      </c>
      <c r="L157" s="152"/>
      <c r="M157" s="152"/>
      <c r="N157" s="152"/>
      <c r="O157" s="152"/>
      <c r="P157" s="152"/>
      <c r="Q157" s="152"/>
      <c r="R157" s="155"/>
      <c r="T157" s="156"/>
      <c r="U157" s="152"/>
      <c r="V157" s="152"/>
      <c r="W157" s="152"/>
      <c r="X157" s="152"/>
      <c r="Y157" s="152"/>
      <c r="Z157" s="152"/>
      <c r="AA157" s="157"/>
      <c r="AT157" s="158" t="s">
        <v>179</v>
      </c>
      <c r="AU157" s="158" t="s">
        <v>135</v>
      </c>
      <c r="AV157" s="10" t="s">
        <v>21</v>
      </c>
      <c r="AW157" s="10" t="s">
        <v>35</v>
      </c>
      <c r="AX157" s="10" t="s">
        <v>78</v>
      </c>
      <c r="AY157" s="158" t="s">
        <v>167</v>
      </c>
    </row>
    <row r="158" spans="2:51" s="11" customFormat="1" ht="22.5" customHeight="1">
      <c r="B158" s="159"/>
      <c r="C158" s="160"/>
      <c r="D158" s="160"/>
      <c r="E158" s="161" t="s">
        <v>5</v>
      </c>
      <c r="F158" s="302" t="s">
        <v>535</v>
      </c>
      <c r="G158" s="303"/>
      <c r="H158" s="303"/>
      <c r="I158" s="303"/>
      <c r="J158" s="160"/>
      <c r="K158" s="162">
        <v>2.72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179</v>
      </c>
      <c r="AU158" s="166" t="s">
        <v>135</v>
      </c>
      <c r="AV158" s="11" t="s">
        <v>135</v>
      </c>
      <c r="AW158" s="11" t="s">
        <v>35</v>
      </c>
      <c r="AX158" s="11" t="s">
        <v>78</v>
      </c>
      <c r="AY158" s="166" t="s">
        <v>167</v>
      </c>
    </row>
    <row r="159" spans="2:51" s="10" customFormat="1" ht="22.5" customHeight="1">
      <c r="B159" s="151"/>
      <c r="C159" s="152"/>
      <c r="D159" s="152"/>
      <c r="E159" s="153" t="s">
        <v>5</v>
      </c>
      <c r="F159" s="304" t="s">
        <v>503</v>
      </c>
      <c r="G159" s="305"/>
      <c r="H159" s="305"/>
      <c r="I159" s="305"/>
      <c r="J159" s="152"/>
      <c r="K159" s="154" t="s">
        <v>5</v>
      </c>
      <c r="L159" s="152"/>
      <c r="M159" s="152"/>
      <c r="N159" s="152"/>
      <c r="O159" s="152"/>
      <c r="P159" s="152"/>
      <c r="Q159" s="152"/>
      <c r="R159" s="155"/>
      <c r="T159" s="156"/>
      <c r="U159" s="152"/>
      <c r="V159" s="152"/>
      <c r="W159" s="152"/>
      <c r="X159" s="152"/>
      <c r="Y159" s="152"/>
      <c r="Z159" s="152"/>
      <c r="AA159" s="157"/>
      <c r="AT159" s="158" t="s">
        <v>179</v>
      </c>
      <c r="AU159" s="158" t="s">
        <v>135</v>
      </c>
      <c r="AV159" s="10" t="s">
        <v>21</v>
      </c>
      <c r="AW159" s="10" t="s">
        <v>35</v>
      </c>
      <c r="AX159" s="10" t="s">
        <v>78</v>
      </c>
      <c r="AY159" s="158" t="s">
        <v>167</v>
      </c>
    </row>
    <row r="160" spans="2:51" s="11" customFormat="1" ht="22.5" customHeight="1">
      <c r="B160" s="159"/>
      <c r="C160" s="160"/>
      <c r="D160" s="160"/>
      <c r="E160" s="161" t="s">
        <v>5</v>
      </c>
      <c r="F160" s="302" t="s">
        <v>536</v>
      </c>
      <c r="G160" s="303"/>
      <c r="H160" s="303"/>
      <c r="I160" s="303"/>
      <c r="J160" s="160"/>
      <c r="K160" s="162">
        <v>5.408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179</v>
      </c>
      <c r="AU160" s="166" t="s">
        <v>135</v>
      </c>
      <c r="AV160" s="11" t="s">
        <v>135</v>
      </c>
      <c r="AW160" s="11" t="s">
        <v>35</v>
      </c>
      <c r="AX160" s="11" t="s">
        <v>78</v>
      </c>
      <c r="AY160" s="166" t="s">
        <v>167</v>
      </c>
    </row>
    <row r="161" spans="2:51" s="12" customFormat="1" ht="22.5" customHeight="1">
      <c r="B161" s="167"/>
      <c r="C161" s="168"/>
      <c r="D161" s="168"/>
      <c r="E161" s="169" t="s">
        <v>5</v>
      </c>
      <c r="F161" s="306" t="s">
        <v>183</v>
      </c>
      <c r="G161" s="307"/>
      <c r="H161" s="307"/>
      <c r="I161" s="307"/>
      <c r="J161" s="168"/>
      <c r="K161" s="170">
        <v>45.792</v>
      </c>
      <c r="L161" s="168"/>
      <c r="M161" s="168"/>
      <c r="N161" s="168"/>
      <c r="O161" s="168"/>
      <c r="P161" s="168"/>
      <c r="Q161" s="168"/>
      <c r="R161" s="171"/>
      <c r="T161" s="172"/>
      <c r="U161" s="168"/>
      <c r="V161" s="168"/>
      <c r="W161" s="168"/>
      <c r="X161" s="168"/>
      <c r="Y161" s="168"/>
      <c r="Z161" s="168"/>
      <c r="AA161" s="173"/>
      <c r="AT161" s="174" t="s">
        <v>179</v>
      </c>
      <c r="AU161" s="174" t="s">
        <v>135</v>
      </c>
      <c r="AV161" s="12" t="s">
        <v>172</v>
      </c>
      <c r="AW161" s="12" t="s">
        <v>35</v>
      </c>
      <c r="AX161" s="12" t="s">
        <v>21</v>
      </c>
      <c r="AY161" s="174" t="s">
        <v>167</v>
      </c>
    </row>
    <row r="162" spans="2:63" s="9" customFormat="1" ht="29.85" customHeight="1">
      <c r="B162" s="130"/>
      <c r="C162" s="131"/>
      <c r="D162" s="140" t="s">
        <v>483</v>
      </c>
      <c r="E162" s="140"/>
      <c r="F162" s="140"/>
      <c r="G162" s="140"/>
      <c r="H162" s="140"/>
      <c r="I162" s="140"/>
      <c r="J162" s="140"/>
      <c r="K162" s="140"/>
      <c r="L162" s="140"/>
      <c r="M162" s="140"/>
      <c r="N162" s="298">
        <f>BK162</f>
        <v>0</v>
      </c>
      <c r="O162" s="299"/>
      <c r="P162" s="299"/>
      <c r="Q162" s="299"/>
      <c r="R162" s="133"/>
      <c r="T162" s="134"/>
      <c r="U162" s="131"/>
      <c r="V162" s="131"/>
      <c r="W162" s="135">
        <f>SUM(W163:W174)</f>
        <v>13.01196</v>
      </c>
      <c r="X162" s="131"/>
      <c r="Y162" s="135">
        <f>SUM(Y163:Y174)</f>
        <v>18.6808076</v>
      </c>
      <c r="Z162" s="131"/>
      <c r="AA162" s="136">
        <f>SUM(AA163:AA174)</f>
        <v>0</v>
      </c>
      <c r="AR162" s="137" t="s">
        <v>21</v>
      </c>
      <c r="AT162" s="138" t="s">
        <v>77</v>
      </c>
      <c r="AU162" s="138" t="s">
        <v>21</v>
      </c>
      <c r="AY162" s="137" t="s">
        <v>167</v>
      </c>
      <c r="BK162" s="139">
        <f>SUM(BK163:BK174)</f>
        <v>0</v>
      </c>
    </row>
    <row r="163" spans="2:65" s="1" customFormat="1" ht="31.5" customHeight="1">
      <c r="B163" s="141"/>
      <c r="C163" s="142" t="s">
        <v>273</v>
      </c>
      <c r="D163" s="142" t="s">
        <v>168</v>
      </c>
      <c r="E163" s="143" t="s">
        <v>537</v>
      </c>
      <c r="F163" s="293" t="s">
        <v>538</v>
      </c>
      <c r="G163" s="293"/>
      <c r="H163" s="293"/>
      <c r="I163" s="293"/>
      <c r="J163" s="144" t="s">
        <v>176</v>
      </c>
      <c r="K163" s="145">
        <v>9.88</v>
      </c>
      <c r="L163" s="294"/>
      <c r="M163" s="294"/>
      <c r="N163" s="294">
        <f>ROUND(L163*K163,2)</f>
        <v>0</v>
      </c>
      <c r="O163" s="294"/>
      <c r="P163" s="294"/>
      <c r="Q163" s="294"/>
      <c r="R163" s="146"/>
      <c r="T163" s="147" t="s">
        <v>5</v>
      </c>
      <c r="U163" s="44" t="s">
        <v>43</v>
      </c>
      <c r="V163" s="148">
        <v>1.317</v>
      </c>
      <c r="W163" s="148">
        <f>V163*K163</f>
        <v>13.01196</v>
      </c>
      <c r="X163" s="148">
        <v>1.89077</v>
      </c>
      <c r="Y163" s="148">
        <f>X163*K163</f>
        <v>18.6808076</v>
      </c>
      <c r="Z163" s="148">
        <v>0</v>
      </c>
      <c r="AA163" s="149">
        <f>Z163*K163</f>
        <v>0</v>
      </c>
      <c r="AR163" s="21" t="s">
        <v>172</v>
      </c>
      <c r="AT163" s="21" t="s">
        <v>168</v>
      </c>
      <c r="AU163" s="21" t="s">
        <v>135</v>
      </c>
      <c r="AY163" s="21" t="s">
        <v>167</v>
      </c>
      <c r="BE163" s="150">
        <f>IF(U163="základní",N163,0)</f>
        <v>0</v>
      </c>
      <c r="BF163" s="150">
        <f>IF(U163="snížená",N163,0)</f>
        <v>0</v>
      </c>
      <c r="BG163" s="150">
        <f>IF(U163="zákl. přenesená",N163,0)</f>
        <v>0</v>
      </c>
      <c r="BH163" s="150">
        <f>IF(U163="sníž. přenesená",N163,0)</f>
        <v>0</v>
      </c>
      <c r="BI163" s="150">
        <f>IF(U163="nulová",N163,0)</f>
        <v>0</v>
      </c>
      <c r="BJ163" s="21" t="s">
        <v>21</v>
      </c>
      <c r="BK163" s="150">
        <f>ROUND(L163*K163,2)</f>
        <v>0</v>
      </c>
      <c r="BL163" s="21" t="s">
        <v>172</v>
      </c>
      <c r="BM163" s="21" t="s">
        <v>539</v>
      </c>
    </row>
    <row r="164" spans="2:51" s="10" customFormat="1" ht="22.5" customHeight="1">
      <c r="B164" s="151"/>
      <c r="C164" s="152"/>
      <c r="D164" s="152"/>
      <c r="E164" s="153" t="s">
        <v>5</v>
      </c>
      <c r="F164" s="300" t="s">
        <v>495</v>
      </c>
      <c r="G164" s="301"/>
      <c r="H164" s="301"/>
      <c r="I164" s="301"/>
      <c r="J164" s="152"/>
      <c r="K164" s="154" t="s">
        <v>5</v>
      </c>
      <c r="L164" s="152"/>
      <c r="M164" s="152"/>
      <c r="N164" s="152"/>
      <c r="O164" s="152"/>
      <c r="P164" s="152"/>
      <c r="Q164" s="152"/>
      <c r="R164" s="155"/>
      <c r="T164" s="156"/>
      <c r="U164" s="152"/>
      <c r="V164" s="152"/>
      <c r="W164" s="152"/>
      <c r="X164" s="152"/>
      <c r="Y164" s="152"/>
      <c r="Z164" s="152"/>
      <c r="AA164" s="157"/>
      <c r="AT164" s="158" t="s">
        <v>179</v>
      </c>
      <c r="AU164" s="158" t="s">
        <v>135</v>
      </c>
      <c r="AV164" s="10" t="s">
        <v>21</v>
      </c>
      <c r="AW164" s="10" t="s">
        <v>35</v>
      </c>
      <c r="AX164" s="10" t="s">
        <v>78</v>
      </c>
      <c r="AY164" s="158" t="s">
        <v>167</v>
      </c>
    </row>
    <row r="165" spans="2:51" s="11" customFormat="1" ht="22.5" customHeight="1">
      <c r="B165" s="159"/>
      <c r="C165" s="160"/>
      <c r="D165" s="160"/>
      <c r="E165" s="161" t="s">
        <v>5</v>
      </c>
      <c r="F165" s="302" t="s">
        <v>540</v>
      </c>
      <c r="G165" s="303"/>
      <c r="H165" s="303"/>
      <c r="I165" s="303"/>
      <c r="J165" s="160"/>
      <c r="K165" s="162">
        <v>6.272</v>
      </c>
      <c r="L165" s="160"/>
      <c r="M165" s="160"/>
      <c r="N165" s="160"/>
      <c r="O165" s="160"/>
      <c r="P165" s="160"/>
      <c r="Q165" s="160"/>
      <c r="R165" s="163"/>
      <c r="T165" s="164"/>
      <c r="U165" s="160"/>
      <c r="V165" s="160"/>
      <c r="W165" s="160"/>
      <c r="X165" s="160"/>
      <c r="Y165" s="160"/>
      <c r="Z165" s="160"/>
      <c r="AA165" s="165"/>
      <c r="AT165" s="166" t="s">
        <v>179</v>
      </c>
      <c r="AU165" s="166" t="s">
        <v>135</v>
      </c>
      <c r="AV165" s="11" t="s">
        <v>135</v>
      </c>
      <c r="AW165" s="11" t="s">
        <v>35</v>
      </c>
      <c r="AX165" s="11" t="s">
        <v>78</v>
      </c>
      <c r="AY165" s="166" t="s">
        <v>167</v>
      </c>
    </row>
    <row r="166" spans="2:51" s="10" customFormat="1" ht="22.5" customHeight="1">
      <c r="B166" s="151"/>
      <c r="C166" s="152"/>
      <c r="D166" s="152"/>
      <c r="E166" s="153" t="s">
        <v>5</v>
      </c>
      <c r="F166" s="304" t="s">
        <v>497</v>
      </c>
      <c r="G166" s="305"/>
      <c r="H166" s="305"/>
      <c r="I166" s="305"/>
      <c r="J166" s="152"/>
      <c r="K166" s="154" t="s">
        <v>5</v>
      </c>
      <c r="L166" s="152"/>
      <c r="M166" s="152"/>
      <c r="N166" s="152"/>
      <c r="O166" s="152"/>
      <c r="P166" s="152"/>
      <c r="Q166" s="152"/>
      <c r="R166" s="155"/>
      <c r="T166" s="156"/>
      <c r="U166" s="152"/>
      <c r="V166" s="152"/>
      <c r="W166" s="152"/>
      <c r="X166" s="152"/>
      <c r="Y166" s="152"/>
      <c r="Z166" s="152"/>
      <c r="AA166" s="157"/>
      <c r="AT166" s="158" t="s">
        <v>179</v>
      </c>
      <c r="AU166" s="158" t="s">
        <v>135</v>
      </c>
      <c r="AV166" s="10" t="s">
        <v>21</v>
      </c>
      <c r="AW166" s="10" t="s">
        <v>35</v>
      </c>
      <c r="AX166" s="10" t="s">
        <v>78</v>
      </c>
      <c r="AY166" s="158" t="s">
        <v>167</v>
      </c>
    </row>
    <row r="167" spans="2:51" s="11" customFormat="1" ht="22.5" customHeight="1">
      <c r="B167" s="159"/>
      <c r="C167" s="160"/>
      <c r="D167" s="160"/>
      <c r="E167" s="161" t="s">
        <v>5</v>
      </c>
      <c r="F167" s="302" t="s">
        <v>541</v>
      </c>
      <c r="G167" s="303"/>
      <c r="H167" s="303"/>
      <c r="I167" s="303"/>
      <c r="J167" s="160"/>
      <c r="K167" s="162">
        <v>1.2</v>
      </c>
      <c r="L167" s="160"/>
      <c r="M167" s="160"/>
      <c r="N167" s="160"/>
      <c r="O167" s="160"/>
      <c r="P167" s="160"/>
      <c r="Q167" s="160"/>
      <c r="R167" s="163"/>
      <c r="T167" s="164"/>
      <c r="U167" s="160"/>
      <c r="V167" s="160"/>
      <c r="W167" s="160"/>
      <c r="X167" s="160"/>
      <c r="Y167" s="160"/>
      <c r="Z167" s="160"/>
      <c r="AA167" s="165"/>
      <c r="AT167" s="166" t="s">
        <v>179</v>
      </c>
      <c r="AU167" s="166" t="s">
        <v>135</v>
      </c>
      <c r="AV167" s="11" t="s">
        <v>135</v>
      </c>
      <c r="AW167" s="11" t="s">
        <v>35</v>
      </c>
      <c r="AX167" s="11" t="s">
        <v>78</v>
      </c>
      <c r="AY167" s="166" t="s">
        <v>167</v>
      </c>
    </row>
    <row r="168" spans="2:51" s="10" customFormat="1" ht="22.5" customHeight="1">
      <c r="B168" s="151"/>
      <c r="C168" s="152"/>
      <c r="D168" s="152"/>
      <c r="E168" s="153" t="s">
        <v>5</v>
      </c>
      <c r="F168" s="304" t="s">
        <v>499</v>
      </c>
      <c r="G168" s="305"/>
      <c r="H168" s="305"/>
      <c r="I168" s="305"/>
      <c r="J168" s="152"/>
      <c r="K168" s="154" t="s">
        <v>5</v>
      </c>
      <c r="L168" s="152"/>
      <c r="M168" s="152"/>
      <c r="N168" s="152"/>
      <c r="O168" s="152"/>
      <c r="P168" s="152"/>
      <c r="Q168" s="152"/>
      <c r="R168" s="155"/>
      <c r="T168" s="156"/>
      <c r="U168" s="152"/>
      <c r="V168" s="152"/>
      <c r="W168" s="152"/>
      <c r="X168" s="152"/>
      <c r="Y168" s="152"/>
      <c r="Z168" s="152"/>
      <c r="AA168" s="157"/>
      <c r="AT168" s="158" t="s">
        <v>179</v>
      </c>
      <c r="AU168" s="158" t="s">
        <v>135</v>
      </c>
      <c r="AV168" s="10" t="s">
        <v>21</v>
      </c>
      <c r="AW168" s="10" t="s">
        <v>35</v>
      </c>
      <c r="AX168" s="10" t="s">
        <v>78</v>
      </c>
      <c r="AY168" s="158" t="s">
        <v>167</v>
      </c>
    </row>
    <row r="169" spans="2:51" s="11" customFormat="1" ht="22.5" customHeight="1">
      <c r="B169" s="159"/>
      <c r="C169" s="160"/>
      <c r="D169" s="160"/>
      <c r="E169" s="161" t="s">
        <v>5</v>
      </c>
      <c r="F169" s="302" t="s">
        <v>542</v>
      </c>
      <c r="G169" s="303"/>
      <c r="H169" s="303"/>
      <c r="I169" s="303"/>
      <c r="J169" s="160"/>
      <c r="K169" s="162">
        <v>0.376</v>
      </c>
      <c r="L169" s="160"/>
      <c r="M169" s="160"/>
      <c r="N169" s="160"/>
      <c r="O169" s="160"/>
      <c r="P169" s="160"/>
      <c r="Q169" s="160"/>
      <c r="R169" s="163"/>
      <c r="T169" s="164"/>
      <c r="U169" s="160"/>
      <c r="V169" s="160"/>
      <c r="W169" s="160"/>
      <c r="X169" s="160"/>
      <c r="Y169" s="160"/>
      <c r="Z169" s="160"/>
      <c r="AA169" s="165"/>
      <c r="AT169" s="166" t="s">
        <v>179</v>
      </c>
      <c r="AU169" s="166" t="s">
        <v>135</v>
      </c>
      <c r="AV169" s="11" t="s">
        <v>135</v>
      </c>
      <c r="AW169" s="11" t="s">
        <v>35</v>
      </c>
      <c r="AX169" s="11" t="s">
        <v>78</v>
      </c>
      <c r="AY169" s="166" t="s">
        <v>167</v>
      </c>
    </row>
    <row r="170" spans="2:51" s="10" customFormat="1" ht="22.5" customHeight="1">
      <c r="B170" s="151"/>
      <c r="C170" s="152"/>
      <c r="D170" s="152"/>
      <c r="E170" s="153" t="s">
        <v>5</v>
      </c>
      <c r="F170" s="304" t="s">
        <v>501</v>
      </c>
      <c r="G170" s="305"/>
      <c r="H170" s="305"/>
      <c r="I170" s="305"/>
      <c r="J170" s="152"/>
      <c r="K170" s="154" t="s">
        <v>5</v>
      </c>
      <c r="L170" s="152"/>
      <c r="M170" s="152"/>
      <c r="N170" s="152"/>
      <c r="O170" s="152"/>
      <c r="P170" s="152"/>
      <c r="Q170" s="152"/>
      <c r="R170" s="155"/>
      <c r="T170" s="156"/>
      <c r="U170" s="152"/>
      <c r="V170" s="152"/>
      <c r="W170" s="152"/>
      <c r="X170" s="152"/>
      <c r="Y170" s="152"/>
      <c r="Z170" s="152"/>
      <c r="AA170" s="157"/>
      <c r="AT170" s="158" t="s">
        <v>179</v>
      </c>
      <c r="AU170" s="158" t="s">
        <v>135</v>
      </c>
      <c r="AV170" s="10" t="s">
        <v>21</v>
      </c>
      <c r="AW170" s="10" t="s">
        <v>35</v>
      </c>
      <c r="AX170" s="10" t="s">
        <v>78</v>
      </c>
      <c r="AY170" s="158" t="s">
        <v>167</v>
      </c>
    </row>
    <row r="171" spans="2:51" s="11" customFormat="1" ht="22.5" customHeight="1">
      <c r="B171" s="159"/>
      <c r="C171" s="160"/>
      <c r="D171" s="160"/>
      <c r="E171" s="161" t="s">
        <v>5</v>
      </c>
      <c r="F171" s="302" t="s">
        <v>543</v>
      </c>
      <c r="G171" s="303"/>
      <c r="H171" s="303"/>
      <c r="I171" s="303"/>
      <c r="J171" s="160"/>
      <c r="K171" s="162">
        <v>0.68</v>
      </c>
      <c r="L171" s="160"/>
      <c r="M171" s="160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179</v>
      </c>
      <c r="AU171" s="166" t="s">
        <v>135</v>
      </c>
      <c r="AV171" s="11" t="s">
        <v>135</v>
      </c>
      <c r="AW171" s="11" t="s">
        <v>35</v>
      </c>
      <c r="AX171" s="11" t="s">
        <v>78</v>
      </c>
      <c r="AY171" s="166" t="s">
        <v>167</v>
      </c>
    </row>
    <row r="172" spans="2:51" s="10" customFormat="1" ht="22.5" customHeight="1">
      <c r="B172" s="151"/>
      <c r="C172" s="152"/>
      <c r="D172" s="152"/>
      <c r="E172" s="153" t="s">
        <v>5</v>
      </c>
      <c r="F172" s="304" t="s">
        <v>503</v>
      </c>
      <c r="G172" s="305"/>
      <c r="H172" s="305"/>
      <c r="I172" s="305"/>
      <c r="J172" s="152"/>
      <c r="K172" s="154" t="s">
        <v>5</v>
      </c>
      <c r="L172" s="152"/>
      <c r="M172" s="152"/>
      <c r="N172" s="152"/>
      <c r="O172" s="152"/>
      <c r="P172" s="152"/>
      <c r="Q172" s="152"/>
      <c r="R172" s="155"/>
      <c r="T172" s="156"/>
      <c r="U172" s="152"/>
      <c r="V172" s="152"/>
      <c r="W172" s="152"/>
      <c r="X172" s="152"/>
      <c r="Y172" s="152"/>
      <c r="Z172" s="152"/>
      <c r="AA172" s="157"/>
      <c r="AT172" s="158" t="s">
        <v>179</v>
      </c>
      <c r="AU172" s="158" t="s">
        <v>135</v>
      </c>
      <c r="AV172" s="10" t="s">
        <v>21</v>
      </c>
      <c r="AW172" s="10" t="s">
        <v>35</v>
      </c>
      <c r="AX172" s="10" t="s">
        <v>78</v>
      </c>
      <c r="AY172" s="158" t="s">
        <v>167</v>
      </c>
    </row>
    <row r="173" spans="2:51" s="11" customFormat="1" ht="22.5" customHeight="1">
      <c r="B173" s="159"/>
      <c r="C173" s="160"/>
      <c r="D173" s="160"/>
      <c r="E173" s="161" t="s">
        <v>5</v>
      </c>
      <c r="F173" s="302" t="s">
        <v>544</v>
      </c>
      <c r="G173" s="303"/>
      <c r="H173" s="303"/>
      <c r="I173" s="303"/>
      <c r="J173" s="160"/>
      <c r="K173" s="162">
        <v>1.352</v>
      </c>
      <c r="L173" s="160"/>
      <c r="M173" s="160"/>
      <c r="N173" s="160"/>
      <c r="O173" s="160"/>
      <c r="P173" s="160"/>
      <c r="Q173" s="160"/>
      <c r="R173" s="163"/>
      <c r="T173" s="164"/>
      <c r="U173" s="160"/>
      <c r="V173" s="160"/>
      <c r="W173" s="160"/>
      <c r="X173" s="160"/>
      <c r="Y173" s="160"/>
      <c r="Z173" s="160"/>
      <c r="AA173" s="165"/>
      <c r="AT173" s="166" t="s">
        <v>179</v>
      </c>
      <c r="AU173" s="166" t="s">
        <v>135</v>
      </c>
      <c r="AV173" s="11" t="s">
        <v>135</v>
      </c>
      <c r="AW173" s="11" t="s">
        <v>35</v>
      </c>
      <c r="AX173" s="11" t="s">
        <v>78</v>
      </c>
      <c r="AY173" s="166" t="s">
        <v>167</v>
      </c>
    </row>
    <row r="174" spans="2:51" s="12" customFormat="1" ht="22.5" customHeight="1">
      <c r="B174" s="167"/>
      <c r="C174" s="168"/>
      <c r="D174" s="168"/>
      <c r="E174" s="169" t="s">
        <v>5</v>
      </c>
      <c r="F174" s="306" t="s">
        <v>183</v>
      </c>
      <c r="G174" s="307"/>
      <c r="H174" s="307"/>
      <c r="I174" s="307"/>
      <c r="J174" s="168"/>
      <c r="K174" s="170">
        <v>9.88</v>
      </c>
      <c r="L174" s="168"/>
      <c r="M174" s="168"/>
      <c r="N174" s="168"/>
      <c r="O174" s="168"/>
      <c r="P174" s="168"/>
      <c r="Q174" s="168"/>
      <c r="R174" s="171"/>
      <c r="T174" s="172"/>
      <c r="U174" s="168"/>
      <c r="V174" s="168"/>
      <c r="W174" s="168"/>
      <c r="X174" s="168"/>
      <c r="Y174" s="168"/>
      <c r="Z174" s="168"/>
      <c r="AA174" s="173"/>
      <c r="AT174" s="174" t="s">
        <v>179</v>
      </c>
      <c r="AU174" s="174" t="s">
        <v>135</v>
      </c>
      <c r="AV174" s="12" t="s">
        <v>172</v>
      </c>
      <c r="AW174" s="12" t="s">
        <v>35</v>
      </c>
      <c r="AX174" s="12" t="s">
        <v>21</v>
      </c>
      <c r="AY174" s="174" t="s">
        <v>167</v>
      </c>
    </row>
    <row r="175" spans="2:63" s="9" customFormat="1" ht="29.85" customHeight="1">
      <c r="B175" s="130"/>
      <c r="C175" s="131"/>
      <c r="D175" s="140" t="s">
        <v>150</v>
      </c>
      <c r="E175" s="140"/>
      <c r="F175" s="140"/>
      <c r="G175" s="140"/>
      <c r="H175" s="140"/>
      <c r="I175" s="140"/>
      <c r="J175" s="140"/>
      <c r="K175" s="140"/>
      <c r="L175" s="140"/>
      <c r="M175" s="140"/>
      <c r="N175" s="298">
        <f>BK175</f>
        <v>0</v>
      </c>
      <c r="O175" s="299"/>
      <c r="P175" s="299"/>
      <c r="Q175" s="299"/>
      <c r="R175" s="133"/>
      <c r="T175" s="134"/>
      <c r="U175" s="131"/>
      <c r="V175" s="131"/>
      <c r="W175" s="135">
        <f>SUM(W176:W201)</f>
        <v>110.1216</v>
      </c>
      <c r="X175" s="131"/>
      <c r="Y175" s="135">
        <f>SUM(Y176:Y201)</f>
        <v>0.7376399999999999</v>
      </c>
      <c r="Z175" s="131"/>
      <c r="AA175" s="136">
        <f>SUM(AA176:AA201)</f>
        <v>0</v>
      </c>
      <c r="AR175" s="137" t="s">
        <v>21</v>
      </c>
      <c r="AT175" s="138" t="s">
        <v>77</v>
      </c>
      <c r="AU175" s="138" t="s">
        <v>21</v>
      </c>
      <c r="AY175" s="137" t="s">
        <v>167</v>
      </c>
      <c r="BK175" s="139">
        <f>SUM(BK176:BK201)</f>
        <v>0</v>
      </c>
    </row>
    <row r="176" spans="2:65" s="1" customFormat="1" ht="22.5" customHeight="1">
      <c r="B176" s="141"/>
      <c r="C176" s="142" t="s">
        <v>276</v>
      </c>
      <c r="D176" s="142" t="s">
        <v>168</v>
      </c>
      <c r="E176" s="143" t="s">
        <v>545</v>
      </c>
      <c r="F176" s="293" t="s">
        <v>546</v>
      </c>
      <c r="G176" s="293"/>
      <c r="H176" s="293"/>
      <c r="I176" s="293"/>
      <c r="J176" s="144" t="s">
        <v>259</v>
      </c>
      <c r="K176" s="145">
        <v>16</v>
      </c>
      <c r="L176" s="294"/>
      <c r="M176" s="294"/>
      <c r="N176" s="294">
        <f>ROUND(L176*K176,2)</f>
        <v>0</v>
      </c>
      <c r="O176" s="294"/>
      <c r="P176" s="294"/>
      <c r="Q176" s="294"/>
      <c r="R176" s="146"/>
      <c r="T176" s="147" t="s">
        <v>5</v>
      </c>
      <c r="U176" s="44" t="s">
        <v>43</v>
      </c>
      <c r="V176" s="148">
        <v>0.235</v>
      </c>
      <c r="W176" s="148">
        <f>V176*K176</f>
        <v>3.76</v>
      </c>
      <c r="X176" s="148">
        <v>0</v>
      </c>
      <c r="Y176" s="148">
        <f>X176*K176</f>
        <v>0</v>
      </c>
      <c r="Z176" s="148">
        <v>0</v>
      </c>
      <c r="AA176" s="149">
        <f>Z176*K176</f>
        <v>0</v>
      </c>
      <c r="AR176" s="21" t="s">
        <v>172</v>
      </c>
      <c r="AT176" s="21" t="s">
        <v>168</v>
      </c>
      <c r="AU176" s="21" t="s">
        <v>135</v>
      </c>
      <c r="AY176" s="21" t="s">
        <v>167</v>
      </c>
      <c r="BE176" s="150">
        <f>IF(U176="základní",N176,0)</f>
        <v>0</v>
      </c>
      <c r="BF176" s="150">
        <f>IF(U176="snížená",N176,0)</f>
        <v>0</v>
      </c>
      <c r="BG176" s="150">
        <f>IF(U176="zákl. přenesená",N176,0)</f>
        <v>0</v>
      </c>
      <c r="BH176" s="150">
        <f>IF(U176="sníž. přenesená",N176,0)</f>
        <v>0</v>
      </c>
      <c r="BI176" s="150">
        <f>IF(U176="nulová",N176,0)</f>
        <v>0</v>
      </c>
      <c r="BJ176" s="21" t="s">
        <v>21</v>
      </c>
      <c r="BK176" s="150">
        <f>ROUND(L176*K176,2)</f>
        <v>0</v>
      </c>
      <c r="BL176" s="21" t="s">
        <v>172</v>
      </c>
      <c r="BM176" s="21" t="s">
        <v>547</v>
      </c>
    </row>
    <row r="177" spans="2:65" s="1" customFormat="1" ht="44.25" customHeight="1">
      <c r="B177" s="141"/>
      <c r="C177" s="142" t="s">
        <v>278</v>
      </c>
      <c r="D177" s="142" t="s">
        <v>168</v>
      </c>
      <c r="E177" s="143" t="s">
        <v>548</v>
      </c>
      <c r="F177" s="293" t="s">
        <v>549</v>
      </c>
      <c r="G177" s="293"/>
      <c r="H177" s="293"/>
      <c r="I177" s="293"/>
      <c r="J177" s="144" t="s">
        <v>259</v>
      </c>
      <c r="K177" s="145">
        <v>16.3</v>
      </c>
      <c r="L177" s="294"/>
      <c r="M177" s="294"/>
      <c r="N177" s="294">
        <f>ROUND(L177*K177,2)</f>
        <v>0</v>
      </c>
      <c r="O177" s="294"/>
      <c r="P177" s="294"/>
      <c r="Q177" s="294"/>
      <c r="R177" s="146"/>
      <c r="T177" s="147" t="s">
        <v>5</v>
      </c>
      <c r="U177" s="44" t="s">
        <v>43</v>
      </c>
      <c r="V177" s="148">
        <v>0.235</v>
      </c>
      <c r="W177" s="148">
        <f>V177*K177</f>
        <v>3.8305</v>
      </c>
      <c r="X177" s="148">
        <v>0</v>
      </c>
      <c r="Y177" s="148">
        <f>X177*K177</f>
        <v>0</v>
      </c>
      <c r="Z177" s="148">
        <v>0</v>
      </c>
      <c r="AA177" s="149">
        <f>Z177*K177</f>
        <v>0</v>
      </c>
      <c r="AR177" s="21" t="s">
        <v>172</v>
      </c>
      <c r="AT177" s="21" t="s">
        <v>168</v>
      </c>
      <c r="AU177" s="21" t="s">
        <v>135</v>
      </c>
      <c r="AY177" s="21" t="s">
        <v>167</v>
      </c>
      <c r="BE177" s="150">
        <f>IF(U177="základní",N177,0)</f>
        <v>0</v>
      </c>
      <c r="BF177" s="150">
        <f>IF(U177="snížená",N177,0)</f>
        <v>0</v>
      </c>
      <c r="BG177" s="150">
        <f>IF(U177="zákl. přenesená",N177,0)</f>
        <v>0</v>
      </c>
      <c r="BH177" s="150">
        <f>IF(U177="sníž. přenesená",N177,0)</f>
        <v>0</v>
      </c>
      <c r="BI177" s="150">
        <f>IF(U177="nulová",N177,0)</f>
        <v>0</v>
      </c>
      <c r="BJ177" s="21" t="s">
        <v>21</v>
      </c>
      <c r="BK177" s="150">
        <f>ROUND(L177*K177,2)</f>
        <v>0</v>
      </c>
      <c r="BL177" s="21" t="s">
        <v>172</v>
      </c>
      <c r="BM177" s="21" t="s">
        <v>550</v>
      </c>
    </row>
    <row r="178" spans="2:51" s="11" customFormat="1" ht="22.5" customHeight="1">
      <c r="B178" s="159"/>
      <c r="C178" s="160"/>
      <c r="D178" s="160"/>
      <c r="E178" s="161" t="s">
        <v>5</v>
      </c>
      <c r="F178" s="308" t="s">
        <v>551</v>
      </c>
      <c r="G178" s="309"/>
      <c r="H178" s="309"/>
      <c r="I178" s="309"/>
      <c r="J178" s="160"/>
      <c r="K178" s="162">
        <v>8.5</v>
      </c>
      <c r="L178" s="160"/>
      <c r="M178" s="160"/>
      <c r="N178" s="160"/>
      <c r="O178" s="160"/>
      <c r="P178" s="160"/>
      <c r="Q178" s="160"/>
      <c r="R178" s="163"/>
      <c r="T178" s="164"/>
      <c r="U178" s="160"/>
      <c r="V178" s="160"/>
      <c r="W178" s="160"/>
      <c r="X178" s="160"/>
      <c r="Y178" s="160"/>
      <c r="Z178" s="160"/>
      <c r="AA178" s="165"/>
      <c r="AT178" s="166" t="s">
        <v>179</v>
      </c>
      <c r="AU178" s="166" t="s">
        <v>135</v>
      </c>
      <c r="AV178" s="11" t="s">
        <v>135</v>
      </c>
      <c r="AW178" s="11" t="s">
        <v>35</v>
      </c>
      <c r="AX178" s="11" t="s">
        <v>78</v>
      </c>
      <c r="AY178" s="166" t="s">
        <v>167</v>
      </c>
    </row>
    <row r="179" spans="2:51" s="11" customFormat="1" ht="22.5" customHeight="1">
      <c r="B179" s="159"/>
      <c r="C179" s="160"/>
      <c r="D179" s="160"/>
      <c r="E179" s="161" t="s">
        <v>5</v>
      </c>
      <c r="F179" s="302" t="s">
        <v>552</v>
      </c>
      <c r="G179" s="303"/>
      <c r="H179" s="303"/>
      <c r="I179" s="303"/>
      <c r="J179" s="160"/>
      <c r="K179" s="162">
        <v>7.8</v>
      </c>
      <c r="L179" s="160"/>
      <c r="M179" s="160"/>
      <c r="N179" s="160"/>
      <c r="O179" s="160"/>
      <c r="P179" s="160"/>
      <c r="Q179" s="160"/>
      <c r="R179" s="163"/>
      <c r="T179" s="164"/>
      <c r="U179" s="160"/>
      <c r="V179" s="160"/>
      <c r="W179" s="160"/>
      <c r="X179" s="160"/>
      <c r="Y179" s="160"/>
      <c r="Z179" s="160"/>
      <c r="AA179" s="165"/>
      <c r="AT179" s="166" t="s">
        <v>179</v>
      </c>
      <c r="AU179" s="166" t="s">
        <v>135</v>
      </c>
      <c r="AV179" s="11" t="s">
        <v>135</v>
      </c>
      <c r="AW179" s="11" t="s">
        <v>35</v>
      </c>
      <c r="AX179" s="11" t="s">
        <v>78</v>
      </c>
      <c r="AY179" s="166" t="s">
        <v>167</v>
      </c>
    </row>
    <row r="180" spans="2:51" s="12" customFormat="1" ht="22.5" customHeight="1">
      <c r="B180" s="167"/>
      <c r="C180" s="168"/>
      <c r="D180" s="168"/>
      <c r="E180" s="169" t="s">
        <v>5</v>
      </c>
      <c r="F180" s="306" t="s">
        <v>183</v>
      </c>
      <c r="G180" s="307"/>
      <c r="H180" s="307"/>
      <c r="I180" s="307"/>
      <c r="J180" s="168"/>
      <c r="K180" s="170">
        <v>16.3</v>
      </c>
      <c r="L180" s="168"/>
      <c r="M180" s="168"/>
      <c r="N180" s="168"/>
      <c r="O180" s="168"/>
      <c r="P180" s="168"/>
      <c r="Q180" s="168"/>
      <c r="R180" s="171"/>
      <c r="T180" s="172"/>
      <c r="U180" s="168"/>
      <c r="V180" s="168"/>
      <c r="W180" s="168"/>
      <c r="X180" s="168"/>
      <c r="Y180" s="168"/>
      <c r="Z180" s="168"/>
      <c r="AA180" s="173"/>
      <c r="AT180" s="174" t="s">
        <v>179</v>
      </c>
      <c r="AU180" s="174" t="s">
        <v>135</v>
      </c>
      <c r="AV180" s="12" t="s">
        <v>172</v>
      </c>
      <c r="AW180" s="12" t="s">
        <v>35</v>
      </c>
      <c r="AX180" s="12" t="s">
        <v>21</v>
      </c>
      <c r="AY180" s="174" t="s">
        <v>167</v>
      </c>
    </row>
    <row r="181" spans="2:65" s="1" customFormat="1" ht="31.5" customHeight="1">
      <c r="B181" s="141"/>
      <c r="C181" s="178" t="s">
        <v>11</v>
      </c>
      <c r="D181" s="178" t="s">
        <v>317</v>
      </c>
      <c r="E181" s="179" t="s">
        <v>553</v>
      </c>
      <c r="F181" s="313" t="s">
        <v>554</v>
      </c>
      <c r="G181" s="313"/>
      <c r="H181" s="313"/>
      <c r="I181" s="313"/>
      <c r="J181" s="180" t="s">
        <v>259</v>
      </c>
      <c r="K181" s="181">
        <v>17</v>
      </c>
      <c r="L181" s="314"/>
      <c r="M181" s="314"/>
      <c r="N181" s="314">
        <f>ROUND(L181*K181,2)</f>
        <v>0</v>
      </c>
      <c r="O181" s="294"/>
      <c r="P181" s="294"/>
      <c r="Q181" s="294"/>
      <c r="R181" s="146"/>
      <c r="T181" s="147" t="s">
        <v>5</v>
      </c>
      <c r="U181" s="44" t="s">
        <v>43</v>
      </c>
      <c r="V181" s="148">
        <v>0</v>
      </c>
      <c r="W181" s="148">
        <f>V181*K181</f>
        <v>0</v>
      </c>
      <c r="X181" s="148">
        <v>0.00147</v>
      </c>
      <c r="Y181" s="148">
        <f>X181*K181</f>
        <v>0.02499</v>
      </c>
      <c r="Z181" s="148">
        <v>0</v>
      </c>
      <c r="AA181" s="149">
        <f>Z181*K181</f>
        <v>0</v>
      </c>
      <c r="AR181" s="21" t="s">
        <v>213</v>
      </c>
      <c r="AT181" s="21" t="s">
        <v>317</v>
      </c>
      <c r="AU181" s="21" t="s">
        <v>135</v>
      </c>
      <c r="AY181" s="21" t="s">
        <v>167</v>
      </c>
      <c r="BE181" s="150">
        <f>IF(U181="základní",N181,0)</f>
        <v>0</v>
      </c>
      <c r="BF181" s="150">
        <f>IF(U181="snížená",N181,0)</f>
        <v>0</v>
      </c>
      <c r="BG181" s="150">
        <f>IF(U181="zákl. přenesená",N181,0)</f>
        <v>0</v>
      </c>
      <c r="BH181" s="150">
        <f>IF(U181="sníž. přenesená",N181,0)</f>
        <v>0</v>
      </c>
      <c r="BI181" s="150">
        <f>IF(U181="nulová",N181,0)</f>
        <v>0</v>
      </c>
      <c r="BJ181" s="21" t="s">
        <v>21</v>
      </c>
      <c r="BK181" s="150">
        <f>ROUND(L181*K181,2)</f>
        <v>0</v>
      </c>
      <c r="BL181" s="21" t="s">
        <v>172</v>
      </c>
      <c r="BM181" s="21" t="s">
        <v>555</v>
      </c>
    </row>
    <row r="182" spans="2:65" s="1" customFormat="1" ht="44.25" customHeight="1">
      <c r="B182" s="141"/>
      <c r="C182" s="142" t="s">
        <v>281</v>
      </c>
      <c r="D182" s="142" t="s">
        <v>168</v>
      </c>
      <c r="E182" s="143" t="s">
        <v>556</v>
      </c>
      <c r="F182" s="293" t="s">
        <v>557</v>
      </c>
      <c r="G182" s="293"/>
      <c r="H182" s="293"/>
      <c r="I182" s="293"/>
      <c r="J182" s="144" t="s">
        <v>259</v>
      </c>
      <c r="K182" s="145">
        <v>11.2</v>
      </c>
      <c r="L182" s="294"/>
      <c r="M182" s="294"/>
      <c r="N182" s="294">
        <f>ROUND(L182*K182,2)</f>
        <v>0</v>
      </c>
      <c r="O182" s="294"/>
      <c r="P182" s="294"/>
      <c r="Q182" s="294"/>
      <c r="R182" s="146"/>
      <c r="T182" s="147" t="s">
        <v>5</v>
      </c>
      <c r="U182" s="44" t="s">
        <v>43</v>
      </c>
      <c r="V182" s="148">
        <v>0.248</v>
      </c>
      <c r="W182" s="148">
        <f>V182*K182</f>
        <v>2.7775999999999996</v>
      </c>
      <c r="X182" s="148">
        <v>0</v>
      </c>
      <c r="Y182" s="148">
        <f>X182*K182</f>
        <v>0</v>
      </c>
      <c r="Z182" s="148">
        <v>0</v>
      </c>
      <c r="AA182" s="149">
        <f>Z182*K182</f>
        <v>0</v>
      </c>
      <c r="AR182" s="21" t="s">
        <v>172</v>
      </c>
      <c r="AT182" s="21" t="s">
        <v>168</v>
      </c>
      <c r="AU182" s="21" t="s">
        <v>135</v>
      </c>
      <c r="AY182" s="21" t="s">
        <v>167</v>
      </c>
      <c r="BE182" s="150">
        <f>IF(U182="základní",N182,0)</f>
        <v>0</v>
      </c>
      <c r="BF182" s="150">
        <f>IF(U182="snížená",N182,0)</f>
        <v>0</v>
      </c>
      <c r="BG182" s="150">
        <f>IF(U182="zákl. přenesená",N182,0)</f>
        <v>0</v>
      </c>
      <c r="BH182" s="150">
        <f>IF(U182="sníž. přenesená",N182,0)</f>
        <v>0</v>
      </c>
      <c r="BI182" s="150">
        <f>IF(U182="nulová",N182,0)</f>
        <v>0</v>
      </c>
      <c r="BJ182" s="21" t="s">
        <v>21</v>
      </c>
      <c r="BK182" s="150">
        <f>ROUND(L182*K182,2)</f>
        <v>0</v>
      </c>
      <c r="BL182" s="21" t="s">
        <v>172</v>
      </c>
      <c r="BM182" s="21" t="s">
        <v>558</v>
      </c>
    </row>
    <row r="183" spans="2:51" s="11" customFormat="1" ht="22.5" customHeight="1">
      <c r="B183" s="159"/>
      <c r="C183" s="160"/>
      <c r="D183" s="160"/>
      <c r="E183" s="161" t="s">
        <v>5</v>
      </c>
      <c r="F183" s="308" t="s">
        <v>559</v>
      </c>
      <c r="G183" s="309"/>
      <c r="H183" s="309"/>
      <c r="I183" s="309"/>
      <c r="J183" s="160"/>
      <c r="K183" s="162">
        <v>6.5</v>
      </c>
      <c r="L183" s="160"/>
      <c r="M183" s="160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179</v>
      </c>
      <c r="AU183" s="166" t="s">
        <v>135</v>
      </c>
      <c r="AV183" s="11" t="s">
        <v>135</v>
      </c>
      <c r="AW183" s="11" t="s">
        <v>35</v>
      </c>
      <c r="AX183" s="11" t="s">
        <v>78</v>
      </c>
      <c r="AY183" s="166" t="s">
        <v>167</v>
      </c>
    </row>
    <row r="184" spans="2:51" s="11" customFormat="1" ht="22.5" customHeight="1">
      <c r="B184" s="159"/>
      <c r="C184" s="160"/>
      <c r="D184" s="160"/>
      <c r="E184" s="161" t="s">
        <v>5</v>
      </c>
      <c r="F184" s="302" t="s">
        <v>560</v>
      </c>
      <c r="G184" s="303"/>
      <c r="H184" s="303"/>
      <c r="I184" s="303"/>
      <c r="J184" s="160"/>
      <c r="K184" s="162">
        <v>4.7</v>
      </c>
      <c r="L184" s="160"/>
      <c r="M184" s="160"/>
      <c r="N184" s="160"/>
      <c r="O184" s="160"/>
      <c r="P184" s="160"/>
      <c r="Q184" s="160"/>
      <c r="R184" s="163"/>
      <c r="T184" s="164"/>
      <c r="U184" s="160"/>
      <c r="V184" s="160"/>
      <c r="W184" s="160"/>
      <c r="X184" s="160"/>
      <c r="Y184" s="160"/>
      <c r="Z184" s="160"/>
      <c r="AA184" s="165"/>
      <c r="AT184" s="166" t="s">
        <v>179</v>
      </c>
      <c r="AU184" s="166" t="s">
        <v>135</v>
      </c>
      <c r="AV184" s="11" t="s">
        <v>135</v>
      </c>
      <c r="AW184" s="11" t="s">
        <v>35</v>
      </c>
      <c r="AX184" s="11" t="s">
        <v>78</v>
      </c>
      <c r="AY184" s="166" t="s">
        <v>167</v>
      </c>
    </row>
    <row r="185" spans="2:51" s="12" customFormat="1" ht="22.5" customHeight="1">
      <c r="B185" s="167"/>
      <c r="C185" s="168"/>
      <c r="D185" s="168"/>
      <c r="E185" s="169" t="s">
        <v>5</v>
      </c>
      <c r="F185" s="306" t="s">
        <v>183</v>
      </c>
      <c r="G185" s="307"/>
      <c r="H185" s="307"/>
      <c r="I185" s="307"/>
      <c r="J185" s="168"/>
      <c r="K185" s="170">
        <v>11.2</v>
      </c>
      <c r="L185" s="168"/>
      <c r="M185" s="168"/>
      <c r="N185" s="168"/>
      <c r="O185" s="168"/>
      <c r="P185" s="168"/>
      <c r="Q185" s="168"/>
      <c r="R185" s="171"/>
      <c r="T185" s="172"/>
      <c r="U185" s="168"/>
      <c r="V185" s="168"/>
      <c r="W185" s="168"/>
      <c r="X185" s="168"/>
      <c r="Y185" s="168"/>
      <c r="Z185" s="168"/>
      <c r="AA185" s="173"/>
      <c r="AT185" s="174" t="s">
        <v>179</v>
      </c>
      <c r="AU185" s="174" t="s">
        <v>135</v>
      </c>
      <c r="AV185" s="12" t="s">
        <v>172</v>
      </c>
      <c r="AW185" s="12" t="s">
        <v>35</v>
      </c>
      <c r="AX185" s="12" t="s">
        <v>21</v>
      </c>
      <c r="AY185" s="174" t="s">
        <v>167</v>
      </c>
    </row>
    <row r="186" spans="2:65" s="1" customFormat="1" ht="31.5" customHeight="1">
      <c r="B186" s="141"/>
      <c r="C186" s="178" t="s">
        <v>288</v>
      </c>
      <c r="D186" s="178" t="s">
        <v>317</v>
      </c>
      <c r="E186" s="179" t="s">
        <v>561</v>
      </c>
      <c r="F186" s="313" t="s">
        <v>562</v>
      </c>
      <c r="G186" s="313"/>
      <c r="H186" s="313"/>
      <c r="I186" s="313"/>
      <c r="J186" s="180" t="s">
        <v>259</v>
      </c>
      <c r="K186" s="181">
        <v>12</v>
      </c>
      <c r="L186" s="314"/>
      <c r="M186" s="314"/>
      <c r="N186" s="314">
        <f>ROUND(L186*K186,2)</f>
        <v>0</v>
      </c>
      <c r="O186" s="294"/>
      <c r="P186" s="294"/>
      <c r="Q186" s="294"/>
      <c r="R186" s="146"/>
      <c r="T186" s="147" t="s">
        <v>5</v>
      </c>
      <c r="U186" s="44" t="s">
        <v>43</v>
      </c>
      <c r="V186" s="148">
        <v>0</v>
      </c>
      <c r="W186" s="148">
        <f>V186*K186</f>
        <v>0</v>
      </c>
      <c r="X186" s="148">
        <v>0.00219</v>
      </c>
      <c r="Y186" s="148">
        <f>X186*K186</f>
        <v>0.02628</v>
      </c>
      <c r="Z186" s="148">
        <v>0</v>
      </c>
      <c r="AA186" s="149">
        <f>Z186*K186</f>
        <v>0</v>
      </c>
      <c r="AR186" s="21" t="s">
        <v>213</v>
      </c>
      <c r="AT186" s="21" t="s">
        <v>317</v>
      </c>
      <c r="AU186" s="21" t="s">
        <v>135</v>
      </c>
      <c r="AY186" s="21" t="s">
        <v>167</v>
      </c>
      <c r="BE186" s="150">
        <f>IF(U186="základní",N186,0)</f>
        <v>0</v>
      </c>
      <c r="BF186" s="150">
        <f>IF(U186="snížená",N186,0)</f>
        <v>0</v>
      </c>
      <c r="BG186" s="150">
        <f>IF(U186="zákl. přenesená",N186,0)</f>
        <v>0</v>
      </c>
      <c r="BH186" s="150">
        <f>IF(U186="sníž. přenesená",N186,0)</f>
        <v>0</v>
      </c>
      <c r="BI186" s="150">
        <f>IF(U186="nulová",N186,0)</f>
        <v>0</v>
      </c>
      <c r="BJ186" s="21" t="s">
        <v>21</v>
      </c>
      <c r="BK186" s="150">
        <f>ROUND(L186*K186,2)</f>
        <v>0</v>
      </c>
      <c r="BL186" s="21" t="s">
        <v>172</v>
      </c>
      <c r="BM186" s="21" t="s">
        <v>563</v>
      </c>
    </row>
    <row r="187" spans="2:65" s="1" customFormat="1" ht="44.25" customHeight="1">
      <c r="B187" s="141"/>
      <c r="C187" s="142" t="s">
        <v>295</v>
      </c>
      <c r="D187" s="142" t="s">
        <v>168</v>
      </c>
      <c r="E187" s="143" t="s">
        <v>564</v>
      </c>
      <c r="F187" s="293" t="s">
        <v>565</v>
      </c>
      <c r="G187" s="293"/>
      <c r="H187" s="293"/>
      <c r="I187" s="293"/>
      <c r="J187" s="144" t="s">
        <v>259</v>
      </c>
      <c r="K187" s="145">
        <v>18.1</v>
      </c>
      <c r="L187" s="294"/>
      <c r="M187" s="294"/>
      <c r="N187" s="294">
        <f>ROUND(L187*K187,2)</f>
        <v>0</v>
      </c>
      <c r="O187" s="294"/>
      <c r="P187" s="294"/>
      <c r="Q187" s="294"/>
      <c r="R187" s="146"/>
      <c r="T187" s="147" t="s">
        <v>5</v>
      </c>
      <c r="U187" s="44" t="s">
        <v>43</v>
      </c>
      <c r="V187" s="148">
        <v>0.271</v>
      </c>
      <c r="W187" s="148">
        <f>V187*K187</f>
        <v>4.905100000000001</v>
      </c>
      <c r="X187" s="148">
        <v>0</v>
      </c>
      <c r="Y187" s="148">
        <f>X187*K187</f>
        <v>0</v>
      </c>
      <c r="Z187" s="148">
        <v>0</v>
      </c>
      <c r="AA187" s="149">
        <f>Z187*K187</f>
        <v>0</v>
      </c>
      <c r="AR187" s="21" t="s">
        <v>172</v>
      </c>
      <c r="AT187" s="21" t="s">
        <v>168</v>
      </c>
      <c r="AU187" s="21" t="s">
        <v>135</v>
      </c>
      <c r="AY187" s="21" t="s">
        <v>167</v>
      </c>
      <c r="BE187" s="150">
        <f>IF(U187="základní",N187,0)</f>
        <v>0</v>
      </c>
      <c r="BF187" s="150">
        <f>IF(U187="snížená",N187,0)</f>
        <v>0</v>
      </c>
      <c r="BG187" s="150">
        <f>IF(U187="zákl. přenesená",N187,0)</f>
        <v>0</v>
      </c>
      <c r="BH187" s="150">
        <f>IF(U187="sníž. přenesená",N187,0)</f>
        <v>0</v>
      </c>
      <c r="BI187" s="150">
        <f>IF(U187="nulová",N187,0)</f>
        <v>0</v>
      </c>
      <c r="BJ187" s="21" t="s">
        <v>21</v>
      </c>
      <c r="BK187" s="150">
        <f>ROUND(L187*K187,2)</f>
        <v>0</v>
      </c>
      <c r="BL187" s="21" t="s">
        <v>172</v>
      </c>
      <c r="BM187" s="21" t="s">
        <v>566</v>
      </c>
    </row>
    <row r="188" spans="2:51" s="11" customFormat="1" ht="22.5" customHeight="1">
      <c r="B188" s="159"/>
      <c r="C188" s="160"/>
      <c r="D188" s="160"/>
      <c r="E188" s="161" t="s">
        <v>5</v>
      </c>
      <c r="F188" s="308" t="s">
        <v>567</v>
      </c>
      <c r="G188" s="309"/>
      <c r="H188" s="309"/>
      <c r="I188" s="309"/>
      <c r="J188" s="160"/>
      <c r="K188" s="162">
        <v>9</v>
      </c>
      <c r="L188" s="160"/>
      <c r="M188" s="160"/>
      <c r="N188" s="160"/>
      <c r="O188" s="160"/>
      <c r="P188" s="160"/>
      <c r="Q188" s="160"/>
      <c r="R188" s="163"/>
      <c r="T188" s="164"/>
      <c r="U188" s="160"/>
      <c r="V188" s="160"/>
      <c r="W188" s="160"/>
      <c r="X188" s="160"/>
      <c r="Y188" s="160"/>
      <c r="Z188" s="160"/>
      <c r="AA188" s="165"/>
      <c r="AT188" s="166" t="s">
        <v>179</v>
      </c>
      <c r="AU188" s="166" t="s">
        <v>135</v>
      </c>
      <c r="AV188" s="11" t="s">
        <v>135</v>
      </c>
      <c r="AW188" s="11" t="s">
        <v>35</v>
      </c>
      <c r="AX188" s="11" t="s">
        <v>78</v>
      </c>
      <c r="AY188" s="166" t="s">
        <v>167</v>
      </c>
    </row>
    <row r="189" spans="2:51" s="11" customFormat="1" ht="22.5" customHeight="1">
      <c r="B189" s="159"/>
      <c r="C189" s="160"/>
      <c r="D189" s="160"/>
      <c r="E189" s="161" t="s">
        <v>5</v>
      </c>
      <c r="F189" s="302" t="s">
        <v>568</v>
      </c>
      <c r="G189" s="303"/>
      <c r="H189" s="303"/>
      <c r="I189" s="303"/>
      <c r="J189" s="160"/>
      <c r="K189" s="162">
        <v>9.1</v>
      </c>
      <c r="L189" s="160"/>
      <c r="M189" s="160"/>
      <c r="N189" s="160"/>
      <c r="O189" s="160"/>
      <c r="P189" s="160"/>
      <c r="Q189" s="160"/>
      <c r="R189" s="163"/>
      <c r="T189" s="164"/>
      <c r="U189" s="160"/>
      <c r="V189" s="160"/>
      <c r="W189" s="160"/>
      <c r="X189" s="160"/>
      <c r="Y189" s="160"/>
      <c r="Z189" s="160"/>
      <c r="AA189" s="165"/>
      <c r="AT189" s="166" t="s">
        <v>179</v>
      </c>
      <c r="AU189" s="166" t="s">
        <v>135</v>
      </c>
      <c r="AV189" s="11" t="s">
        <v>135</v>
      </c>
      <c r="AW189" s="11" t="s">
        <v>35</v>
      </c>
      <c r="AX189" s="11" t="s">
        <v>78</v>
      </c>
      <c r="AY189" s="166" t="s">
        <v>167</v>
      </c>
    </row>
    <row r="190" spans="2:51" s="12" customFormat="1" ht="22.5" customHeight="1">
      <c r="B190" s="167"/>
      <c r="C190" s="168"/>
      <c r="D190" s="168"/>
      <c r="E190" s="169" t="s">
        <v>5</v>
      </c>
      <c r="F190" s="306" t="s">
        <v>183</v>
      </c>
      <c r="G190" s="307"/>
      <c r="H190" s="307"/>
      <c r="I190" s="307"/>
      <c r="J190" s="168"/>
      <c r="K190" s="170">
        <v>18.1</v>
      </c>
      <c r="L190" s="168"/>
      <c r="M190" s="168"/>
      <c r="N190" s="168"/>
      <c r="O190" s="168"/>
      <c r="P190" s="168"/>
      <c r="Q190" s="168"/>
      <c r="R190" s="171"/>
      <c r="T190" s="172"/>
      <c r="U190" s="168"/>
      <c r="V190" s="168"/>
      <c r="W190" s="168"/>
      <c r="X190" s="168"/>
      <c r="Y190" s="168"/>
      <c r="Z190" s="168"/>
      <c r="AA190" s="173"/>
      <c r="AT190" s="174" t="s">
        <v>179</v>
      </c>
      <c r="AU190" s="174" t="s">
        <v>135</v>
      </c>
      <c r="AV190" s="12" t="s">
        <v>172</v>
      </c>
      <c r="AW190" s="12" t="s">
        <v>35</v>
      </c>
      <c r="AX190" s="12" t="s">
        <v>21</v>
      </c>
      <c r="AY190" s="174" t="s">
        <v>167</v>
      </c>
    </row>
    <row r="191" spans="2:65" s="1" customFormat="1" ht="31.5" customHeight="1">
      <c r="B191" s="141"/>
      <c r="C191" s="178" t="s">
        <v>301</v>
      </c>
      <c r="D191" s="178" t="s">
        <v>317</v>
      </c>
      <c r="E191" s="179" t="s">
        <v>569</v>
      </c>
      <c r="F191" s="313" t="s">
        <v>570</v>
      </c>
      <c r="G191" s="313"/>
      <c r="H191" s="313"/>
      <c r="I191" s="313"/>
      <c r="J191" s="180" t="s">
        <v>259</v>
      </c>
      <c r="K191" s="181">
        <v>19</v>
      </c>
      <c r="L191" s="314"/>
      <c r="M191" s="314"/>
      <c r="N191" s="314">
        <f>ROUND(L191*K191,2)</f>
        <v>0</v>
      </c>
      <c r="O191" s="294"/>
      <c r="P191" s="294"/>
      <c r="Q191" s="294"/>
      <c r="R191" s="146"/>
      <c r="T191" s="147" t="s">
        <v>5</v>
      </c>
      <c r="U191" s="44" t="s">
        <v>43</v>
      </c>
      <c r="V191" s="148">
        <v>0</v>
      </c>
      <c r="W191" s="148">
        <f>V191*K191</f>
        <v>0</v>
      </c>
      <c r="X191" s="148">
        <v>0.00457</v>
      </c>
      <c r="Y191" s="148">
        <f>X191*K191</f>
        <v>0.08683</v>
      </c>
      <c r="Z191" s="148">
        <v>0</v>
      </c>
      <c r="AA191" s="149">
        <f>Z191*K191</f>
        <v>0</v>
      </c>
      <c r="AR191" s="21" t="s">
        <v>213</v>
      </c>
      <c r="AT191" s="21" t="s">
        <v>317</v>
      </c>
      <c r="AU191" s="21" t="s">
        <v>135</v>
      </c>
      <c r="AY191" s="21" t="s">
        <v>167</v>
      </c>
      <c r="BE191" s="150">
        <f>IF(U191="základní",N191,0)</f>
        <v>0</v>
      </c>
      <c r="BF191" s="150">
        <f>IF(U191="snížená",N191,0)</f>
        <v>0</v>
      </c>
      <c r="BG191" s="150">
        <f>IF(U191="zákl. přenesená",N191,0)</f>
        <v>0</v>
      </c>
      <c r="BH191" s="150">
        <f>IF(U191="sníž. přenesená",N191,0)</f>
        <v>0</v>
      </c>
      <c r="BI191" s="150">
        <f>IF(U191="nulová",N191,0)</f>
        <v>0</v>
      </c>
      <c r="BJ191" s="21" t="s">
        <v>21</v>
      </c>
      <c r="BK191" s="150">
        <f>ROUND(L191*K191,2)</f>
        <v>0</v>
      </c>
      <c r="BL191" s="21" t="s">
        <v>172</v>
      </c>
      <c r="BM191" s="21" t="s">
        <v>571</v>
      </c>
    </row>
    <row r="192" spans="2:65" s="1" customFormat="1" ht="31.5" customHeight="1">
      <c r="B192" s="141"/>
      <c r="C192" s="142" t="s">
        <v>305</v>
      </c>
      <c r="D192" s="142" t="s">
        <v>168</v>
      </c>
      <c r="E192" s="143" t="s">
        <v>572</v>
      </c>
      <c r="F192" s="293" t="s">
        <v>573</v>
      </c>
      <c r="G192" s="293"/>
      <c r="H192" s="293"/>
      <c r="I192" s="293"/>
      <c r="J192" s="144" t="s">
        <v>259</v>
      </c>
      <c r="K192" s="145">
        <v>78.4</v>
      </c>
      <c r="L192" s="294"/>
      <c r="M192" s="294"/>
      <c r="N192" s="294">
        <f>ROUND(L192*K192,2)</f>
        <v>0</v>
      </c>
      <c r="O192" s="294"/>
      <c r="P192" s="294"/>
      <c r="Q192" s="294"/>
      <c r="R192" s="146"/>
      <c r="T192" s="147" t="s">
        <v>5</v>
      </c>
      <c r="U192" s="44" t="s">
        <v>43</v>
      </c>
      <c r="V192" s="148">
        <v>0.321</v>
      </c>
      <c r="W192" s="148">
        <f>V192*K192</f>
        <v>25.166400000000003</v>
      </c>
      <c r="X192" s="148">
        <v>0</v>
      </c>
      <c r="Y192" s="148">
        <f>X192*K192</f>
        <v>0</v>
      </c>
      <c r="Z192" s="148">
        <v>0</v>
      </c>
      <c r="AA192" s="149">
        <f>Z192*K192</f>
        <v>0</v>
      </c>
      <c r="AR192" s="21" t="s">
        <v>172</v>
      </c>
      <c r="AT192" s="21" t="s">
        <v>168</v>
      </c>
      <c r="AU192" s="21" t="s">
        <v>135</v>
      </c>
      <c r="AY192" s="21" t="s">
        <v>167</v>
      </c>
      <c r="BE192" s="150">
        <f>IF(U192="základní",N192,0)</f>
        <v>0</v>
      </c>
      <c r="BF192" s="150">
        <f>IF(U192="snížená",N192,0)</f>
        <v>0</v>
      </c>
      <c r="BG192" s="150">
        <f>IF(U192="zákl. přenesená",N192,0)</f>
        <v>0</v>
      </c>
      <c r="BH192" s="150">
        <f>IF(U192="sníž. přenesená",N192,0)</f>
        <v>0</v>
      </c>
      <c r="BI192" s="150">
        <f>IF(U192="nulová",N192,0)</f>
        <v>0</v>
      </c>
      <c r="BJ192" s="21" t="s">
        <v>21</v>
      </c>
      <c r="BK192" s="150">
        <f>ROUND(L192*K192,2)</f>
        <v>0</v>
      </c>
      <c r="BL192" s="21" t="s">
        <v>172</v>
      </c>
      <c r="BM192" s="21" t="s">
        <v>574</v>
      </c>
    </row>
    <row r="193" spans="2:51" s="11" customFormat="1" ht="22.5" customHeight="1">
      <c r="B193" s="159"/>
      <c r="C193" s="160"/>
      <c r="D193" s="160"/>
      <c r="E193" s="161" t="s">
        <v>5</v>
      </c>
      <c r="F193" s="308" t="s">
        <v>575</v>
      </c>
      <c r="G193" s="309"/>
      <c r="H193" s="309"/>
      <c r="I193" s="309"/>
      <c r="J193" s="160"/>
      <c r="K193" s="162">
        <v>78.4</v>
      </c>
      <c r="L193" s="160"/>
      <c r="M193" s="160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179</v>
      </c>
      <c r="AU193" s="166" t="s">
        <v>135</v>
      </c>
      <c r="AV193" s="11" t="s">
        <v>135</v>
      </c>
      <c r="AW193" s="11" t="s">
        <v>35</v>
      </c>
      <c r="AX193" s="11" t="s">
        <v>21</v>
      </c>
      <c r="AY193" s="166" t="s">
        <v>167</v>
      </c>
    </row>
    <row r="194" spans="2:65" s="1" customFormat="1" ht="31.5" customHeight="1">
      <c r="B194" s="141"/>
      <c r="C194" s="178" t="s">
        <v>10</v>
      </c>
      <c r="D194" s="178" t="s">
        <v>317</v>
      </c>
      <c r="E194" s="179" t="s">
        <v>576</v>
      </c>
      <c r="F194" s="313" t="s">
        <v>577</v>
      </c>
      <c r="G194" s="313"/>
      <c r="H194" s="313"/>
      <c r="I194" s="313"/>
      <c r="J194" s="180" t="s">
        <v>578</v>
      </c>
      <c r="K194" s="181">
        <v>80</v>
      </c>
      <c r="L194" s="314"/>
      <c r="M194" s="314"/>
      <c r="N194" s="314">
        <f aca="true" t="shared" si="0" ref="N194:N201">ROUND(L194*K194,2)</f>
        <v>0</v>
      </c>
      <c r="O194" s="294"/>
      <c r="P194" s="294"/>
      <c r="Q194" s="294"/>
      <c r="R194" s="146"/>
      <c r="T194" s="147" t="s">
        <v>5</v>
      </c>
      <c r="U194" s="44" t="s">
        <v>43</v>
      </c>
      <c r="V194" s="148">
        <v>0</v>
      </c>
      <c r="W194" s="148">
        <f aca="true" t="shared" si="1" ref="W194:W201">V194*K194</f>
        <v>0</v>
      </c>
      <c r="X194" s="148">
        <v>0.0073</v>
      </c>
      <c r="Y194" s="148">
        <f aca="true" t="shared" si="2" ref="Y194:Y201">X194*K194</f>
        <v>0.584</v>
      </c>
      <c r="Z194" s="148">
        <v>0</v>
      </c>
      <c r="AA194" s="149">
        <f aca="true" t="shared" si="3" ref="AA194:AA201">Z194*K194</f>
        <v>0</v>
      </c>
      <c r="AR194" s="21" t="s">
        <v>213</v>
      </c>
      <c r="AT194" s="21" t="s">
        <v>317</v>
      </c>
      <c r="AU194" s="21" t="s">
        <v>135</v>
      </c>
      <c r="AY194" s="21" t="s">
        <v>167</v>
      </c>
      <c r="BE194" s="150">
        <f aca="true" t="shared" si="4" ref="BE194:BE201">IF(U194="základní",N194,0)</f>
        <v>0</v>
      </c>
      <c r="BF194" s="150">
        <f aca="true" t="shared" si="5" ref="BF194:BF201">IF(U194="snížená",N194,0)</f>
        <v>0</v>
      </c>
      <c r="BG194" s="150">
        <f aca="true" t="shared" si="6" ref="BG194:BG201">IF(U194="zákl. přenesená",N194,0)</f>
        <v>0</v>
      </c>
      <c r="BH194" s="150">
        <f aca="true" t="shared" si="7" ref="BH194:BH201">IF(U194="sníž. přenesená",N194,0)</f>
        <v>0</v>
      </c>
      <c r="BI194" s="150">
        <f aca="true" t="shared" si="8" ref="BI194:BI201">IF(U194="nulová",N194,0)</f>
        <v>0</v>
      </c>
      <c r="BJ194" s="21" t="s">
        <v>21</v>
      </c>
      <c r="BK194" s="150">
        <f aca="true" t="shared" si="9" ref="BK194:BK201">ROUND(L194*K194,2)</f>
        <v>0</v>
      </c>
      <c r="BL194" s="21" t="s">
        <v>172</v>
      </c>
      <c r="BM194" s="21" t="s">
        <v>579</v>
      </c>
    </row>
    <row r="195" spans="2:65" s="1" customFormat="1" ht="22.5" customHeight="1">
      <c r="B195" s="141"/>
      <c r="C195" s="142" t="s">
        <v>316</v>
      </c>
      <c r="D195" s="142" t="s">
        <v>168</v>
      </c>
      <c r="E195" s="143" t="s">
        <v>580</v>
      </c>
      <c r="F195" s="293" t="s">
        <v>581</v>
      </c>
      <c r="G195" s="293"/>
      <c r="H195" s="293"/>
      <c r="I195" s="293"/>
      <c r="J195" s="144" t="s">
        <v>259</v>
      </c>
      <c r="K195" s="145">
        <v>124</v>
      </c>
      <c r="L195" s="294"/>
      <c r="M195" s="294"/>
      <c r="N195" s="294">
        <f t="shared" si="0"/>
        <v>0</v>
      </c>
      <c r="O195" s="294"/>
      <c r="P195" s="294"/>
      <c r="Q195" s="294"/>
      <c r="R195" s="146"/>
      <c r="T195" s="147" t="s">
        <v>5</v>
      </c>
      <c r="U195" s="44" t="s">
        <v>43</v>
      </c>
      <c r="V195" s="148">
        <v>0.258</v>
      </c>
      <c r="W195" s="148">
        <f t="shared" si="1"/>
        <v>31.992</v>
      </c>
      <c r="X195" s="148">
        <v>0</v>
      </c>
      <c r="Y195" s="148">
        <f t="shared" si="2"/>
        <v>0</v>
      </c>
      <c r="Z195" s="148">
        <v>0</v>
      </c>
      <c r="AA195" s="149">
        <f t="shared" si="3"/>
        <v>0</v>
      </c>
      <c r="AR195" s="21" t="s">
        <v>172</v>
      </c>
      <c r="AT195" s="21" t="s">
        <v>168</v>
      </c>
      <c r="AU195" s="21" t="s">
        <v>135</v>
      </c>
      <c r="AY195" s="21" t="s">
        <v>167</v>
      </c>
      <c r="BE195" s="150">
        <f t="shared" si="4"/>
        <v>0</v>
      </c>
      <c r="BF195" s="150">
        <f t="shared" si="5"/>
        <v>0</v>
      </c>
      <c r="BG195" s="150">
        <f t="shared" si="6"/>
        <v>0</v>
      </c>
      <c r="BH195" s="150">
        <f t="shared" si="7"/>
        <v>0</v>
      </c>
      <c r="BI195" s="150">
        <f t="shared" si="8"/>
        <v>0</v>
      </c>
      <c r="BJ195" s="21" t="s">
        <v>21</v>
      </c>
      <c r="BK195" s="150">
        <f t="shared" si="9"/>
        <v>0</v>
      </c>
      <c r="BL195" s="21" t="s">
        <v>172</v>
      </c>
      <c r="BM195" s="21" t="s">
        <v>582</v>
      </c>
    </row>
    <row r="196" spans="2:65" s="1" customFormat="1" ht="22.5" customHeight="1">
      <c r="B196" s="141"/>
      <c r="C196" s="142" t="s">
        <v>321</v>
      </c>
      <c r="D196" s="142" t="s">
        <v>168</v>
      </c>
      <c r="E196" s="143" t="s">
        <v>583</v>
      </c>
      <c r="F196" s="293" t="s">
        <v>584</v>
      </c>
      <c r="G196" s="293"/>
      <c r="H196" s="293"/>
      <c r="I196" s="293"/>
      <c r="J196" s="144" t="s">
        <v>259</v>
      </c>
      <c r="K196" s="145">
        <v>124</v>
      </c>
      <c r="L196" s="294"/>
      <c r="M196" s="294"/>
      <c r="N196" s="294">
        <f t="shared" si="0"/>
        <v>0</v>
      </c>
      <c r="O196" s="294"/>
      <c r="P196" s="294"/>
      <c r="Q196" s="294"/>
      <c r="R196" s="146"/>
      <c r="T196" s="147" t="s">
        <v>5</v>
      </c>
      <c r="U196" s="44" t="s">
        <v>43</v>
      </c>
      <c r="V196" s="148">
        <v>0.022</v>
      </c>
      <c r="W196" s="148">
        <f t="shared" si="1"/>
        <v>2.7279999999999998</v>
      </c>
      <c r="X196" s="148">
        <v>6E-05</v>
      </c>
      <c r="Y196" s="148">
        <f t="shared" si="2"/>
        <v>0.00744</v>
      </c>
      <c r="Z196" s="148">
        <v>0</v>
      </c>
      <c r="AA196" s="149">
        <f t="shared" si="3"/>
        <v>0</v>
      </c>
      <c r="AR196" s="21" t="s">
        <v>585</v>
      </c>
      <c r="AT196" s="21" t="s">
        <v>168</v>
      </c>
      <c r="AU196" s="21" t="s">
        <v>135</v>
      </c>
      <c r="AY196" s="21" t="s">
        <v>167</v>
      </c>
      <c r="BE196" s="150">
        <f t="shared" si="4"/>
        <v>0</v>
      </c>
      <c r="BF196" s="150">
        <f t="shared" si="5"/>
        <v>0</v>
      </c>
      <c r="BG196" s="150">
        <f t="shared" si="6"/>
        <v>0</v>
      </c>
      <c r="BH196" s="150">
        <f t="shared" si="7"/>
        <v>0</v>
      </c>
      <c r="BI196" s="150">
        <f t="shared" si="8"/>
        <v>0</v>
      </c>
      <c r="BJ196" s="21" t="s">
        <v>21</v>
      </c>
      <c r="BK196" s="150">
        <f t="shared" si="9"/>
        <v>0</v>
      </c>
      <c r="BL196" s="21" t="s">
        <v>585</v>
      </c>
      <c r="BM196" s="21" t="s">
        <v>586</v>
      </c>
    </row>
    <row r="197" spans="2:65" s="1" customFormat="1" ht="22.5" customHeight="1">
      <c r="B197" s="141"/>
      <c r="C197" s="142" t="s">
        <v>326</v>
      </c>
      <c r="D197" s="142" t="s">
        <v>168</v>
      </c>
      <c r="E197" s="143" t="s">
        <v>587</v>
      </c>
      <c r="F197" s="293" t="s">
        <v>588</v>
      </c>
      <c r="G197" s="293"/>
      <c r="H197" s="293"/>
      <c r="I197" s="293"/>
      <c r="J197" s="144" t="s">
        <v>259</v>
      </c>
      <c r="K197" s="145">
        <v>124</v>
      </c>
      <c r="L197" s="294"/>
      <c r="M197" s="294"/>
      <c r="N197" s="294">
        <f t="shared" si="0"/>
        <v>0</v>
      </c>
      <c r="O197" s="294"/>
      <c r="P197" s="294"/>
      <c r="Q197" s="294"/>
      <c r="R197" s="146"/>
      <c r="T197" s="147" t="s">
        <v>5</v>
      </c>
      <c r="U197" s="44" t="s">
        <v>43</v>
      </c>
      <c r="V197" s="148">
        <v>0.022</v>
      </c>
      <c r="W197" s="148">
        <f t="shared" si="1"/>
        <v>2.7279999999999998</v>
      </c>
      <c r="X197" s="148">
        <v>6E-05</v>
      </c>
      <c r="Y197" s="148">
        <f t="shared" si="2"/>
        <v>0.00744</v>
      </c>
      <c r="Z197" s="148">
        <v>0</v>
      </c>
      <c r="AA197" s="149">
        <f t="shared" si="3"/>
        <v>0</v>
      </c>
      <c r="AR197" s="21" t="s">
        <v>585</v>
      </c>
      <c r="AT197" s="21" t="s">
        <v>168</v>
      </c>
      <c r="AU197" s="21" t="s">
        <v>135</v>
      </c>
      <c r="AY197" s="21" t="s">
        <v>167</v>
      </c>
      <c r="BE197" s="150">
        <f t="shared" si="4"/>
        <v>0</v>
      </c>
      <c r="BF197" s="150">
        <f t="shared" si="5"/>
        <v>0</v>
      </c>
      <c r="BG197" s="150">
        <f t="shared" si="6"/>
        <v>0</v>
      </c>
      <c r="BH197" s="150">
        <f t="shared" si="7"/>
        <v>0</v>
      </c>
      <c r="BI197" s="150">
        <f t="shared" si="8"/>
        <v>0</v>
      </c>
      <c r="BJ197" s="21" t="s">
        <v>21</v>
      </c>
      <c r="BK197" s="150">
        <f t="shared" si="9"/>
        <v>0</v>
      </c>
      <c r="BL197" s="21" t="s">
        <v>585</v>
      </c>
      <c r="BM197" s="21" t="s">
        <v>589</v>
      </c>
    </row>
    <row r="198" spans="2:65" s="1" customFormat="1" ht="22.5" customHeight="1">
      <c r="B198" s="141"/>
      <c r="C198" s="142" t="s">
        <v>331</v>
      </c>
      <c r="D198" s="142" t="s">
        <v>168</v>
      </c>
      <c r="E198" s="143" t="s">
        <v>590</v>
      </c>
      <c r="F198" s="293" t="s">
        <v>591</v>
      </c>
      <c r="G198" s="293"/>
      <c r="H198" s="293"/>
      <c r="I198" s="293"/>
      <c r="J198" s="144" t="s">
        <v>259</v>
      </c>
      <c r="K198" s="145">
        <v>124</v>
      </c>
      <c r="L198" s="294"/>
      <c r="M198" s="294"/>
      <c r="N198" s="294">
        <f t="shared" si="0"/>
        <v>0</v>
      </c>
      <c r="O198" s="294"/>
      <c r="P198" s="294"/>
      <c r="Q198" s="294"/>
      <c r="R198" s="146"/>
      <c r="T198" s="147" t="s">
        <v>5</v>
      </c>
      <c r="U198" s="44" t="s">
        <v>43</v>
      </c>
      <c r="V198" s="148">
        <v>0.258</v>
      </c>
      <c r="W198" s="148">
        <f t="shared" si="1"/>
        <v>31.992</v>
      </c>
      <c r="X198" s="148">
        <v>0</v>
      </c>
      <c r="Y198" s="148">
        <f t="shared" si="2"/>
        <v>0</v>
      </c>
      <c r="Z198" s="148">
        <v>0</v>
      </c>
      <c r="AA198" s="149">
        <f t="shared" si="3"/>
        <v>0</v>
      </c>
      <c r="AR198" s="21" t="s">
        <v>172</v>
      </c>
      <c r="AT198" s="21" t="s">
        <v>168</v>
      </c>
      <c r="AU198" s="21" t="s">
        <v>135</v>
      </c>
      <c r="AY198" s="21" t="s">
        <v>167</v>
      </c>
      <c r="BE198" s="150">
        <f t="shared" si="4"/>
        <v>0</v>
      </c>
      <c r="BF198" s="150">
        <f t="shared" si="5"/>
        <v>0</v>
      </c>
      <c r="BG198" s="150">
        <f t="shared" si="6"/>
        <v>0</v>
      </c>
      <c r="BH198" s="150">
        <f t="shared" si="7"/>
        <v>0</v>
      </c>
      <c r="BI198" s="150">
        <f t="shared" si="8"/>
        <v>0</v>
      </c>
      <c r="BJ198" s="21" t="s">
        <v>21</v>
      </c>
      <c r="BK198" s="150">
        <f t="shared" si="9"/>
        <v>0</v>
      </c>
      <c r="BL198" s="21" t="s">
        <v>172</v>
      </c>
      <c r="BM198" s="21" t="s">
        <v>592</v>
      </c>
    </row>
    <row r="199" spans="2:65" s="1" customFormat="1" ht="22.5" customHeight="1">
      <c r="B199" s="141"/>
      <c r="C199" s="142" t="s">
        <v>335</v>
      </c>
      <c r="D199" s="142" t="s">
        <v>168</v>
      </c>
      <c r="E199" s="143" t="s">
        <v>593</v>
      </c>
      <c r="F199" s="293" t="s">
        <v>594</v>
      </c>
      <c r="G199" s="293"/>
      <c r="H199" s="293"/>
      <c r="I199" s="293"/>
      <c r="J199" s="144" t="s">
        <v>595</v>
      </c>
      <c r="K199" s="145">
        <v>1</v>
      </c>
      <c r="L199" s="294"/>
      <c r="M199" s="294"/>
      <c r="N199" s="294">
        <f t="shared" si="0"/>
        <v>0</v>
      </c>
      <c r="O199" s="294"/>
      <c r="P199" s="294"/>
      <c r="Q199" s="294"/>
      <c r="R199" s="146"/>
      <c r="T199" s="147" t="s">
        <v>5</v>
      </c>
      <c r="U199" s="44" t="s">
        <v>43</v>
      </c>
      <c r="V199" s="148">
        <v>0.022</v>
      </c>
      <c r="W199" s="148">
        <f t="shared" si="1"/>
        <v>0.022</v>
      </c>
      <c r="X199" s="148">
        <v>6E-05</v>
      </c>
      <c r="Y199" s="148">
        <f t="shared" si="2"/>
        <v>6E-05</v>
      </c>
      <c r="Z199" s="148">
        <v>0</v>
      </c>
      <c r="AA199" s="149">
        <f t="shared" si="3"/>
        <v>0</v>
      </c>
      <c r="AR199" s="21" t="s">
        <v>585</v>
      </c>
      <c r="AT199" s="21" t="s">
        <v>168</v>
      </c>
      <c r="AU199" s="21" t="s">
        <v>135</v>
      </c>
      <c r="AY199" s="21" t="s">
        <v>167</v>
      </c>
      <c r="BE199" s="150">
        <f t="shared" si="4"/>
        <v>0</v>
      </c>
      <c r="BF199" s="150">
        <f t="shared" si="5"/>
        <v>0</v>
      </c>
      <c r="BG199" s="150">
        <f t="shared" si="6"/>
        <v>0</v>
      </c>
      <c r="BH199" s="150">
        <f t="shared" si="7"/>
        <v>0</v>
      </c>
      <c r="BI199" s="150">
        <f t="shared" si="8"/>
        <v>0</v>
      </c>
      <c r="BJ199" s="21" t="s">
        <v>21</v>
      </c>
      <c r="BK199" s="150">
        <f t="shared" si="9"/>
        <v>0</v>
      </c>
      <c r="BL199" s="21" t="s">
        <v>585</v>
      </c>
      <c r="BM199" s="21" t="s">
        <v>596</v>
      </c>
    </row>
    <row r="200" spans="2:65" s="1" customFormat="1" ht="31.5" customHeight="1">
      <c r="B200" s="141"/>
      <c r="C200" s="142" t="s">
        <v>340</v>
      </c>
      <c r="D200" s="142" t="s">
        <v>168</v>
      </c>
      <c r="E200" s="143" t="s">
        <v>597</v>
      </c>
      <c r="F200" s="293" t="s">
        <v>598</v>
      </c>
      <c r="G200" s="293"/>
      <c r="H200" s="293"/>
      <c r="I200" s="293"/>
      <c r="J200" s="144" t="s">
        <v>595</v>
      </c>
      <c r="K200" s="145">
        <v>5</v>
      </c>
      <c r="L200" s="294"/>
      <c r="M200" s="294"/>
      <c r="N200" s="294">
        <f t="shared" si="0"/>
        <v>0</v>
      </c>
      <c r="O200" s="294"/>
      <c r="P200" s="294"/>
      <c r="Q200" s="294"/>
      <c r="R200" s="146"/>
      <c r="T200" s="147" t="s">
        <v>5</v>
      </c>
      <c r="U200" s="44" t="s">
        <v>43</v>
      </c>
      <c r="V200" s="148">
        <v>0.022</v>
      </c>
      <c r="W200" s="148">
        <f t="shared" si="1"/>
        <v>0.10999999999999999</v>
      </c>
      <c r="X200" s="148">
        <v>6E-05</v>
      </c>
      <c r="Y200" s="148">
        <f t="shared" si="2"/>
        <v>0.00030000000000000003</v>
      </c>
      <c r="Z200" s="148">
        <v>0</v>
      </c>
      <c r="AA200" s="149">
        <f t="shared" si="3"/>
        <v>0</v>
      </c>
      <c r="AR200" s="21" t="s">
        <v>585</v>
      </c>
      <c r="AT200" s="21" t="s">
        <v>168</v>
      </c>
      <c r="AU200" s="21" t="s">
        <v>135</v>
      </c>
      <c r="AY200" s="21" t="s">
        <v>167</v>
      </c>
      <c r="BE200" s="150">
        <f t="shared" si="4"/>
        <v>0</v>
      </c>
      <c r="BF200" s="150">
        <f t="shared" si="5"/>
        <v>0</v>
      </c>
      <c r="BG200" s="150">
        <f t="shared" si="6"/>
        <v>0</v>
      </c>
      <c r="BH200" s="150">
        <f t="shared" si="7"/>
        <v>0</v>
      </c>
      <c r="BI200" s="150">
        <f t="shared" si="8"/>
        <v>0</v>
      </c>
      <c r="BJ200" s="21" t="s">
        <v>21</v>
      </c>
      <c r="BK200" s="150">
        <f t="shared" si="9"/>
        <v>0</v>
      </c>
      <c r="BL200" s="21" t="s">
        <v>585</v>
      </c>
      <c r="BM200" s="21" t="s">
        <v>599</v>
      </c>
    </row>
    <row r="201" spans="2:65" s="1" customFormat="1" ht="22.5" customHeight="1">
      <c r="B201" s="141"/>
      <c r="C201" s="142" t="s">
        <v>344</v>
      </c>
      <c r="D201" s="142" t="s">
        <v>168</v>
      </c>
      <c r="E201" s="143" t="s">
        <v>600</v>
      </c>
      <c r="F201" s="293" t="s">
        <v>601</v>
      </c>
      <c r="G201" s="293"/>
      <c r="H201" s="293"/>
      <c r="I201" s="293"/>
      <c r="J201" s="144" t="s">
        <v>595</v>
      </c>
      <c r="K201" s="145">
        <v>5</v>
      </c>
      <c r="L201" s="294"/>
      <c r="M201" s="294"/>
      <c r="N201" s="294">
        <f t="shared" si="0"/>
        <v>0</v>
      </c>
      <c r="O201" s="294"/>
      <c r="P201" s="294"/>
      <c r="Q201" s="294"/>
      <c r="R201" s="146"/>
      <c r="T201" s="147" t="s">
        <v>5</v>
      </c>
      <c r="U201" s="44" t="s">
        <v>43</v>
      </c>
      <c r="V201" s="148">
        <v>0.022</v>
      </c>
      <c r="W201" s="148">
        <f t="shared" si="1"/>
        <v>0.10999999999999999</v>
      </c>
      <c r="X201" s="148">
        <v>6E-05</v>
      </c>
      <c r="Y201" s="148">
        <f t="shared" si="2"/>
        <v>0.00030000000000000003</v>
      </c>
      <c r="Z201" s="148">
        <v>0</v>
      </c>
      <c r="AA201" s="149">
        <f t="shared" si="3"/>
        <v>0</v>
      </c>
      <c r="AR201" s="21" t="s">
        <v>585</v>
      </c>
      <c r="AT201" s="21" t="s">
        <v>168</v>
      </c>
      <c r="AU201" s="21" t="s">
        <v>135</v>
      </c>
      <c r="AY201" s="21" t="s">
        <v>167</v>
      </c>
      <c r="BE201" s="150">
        <f t="shared" si="4"/>
        <v>0</v>
      </c>
      <c r="BF201" s="150">
        <f t="shared" si="5"/>
        <v>0</v>
      </c>
      <c r="BG201" s="150">
        <f t="shared" si="6"/>
        <v>0</v>
      </c>
      <c r="BH201" s="150">
        <f t="shared" si="7"/>
        <v>0</v>
      </c>
      <c r="BI201" s="150">
        <f t="shared" si="8"/>
        <v>0</v>
      </c>
      <c r="BJ201" s="21" t="s">
        <v>21</v>
      </c>
      <c r="BK201" s="150">
        <f t="shared" si="9"/>
        <v>0</v>
      </c>
      <c r="BL201" s="21" t="s">
        <v>585</v>
      </c>
      <c r="BM201" s="21" t="s">
        <v>602</v>
      </c>
    </row>
    <row r="202" spans="2:63" s="9" customFormat="1" ht="29.85" customHeight="1">
      <c r="B202" s="130"/>
      <c r="C202" s="131"/>
      <c r="D202" s="140" t="s">
        <v>228</v>
      </c>
      <c r="E202" s="140"/>
      <c r="F202" s="140"/>
      <c r="G202" s="140"/>
      <c r="H202" s="140"/>
      <c r="I202" s="140"/>
      <c r="J202" s="140"/>
      <c r="K202" s="140"/>
      <c r="L202" s="140"/>
      <c r="M202" s="140"/>
      <c r="N202" s="310">
        <f>BK202</f>
        <v>0</v>
      </c>
      <c r="O202" s="311"/>
      <c r="P202" s="311"/>
      <c r="Q202" s="311"/>
      <c r="R202" s="133"/>
      <c r="T202" s="134"/>
      <c r="U202" s="131"/>
      <c r="V202" s="131"/>
      <c r="W202" s="135">
        <f>W203+SUM(W204:W206)</f>
        <v>37.166959999999996</v>
      </c>
      <c r="X202" s="131"/>
      <c r="Y202" s="135">
        <f>Y203+SUM(Y204:Y206)</f>
        <v>0.6493899999999999</v>
      </c>
      <c r="Z202" s="131"/>
      <c r="AA202" s="136">
        <f>AA203+SUM(AA204:AA206)</f>
        <v>0</v>
      </c>
      <c r="AR202" s="137" t="s">
        <v>21</v>
      </c>
      <c r="AT202" s="138" t="s">
        <v>77</v>
      </c>
      <c r="AU202" s="138" t="s">
        <v>21</v>
      </c>
      <c r="AY202" s="137" t="s">
        <v>167</v>
      </c>
      <c r="BK202" s="139">
        <f>BK203+SUM(BK204:BK206)</f>
        <v>0</v>
      </c>
    </row>
    <row r="203" spans="2:65" s="1" customFormat="1" ht="22.5" customHeight="1">
      <c r="B203" s="141"/>
      <c r="C203" s="142" t="s">
        <v>349</v>
      </c>
      <c r="D203" s="142" t="s">
        <v>168</v>
      </c>
      <c r="E203" s="143" t="s">
        <v>603</v>
      </c>
      <c r="F203" s="293" t="s">
        <v>604</v>
      </c>
      <c r="G203" s="293"/>
      <c r="H203" s="293"/>
      <c r="I203" s="293"/>
      <c r="J203" s="144" t="s">
        <v>578</v>
      </c>
      <c r="K203" s="145">
        <v>6</v>
      </c>
      <c r="L203" s="294"/>
      <c r="M203" s="294"/>
      <c r="N203" s="294">
        <f>ROUND(L203*K203,2)</f>
        <v>0</v>
      </c>
      <c r="O203" s="294"/>
      <c r="P203" s="294"/>
      <c r="Q203" s="294"/>
      <c r="R203" s="146"/>
      <c r="T203" s="147" t="s">
        <v>5</v>
      </c>
      <c r="U203" s="44" t="s">
        <v>43</v>
      </c>
      <c r="V203" s="148">
        <v>1.07</v>
      </c>
      <c r="W203" s="148">
        <f>V203*K203</f>
        <v>6.42</v>
      </c>
      <c r="X203" s="148">
        <v>0.04597</v>
      </c>
      <c r="Y203" s="148">
        <f>X203*K203</f>
        <v>0.27581999999999995</v>
      </c>
      <c r="Z203" s="148">
        <v>0</v>
      </c>
      <c r="AA203" s="149">
        <f>Z203*K203</f>
        <v>0</v>
      </c>
      <c r="AR203" s="21" t="s">
        <v>172</v>
      </c>
      <c r="AT203" s="21" t="s">
        <v>168</v>
      </c>
      <c r="AU203" s="21" t="s">
        <v>135</v>
      </c>
      <c r="AY203" s="21" t="s">
        <v>167</v>
      </c>
      <c r="BE203" s="150">
        <f>IF(U203="základní",N203,0)</f>
        <v>0</v>
      </c>
      <c r="BF203" s="150">
        <f>IF(U203="snížená",N203,0)</f>
        <v>0</v>
      </c>
      <c r="BG203" s="150">
        <f>IF(U203="zákl. přenesená",N203,0)</f>
        <v>0</v>
      </c>
      <c r="BH203" s="150">
        <f>IF(U203="sníž. přenesená",N203,0)</f>
        <v>0</v>
      </c>
      <c r="BI203" s="150">
        <f>IF(U203="nulová",N203,0)</f>
        <v>0</v>
      </c>
      <c r="BJ203" s="21" t="s">
        <v>21</v>
      </c>
      <c r="BK203" s="150">
        <f>ROUND(L203*K203,2)</f>
        <v>0</v>
      </c>
      <c r="BL203" s="21" t="s">
        <v>172</v>
      </c>
      <c r="BM203" s="21" t="s">
        <v>605</v>
      </c>
    </row>
    <row r="204" spans="2:65" s="1" customFormat="1" ht="31.5" customHeight="1">
      <c r="B204" s="141"/>
      <c r="C204" s="178" t="s">
        <v>472</v>
      </c>
      <c r="D204" s="178" t="s">
        <v>317</v>
      </c>
      <c r="E204" s="179" t="s">
        <v>606</v>
      </c>
      <c r="F204" s="313" t="s">
        <v>607</v>
      </c>
      <c r="G204" s="313"/>
      <c r="H204" s="313"/>
      <c r="I204" s="313"/>
      <c r="J204" s="180" t="s">
        <v>578</v>
      </c>
      <c r="K204" s="181">
        <v>6</v>
      </c>
      <c r="L204" s="314"/>
      <c r="M204" s="314"/>
      <c r="N204" s="314">
        <f>ROUND(L204*K204,2)</f>
        <v>0</v>
      </c>
      <c r="O204" s="294"/>
      <c r="P204" s="294"/>
      <c r="Q204" s="294"/>
      <c r="R204" s="146"/>
      <c r="T204" s="147" t="s">
        <v>5</v>
      </c>
      <c r="U204" s="44" t="s">
        <v>43</v>
      </c>
      <c r="V204" s="148">
        <v>0</v>
      </c>
      <c r="W204" s="148">
        <f>V204*K204</f>
        <v>0</v>
      </c>
      <c r="X204" s="148">
        <v>0.0546</v>
      </c>
      <c r="Y204" s="148">
        <f>X204*K204</f>
        <v>0.3276</v>
      </c>
      <c r="Z204" s="148">
        <v>0</v>
      </c>
      <c r="AA204" s="149">
        <f>Z204*K204</f>
        <v>0</v>
      </c>
      <c r="AR204" s="21" t="s">
        <v>213</v>
      </c>
      <c r="AT204" s="21" t="s">
        <v>317</v>
      </c>
      <c r="AU204" s="21" t="s">
        <v>135</v>
      </c>
      <c r="AY204" s="21" t="s">
        <v>167</v>
      </c>
      <c r="BE204" s="150">
        <f>IF(U204="základní",N204,0)</f>
        <v>0</v>
      </c>
      <c r="BF204" s="150">
        <f>IF(U204="snížená",N204,0)</f>
        <v>0</v>
      </c>
      <c r="BG204" s="150">
        <f>IF(U204="zákl. přenesená",N204,0)</f>
        <v>0</v>
      </c>
      <c r="BH204" s="150">
        <f>IF(U204="sníž. přenesená",N204,0)</f>
        <v>0</v>
      </c>
      <c r="BI204" s="150">
        <f>IF(U204="nulová",N204,0)</f>
        <v>0</v>
      </c>
      <c r="BJ204" s="21" t="s">
        <v>21</v>
      </c>
      <c r="BK204" s="150">
        <f>ROUND(L204*K204,2)</f>
        <v>0</v>
      </c>
      <c r="BL204" s="21" t="s">
        <v>172</v>
      </c>
      <c r="BM204" s="21" t="s">
        <v>608</v>
      </c>
    </row>
    <row r="205" spans="2:65" s="1" customFormat="1" ht="22.5" customHeight="1">
      <c r="B205" s="141"/>
      <c r="C205" s="142" t="s">
        <v>476</v>
      </c>
      <c r="D205" s="142" t="s">
        <v>168</v>
      </c>
      <c r="E205" s="143" t="s">
        <v>609</v>
      </c>
      <c r="F205" s="293" t="s">
        <v>610</v>
      </c>
      <c r="G205" s="293"/>
      <c r="H205" s="293"/>
      <c r="I205" s="293"/>
      <c r="J205" s="144" t="s">
        <v>578</v>
      </c>
      <c r="K205" s="145">
        <v>1</v>
      </c>
      <c r="L205" s="294"/>
      <c r="M205" s="294"/>
      <c r="N205" s="294">
        <f>ROUND(L205*K205,2)</f>
        <v>0</v>
      </c>
      <c r="O205" s="294"/>
      <c r="P205" s="294"/>
      <c r="Q205" s="294"/>
      <c r="R205" s="146"/>
      <c r="T205" s="147" t="s">
        <v>5</v>
      </c>
      <c r="U205" s="44" t="s">
        <v>43</v>
      </c>
      <c r="V205" s="148">
        <v>1.07</v>
      </c>
      <c r="W205" s="148">
        <f>V205*K205</f>
        <v>1.07</v>
      </c>
      <c r="X205" s="148">
        <v>0.04597</v>
      </c>
      <c r="Y205" s="148">
        <f>X205*K205</f>
        <v>0.04597</v>
      </c>
      <c r="Z205" s="148">
        <v>0</v>
      </c>
      <c r="AA205" s="149">
        <f>Z205*K205</f>
        <v>0</v>
      </c>
      <c r="AR205" s="21" t="s">
        <v>172</v>
      </c>
      <c r="AT205" s="21" t="s">
        <v>168</v>
      </c>
      <c r="AU205" s="21" t="s">
        <v>135</v>
      </c>
      <c r="AY205" s="21" t="s">
        <v>167</v>
      </c>
      <c r="BE205" s="150">
        <f>IF(U205="základní",N205,0)</f>
        <v>0</v>
      </c>
      <c r="BF205" s="150">
        <f>IF(U205="snížená",N205,0)</f>
        <v>0</v>
      </c>
      <c r="BG205" s="150">
        <f>IF(U205="zákl. přenesená",N205,0)</f>
        <v>0</v>
      </c>
      <c r="BH205" s="150">
        <f>IF(U205="sníž. přenesená",N205,0)</f>
        <v>0</v>
      </c>
      <c r="BI205" s="150">
        <f>IF(U205="nulová",N205,0)</f>
        <v>0</v>
      </c>
      <c r="BJ205" s="21" t="s">
        <v>21</v>
      </c>
      <c r="BK205" s="150">
        <f>ROUND(L205*K205,2)</f>
        <v>0</v>
      </c>
      <c r="BL205" s="21" t="s">
        <v>172</v>
      </c>
      <c r="BM205" s="21" t="s">
        <v>611</v>
      </c>
    </row>
    <row r="206" spans="2:63" s="9" customFormat="1" ht="22.35" customHeight="1">
      <c r="B206" s="130"/>
      <c r="C206" s="131"/>
      <c r="D206" s="140" t="s">
        <v>484</v>
      </c>
      <c r="E206" s="140"/>
      <c r="F206" s="140"/>
      <c r="G206" s="140"/>
      <c r="H206" s="140"/>
      <c r="I206" s="140"/>
      <c r="J206" s="140"/>
      <c r="K206" s="140"/>
      <c r="L206" s="140"/>
      <c r="M206" s="140"/>
      <c r="N206" s="310">
        <f>BK206</f>
        <v>0</v>
      </c>
      <c r="O206" s="311"/>
      <c r="P206" s="311"/>
      <c r="Q206" s="311"/>
      <c r="R206" s="133"/>
      <c r="T206" s="134"/>
      <c r="U206" s="131"/>
      <c r="V206" s="131"/>
      <c r="W206" s="135">
        <f>W207</f>
        <v>29.676959999999998</v>
      </c>
      <c r="X206" s="131"/>
      <c r="Y206" s="135">
        <f>Y207</f>
        <v>0</v>
      </c>
      <c r="Z206" s="131"/>
      <c r="AA206" s="136">
        <f>AA207</f>
        <v>0</v>
      </c>
      <c r="AR206" s="137" t="s">
        <v>21</v>
      </c>
      <c r="AT206" s="138" t="s">
        <v>77</v>
      </c>
      <c r="AU206" s="138" t="s">
        <v>135</v>
      </c>
      <c r="AY206" s="137" t="s">
        <v>167</v>
      </c>
      <c r="BK206" s="139">
        <f>BK207</f>
        <v>0</v>
      </c>
    </row>
    <row r="207" spans="2:65" s="1" customFormat="1" ht="31.5" customHeight="1">
      <c r="B207" s="141"/>
      <c r="C207" s="142" t="s">
        <v>477</v>
      </c>
      <c r="D207" s="142" t="s">
        <v>168</v>
      </c>
      <c r="E207" s="143" t="s">
        <v>612</v>
      </c>
      <c r="F207" s="293" t="s">
        <v>613</v>
      </c>
      <c r="G207" s="293"/>
      <c r="H207" s="293"/>
      <c r="I207" s="293"/>
      <c r="J207" s="144" t="s">
        <v>210</v>
      </c>
      <c r="K207" s="145">
        <v>20.052</v>
      </c>
      <c r="L207" s="294"/>
      <c r="M207" s="294"/>
      <c r="N207" s="294">
        <f>ROUND(L207*K207,2)</f>
        <v>0</v>
      </c>
      <c r="O207" s="294"/>
      <c r="P207" s="294"/>
      <c r="Q207" s="294"/>
      <c r="R207" s="146"/>
      <c r="T207" s="147" t="s">
        <v>5</v>
      </c>
      <c r="U207" s="44" t="s">
        <v>43</v>
      </c>
      <c r="V207" s="148">
        <v>1.48</v>
      </c>
      <c r="W207" s="148">
        <f>V207*K207</f>
        <v>29.676959999999998</v>
      </c>
      <c r="X207" s="148">
        <v>0</v>
      </c>
      <c r="Y207" s="148">
        <f>X207*K207</f>
        <v>0</v>
      </c>
      <c r="Z207" s="148">
        <v>0</v>
      </c>
      <c r="AA207" s="149">
        <f>Z207*K207</f>
        <v>0</v>
      </c>
      <c r="AR207" s="21" t="s">
        <v>172</v>
      </c>
      <c r="AT207" s="21" t="s">
        <v>168</v>
      </c>
      <c r="AU207" s="21" t="s">
        <v>184</v>
      </c>
      <c r="AY207" s="21" t="s">
        <v>167</v>
      </c>
      <c r="BE207" s="150">
        <f>IF(U207="základní",N207,0)</f>
        <v>0</v>
      </c>
      <c r="BF207" s="150">
        <f>IF(U207="snížená",N207,0)</f>
        <v>0</v>
      </c>
      <c r="BG207" s="150">
        <f>IF(U207="zákl. přenesená",N207,0)</f>
        <v>0</v>
      </c>
      <c r="BH207" s="150">
        <f>IF(U207="sníž. přenesená",N207,0)</f>
        <v>0</v>
      </c>
      <c r="BI207" s="150">
        <f>IF(U207="nulová",N207,0)</f>
        <v>0</v>
      </c>
      <c r="BJ207" s="21" t="s">
        <v>21</v>
      </c>
      <c r="BK207" s="150">
        <f>ROUND(L207*K207,2)</f>
        <v>0</v>
      </c>
      <c r="BL207" s="21" t="s">
        <v>172</v>
      </c>
      <c r="BM207" s="21" t="s">
        <v>614</v>
      </c>
    </row>
    <row r="208" spans="2:63" s="9" customFormat="1" ht="37.35" customHeight="1">
      <c r="B208" s="130"/>
      <c r="C208" s="131"/>
      <c r="D208" s="132" t="s">
        <v>387</v>
      </c>
      <c r="E208" s="132"/>
      <c r="F208" s="132"/>
      <c r="G208" s="132"/>
      <c r="H208" s="132"/>
      <c r="I208" s="132"/>
      <c r="J208" s="132"/>
      <c r="K208" s="132"/>
      <c r="L208" s="132"/>
      <c r="M208" s="132"/>
      <c r="N208" s="315">
        <f>BK208</f>
        <v>0</v>
      </c>
      <c r="O208" s="316"/>
      <c r="P208" s="316"/>
      <c r="Q208" s="316"/>
      <c r="R208" s="133"/>
      <c r="T208" s="134"/>
      <c r="U208" s="131"/>
      <c r="V208" s="131"/>
      <c r="W208" s="135">
        <f>W209</f>
        <v>48.729032999999994</v>
      </c>
      <c r="X208" s="131"/>
      <c r="Y208" s="135">
        <f>Y209</f>
        <v>1.7716509</v>
      </c>
      <c r="Z208" s="131"/>
      <c r="AA208" s="136">
        <f>AA209</f>
        <v>0</v>
      </c>
      <c r="AR208" s="137" t="s">
        <v>135</v>
      </c>
      <c r="AT208" s="138" t="s">
        <v>77</v>
      </c>
      <c r="AU208" s="138" t="s">
        <v>78</v>
      </c>
      <c r="AY208" s="137" t="s">
        <v>167</v>
      </c>
      <c r="BK208" s="139">
        <f>BK209</f>
        <v>0</v>
      </c>
    </row>
    <row r="209" spans="2:63" s="9" customFormat="1" ht="19.9" customHeight="1">
      <c r="B209" s="130"/>
      <c r="C209" s="131"/>
      <c r="D209" s="140" t="s">
        <v>485</v>
      </c>
      <c r="E209" s="140"/>
      <c r="F209" s="140"/>
      <c r="G209" s="140"/>
      <c r="H209" s="140"/>
      <c r="I209" s="140"/>
      <c r="J209" s="140"/>
      <c r="K209" s="140"/>
      <c r="L209" s="140"/>
      <c r="M209" s="140"/>
      <c r="N209" s="298">
        <f>BK209</f>
        <v>0</v>
      </c>
      <c r="O209" s="299"/>
      <c r="P209" s="299"/>
      <c r="Q209" s="299"/>
      <c r="R209" s="133"/>
      <c r="T209" s="134"/>
      <c r="U209" s="131"/>
      <c r="V209" s="131"/>
      <c r="W209" s="135">
        <f>SUM(W210:W219)</f>
        <v>48.729032999999994</v>
      </c>
      <c r="X209" s="131"/>
      <c r="Y209" s="135">
        <f>SUM(Y210:Y219)</f>
        <v>1.7716509</v>
      </c>
      <c r="Z209" s="131"/>
      <c r="AA209" s="136">
        <f>SUM(AA210:AA219)</f>
        <v>0</v>
      </c>
      <c r="AR209" s="137" t="s">
        <v>135</v>
      </c>
      <c r="AT209" s="138" t="s">
        <v>77</v>
      </c>
      <c r="AU209" s="138" t="s">
        <v>21</v>
      </c>
      <c r="AY209" s="137" t="s">
        <v>167</v>
      </c>
      <c r="BK209" s="139">
        <f>SUM(BK210:BK219)</f>
        <v>0</v>
      </c>
    </row>
    <row r="210" spans="2:65" s="1" customFormat="1" ht="31.5" customHeight="1">
      <c r="B210" s="141"/>
      <c r="C210" s="142" t="s">
        <v>478</v>
      </c>
      <c r="D210" s="142" t="s">
        <v>168</v>
      </c>
      <c r="E210" s="143" t="s">
        <v>615</v>
      </c>
      <c r="F210" s="293" t="s">
        <v>616</v>
      </c>
      <c r="G210" s="293"/>
      <c r="H210" s="293"/>
      <c r="I210" s="293"/>
      <c r="J210" s="144" t="s">
        <v>199</v>
      </c>
      <c r="K210" s="145">
        <v>9.1</v>
      </c>
      <c r="L210" s="294"/>
      <c r="M210" s="294"/>
      <c r="N210" s="294">
        <f>ROUND(L210*K210,2)</f>
        <v>0</v>
      </c>
      <c r="O210" s="294"/>
      <c r="P210" s="294"/>
      <c r="Q210" s="294"/>
      <c r="R210" s="146"/>
      <c r="T210" s="147" t="s">
        <v>5</v>
      </c>
      <c r="U210" s="44" t="s">
        <v>43</v>
      </c>
      <c r="V210" s="148">
        <v>1.809</v>
      </c>
      <c r="W210" s="148">
        <f>V210*K210</f>
        <v>16.4619</v>
      </c>
      <c r="X210" s="148">
        <v>0.0357</v>
      </c>
      <c r="Y210" s="148">
        <f>X210*K210</f>
        <v>0.32487</v>
      </c>
      <c r="Z210" s="148">
        <v>0</v>
      </c>
      <c r="AA210" s="149">
        <f>Z210*K210</f>
        <v>0</v>
      </c>
      <c r="AR210" s="21" t="s">
        <v>281</v>
      </c>
      <c r="AT210" s="21" t="s">
        <v>168</v>
      </c>
      <c r="AU210" s="21" t="s">
        <v>135</v>
      </c>
      <c r="AY210" s="21" t="s">
        <v>167</v>
      </c>
      <c r="BE210" s="150">
        <f>IF(U210="základní",N210,0)</f>
        <v>0</v>
      </c>
      <c r="BF210" s="150">
        <f>IF(U210="snížená",N210,0)</f>
        <v>0</v>
      </c>
      <c r="BG210" s="150">
        <f>IF(U210="zákl. přenesená",N210,0)</f>
        <v>0</v>
      </c>
      <c r="BH210" s="150">
        <f>IF(U210="sníž. přenesená",N210,0)</f>
        <v>0</v>
      </c>
      <c r="BI210" s="150">
        <f>IF(U210="nulová",N210,0)</f>
        <v>0</v>
      </c>
      <c r="BJ210" s="21" t="s">
        <v>21</v>
      </c>
      <c r="BK210" s="150">
        <f>ROUND(L210*K210,2)</f>
        <v>0</v>
      </c>
      <c r="BL210" s="21" t="s">
        <v>281</v>
      </c>
      <c r="BM210" s="21" t="s">
        <v>617</v>
      </c>
    </row>
    <row r="211" spans="2:51" s="11" customFormat="1" ht="22.5" customHeight="1">
      <c r="B211" s="159"/>
      <c r="C211" s="160"/>
      <c r="D211" s="160"/>
      <c r="E211" s="161" t="s">
        <v>5</v>
      </c>
      <c r="F211" s="308" t="s">
        <v>618</v>
      </c>
      <c r="G211" s="309"/>
      <c r="H211" s="309"/>
      <c r="I211" s="309"/>
      <c r="J211" s="160"/>
      <c r="K211" s="162">
        <v>9.1</v>
      </c>
      <c r="L211" s="160"/>
      <c r="M211" s="160"/>
      <c r="N211" s="160"/>
      <c r="O211" s="160"/>
      <c r="P211" s="160"/>
      <c r="Q211" s="160"/>
      <c r="R211" s="163"/>
      <c r="T211" s="164"/>
      <c r="U211" s="160"/>
      <c r="V211" s="160"/>
      <c r="W211" s="160"/>
      <c r="X211" s="160"/>
      <c r="Y211" s="160"/>
      <c r="Z211" s="160"/>
      <c r="AA211" s="165"/>
      <c r="AT211" s="166" t="s">
        <v>179</v>
      </c>
      <c r="AU211" s="166" t="s">
        <v>135</v>
      </c>
      <c r="AV211" s="11" t="s">
        <v>135</v>
      </c>
      <c r="AW211" s="11" t="s">
        <v>35</v>
      </c>
      <c r="AX211" s="11" t="s">
        <v>21</v>
      </c>
      <c r="AY211" s="166" t="s">
        <v>167</v>
      </c>
    </row>
    <row r="212" spans="2:65" s="1" customFormat="1" ht="22.5" customHeight="1">
      <c r="B212" s="141"/>
      <c r="C212" s="178" t="s">
        <v>619</v>
      </c>
      <c r="D212" s="178" t="s">
        <v>317</v>
      </c>
      <c r="E212" s="179" t="s">
        <v>620</v>
      </c>
      <c r="F212" s="313" t="s">
        <v>621</v>
      </c>
      <c r="G212" s="313"/>
      <c r="H212" s="313"/>
      <c r="I212" s="313"/>
      <c r="J212" s="180" t="s">
        <v>199</v>
      </c>
      <c r="K212" s="181">
        <v>10</v>
      </c>
      <c r="L212" s="314"/>
      <c r="M212" s="314"/>
      <c r="N212" s="314">
        <f>ROUND(L212*K212,2)</f>
        <v>0</v>
      </c>
      <c r="O212" s="294"/>
      <c r="P212" s="294"/>
      <c r="Q212" s="294"/>
      <c r="R212" s="146"/>
      <c r="T212" s="147" t="s">
        <v>5</v>
      </c>
      <c r="U212" s="44" t="s">
        <v>43</v>
      </c>
      <c r="V212" s="148">
        <v>0</v>
      </c>
      <c r="W212" s="148">
        <f>V212*K212</f>
        <v>0</v>
      </c>
      <c r="X212" s="148">
        <v>0.081</v>
      </c>
      <c r="Y212" s="148">
        <f>X212*K212</f>
        <v>0.81</v>
      </c>
      <c r="Z212" s="148">
        <v>0</v>
      </c>
      <c r="AA212" s="149">
        <f>Z212*K212</f>
        <v>0</v>
      </c>
      <c r="AR212" s="21" t="s">
        <v>477</v>
      </c>
      <c r="AT212" s="21" t="s">
        <v>317</v>
      </c>
      <c r="AU212" s="21" t="s">
        <v>135</v>
      </c>
      <c r="AY212" s="21" t="s">
        <v>167</v>
      </c>
      <c r="BE212" s="150">
        <f>IF(U212="základní",N212,0)</f>
        <v>0</v>
      </c>
      <c r="BF212" s="150">
        <f>IF(U212="snížená",N212,0)</f>
        <v>0</v>
      </c>
      <c r="BG212" s="150">
        <f>IF(U212="zákl. přenesená",N212,0)</f>
        <v>0</v>
      </c>
      <c r="BH212" s="150">
        <f>IF(U212="sníž. přenesená",N212,0)</f>
        <v>0</v>
      </c>
      <c r="BI212" s="150">
        <f>IF(U212="nulová",N212,0)</f>
        <v>0</v>
      </c>
      <c r="BJ212" s="21" t="s">
        <v>21</v>
      </c>
      <c r="BK212" s="150">
        <f>ROUND(L212*K212,2)</f>
        <v>0</v>
      </c>
      <c r="BL212" s="21" t="s">
        <v>281</v>
      </c>
      <c r="BM212" s="21" t="s">
        <v>622</v>
      </c>
    </row>
    <row r="213" spans="2:65" s="1" customFormat="1" ht="22.5" customHeight="1">
      <c r="B213" s="141"/>
      <c r="C213" s="142" t="s">
        <v>623</v>
      </c>
      <c r="D213" s="142" t="s">
        <v>168</v>
      </c>
      <c r="E213" s="143" t="s">
        <v>624</v>
      </c>
      <c r="F213" s="293" t="s">
        <v>625</v>
      </c>
      <c r="G213" s="293"/>
      <c r="H213" s="293"/>
      <c r="I213" s="293"/>
      <c r="J213" s="144" t="s">
        <v>199</v>
      </c>
      <c r="K213" s="145">
        <v>15.75</v>
      </c>
      <c r="L213" s="294"/>
      <c r="M213" s="294"/>
      <c r="N213" s="294">
        <f>ROUND(L213*K213,2)</f>
        <v>0</v>
      </c>
      <c r="O213" s="294"/>
      <c r="P213" s="294"/>
      <c r="Q213" s="294"/>
      <c r="R213" s="146"/>
      <c r="T213" s="147" t="s">
        <v>5</v>
      </c>
      <c r="U213" s="44" t="s">
        <v>43</v>
      </c>
      <c r="V213" s="148">
        <v>1.809</v>
      </c>
      <c r="W213" s="148">
        <f>V213*K213</f>
        <v>28.49175</v>
      </c>
      <c r="X213" s="148">
        <v>0.0357</v>
      </c>
      <c r="Y213" s="148">
        <f>X213*K213</f>
        <v>0.5622750000000001</v>
      </c>
      <c r="Z213" s="148">
        <v>0</v>
      </c>
      <c r="AA213" s="149">
        <f>Z213*K213</f>
        <v>0</v>
      </c>
      <c r="AR213" s="21" t="s">
        <v>281</v>
      </c>
      <c r="AT213" s="21" t="s">
        <v>168</v>
      </c>
      <c r="AU213" s="21" t="s">
        <v>135</v>
      </c>
      <c r="AY213" s="21" t="s">
        <v>167</v>
      </c>
      <c r="BE213" s="150">
        <f>IF(U213="základní",N213,0)</f>
        <v>0</v>
      </c>
      <c r="BF213" s="150">
        <f>IF(U213="snížená",N213,0)</f>
        <v>0</v>
      </c>
      <c r="BG213" s="150">
        <f>IF(U213="zákl. přenesená",N213,0)</f>
        <v>0</v>
      </c>
      <c r="BH213" s="150">
        <f>IF(U213="sníž. přenesená",N213,0)</f>
        <v>0</v>
      </c>
      <c r="BI213" s="150">
        <f>IF(U213="nulová",N213,0)</f>
        <v>0</v>
      </c>
      <c r="BJ213" s="21" t="s">
        <v>21</v>
      </c>
      <c r="BK213" s="150">
        <f>ROUND(L213*K213,2)</f>
        <v>0</v>
      </c>
      <c r="BL213" s="21" t="s">
        <v>281</v>
      </c>
      <c r="BM213" s="21" t="s">
        <v>626</v>
      </c>
    </row>
    <row r="214" spans="2:51" s="11" customFormat="1" ht="22.5" customHeight="1">
      <c r="B214" s="159"/>
      <c r="C214" s="160"/>
      <c r="D214" s="160"/>
      <c r="E214" s="161" t="s">
        <v>5</v>
      </c>
      <c r="F214" s="308" t="s">
        <v>627</v>
      </c>
      <c r="G214" s="309"/>
      <c r="H214" s="309"/>
      <c r="I214" s="309"/>
      <c r="J214" s="160"/>
      <c r="K214" s="162">
        <v>15.75</v>
      </c>
      <c r="L214" s="160"/>
      <c r="M214" s="160"/>
      <c r="N214" s="160"/>
      <c r="O214" s="160"/>
      <c r="P214" s="160"/>
      <c r="Q214" s="160"/>
      <c r="R214" s="163"/>
      <c r="T214" s="164"/>
      <c r="U214" s="160"/>
      <c r="V214" s="160"/>
      <c r="W214" s="160"/>
      <c r="X214" s="160"/>
      <c r="Y214" s="160"/>
      <c r="Z214" s="160"/>
      <c r="AA214" s="165"/>
      <c r="AT214" s="166" t="s">
        <v>179</v>
      </c>
      <c r="AU214" s="166" t="s">
        <v>135</v>
      </c>
      <c r="AV214" s="11" t="s">
        <v>135</v>
      </c>
      <c r="AW214" s="11" t="s">
        <v>35</v>
      </c>
      <c r="AX214" s="11" t="s">
        <v>21</v>
      </c>
      <c r="AY214" s="166" t="s">
        <v>167</v>
      </c>
    </row>
    <row r="215" spans="2:65" s="1" customFormat="1" ht="22.5" customHeight="1">
      <c r="B215" s="141"/>
      <c r="C215" s="142" t="s">
        <v>628</v>
      </c>
      <c r="D215" s="142" t="s">
        <v>168</v>
      </c>
      <c r="E215" s="143" t="s">
        <v>629</v>
      </c>
      <c r="F215" s="293" t="s">
        <v>630</v>
      </c>
      <c r="G215" s="293"/>
      <c r="H215" s="293"/>
      <c r="I215" s="293"/>
      <c r="J215" s="144" t="s">
        <v>176</v>
      </c>
      <c r="K215" s="145">
        <v>0.761</v>
      </c>
      <c r="L215" s="294"/>
      <c r="M215" s="294"/>
      <c r="N215" s="294">
        <f>ROUND(L215*K215,2)</f>
        <v>0</v>
      </c>
      <c r="O215" s="294"/>
      <c r="P215" s="294"/>
      <c r="Q215" s="294"/>
      <c r="R215" s="146"/>
      <c r="T215" s="147" t="s">
        <v>5</v>
      </c>
      <c r="U215" s="44" t="s">
        <v>43</v>
      </c>
      <c r="V215" s="148">
        <v>1.809</v>
      </c>
      <c r="W215" s="148">
        <f>V215*K215</f>
        <v>1.376649</v>
      </c>
      <c r="X215" s="148">
        <v>0.0357</v>
      </c>
      <c r="Y215" s="148">
        <f>X215*K215</f>
        <v>0.027167700000000003</v>
      </c>
      <c r="Z215" s="148">
        <v>0</v>
      </c>
      <c r="AA215" s="149">
        <f>Z215*K215</f>
        <v>0</v>
      </c>
      <c r="AR215" s="21" t="s">
        <v>281</v>
      </c>
      <c r="AT215" s="21" t="s">
        <v>168</v>
      </c>
      <c r="AU215" s="21" t="s">
        <v>135</v>
      </c>
      <c r="AY215" s="21" t="s">
        <v>167</v>
      </c>
      <c r="BE215" s="150">
        <f>IF(U215="základní",N215,0)</f>
        <v>0</v>
      </c>
      <c r="BF215" s="150">
        <f>IF(U215="snížená",N215,0)</f>
        <v>0</v>
      </c>
      <c r="BG215" s="150">
        <f>IF(U215="zákl. přenesená",N215,0)</f>
        <v>0</v>
      </c>
      <c r="BH215" s="150">
        <f>IF(U215="sníž. přenesená",N215,0)</f>
        <v>0</v>
      </c>
      <c r="BI215" s="150">
        <f>IF(U215="nulová",N215,0)</f>
        <v>0</v>
      </c>
      <c r="BJ215" s="21" t="s">
        <v>21</v>
      </c>
      <c r="BK215" s="150">
        <f>ROUND(L215*K215,2)</f>
        <v>0</v>
      </c>
      <c r="BL215" s="21" t="s">
        <v>281</v>
      </c>
      <c r="BM215" s="21" t="s">
        <v>631</v>
      </c>
    </row>
    <row r="216" spans="2:51" s="11" customFormat="1" ht="22.5" customHeight="1">
      <c r="B216" s="159"/>
      <c r="C216" s="160"/>
      <c r="D216" s="160"/>
      <c r="E216" s="161" t="s">
        <v>5</v>
      </c>
      <c r="F216" s="308" t="s">
        <v>632</v>
      </c>
      <c r="G216" s="309"/>
      <c r="H216" s="309"/>
      <c r="I216" s="309"/>
      <c r="J216" s="160"/>
      <c r="K216" s="162">
        <v>0.761</v>
      </c>
      <c r="L216" s="160"/>
      <c r="M216" s="160"/>
      <c r="N216" s="160"/>
      <c r="O216" s="160"/>
      <c r="P216" s="160"/>
      <c r="Q216" s="160"/>
      <c r="R216" s="163"/>
      <c r="T216" s="164"/>
      <c r="U216" s="160"/>
      <c r="V216" s="160"/>
      <c r="W216" s="160"/>
      <c r="X216" s="160"/>
      <c r="Y216" s="160"/>
      <c r="Z216" s="160"/>
      <c r="AA216" s="165"/>
      <c r="AT216" s="166" t="s">
        <v>179</v>
      </c>
      <c r="AU216" s="166" t="s">
        <v>135</v>
      </c>
      <c r="AV216" s="11" t="s">
        <v>135</v>
      </c>
      <c r="AW216" s="11" t="s">
        <v>35</v>
      </c>
      <c r="AX216" s="11" t="s">
        <v>21</v>
      </c>
      <c r="AY216" s="166" t="s">
        <v>167</v>
      </c>
    </row>
    <row r="217" spans="2:65" s="1" customFormat="1" ht="22.5" customHeight="1">
      <c r="B217" s="141"/>
      <c r="C217" s="142" t="s">
        <v>633</v>
      </c>
      <c r="D217" s="142" t="s">
        <v>168</v>
      </c>
      <c r="E217" s="143" t="s">
        <v>634</v>
      </c>
      <c r="F217" s="293" t="s">
        <v>635</v>
      </c>
      <c r="G217" s="293"/>
      <c r="H217" s="293"/>
      <c r="I217" s="293"/>
      <c r="J217" s="144" t="s">
        <v>176</v>
      </c>
      <c r="K217" s="145">
        <v>1.326</v>
      </c>
      <c r="L217" s="294"/>
      <c r="M217" s="294"/>
      <c r="N217" s="294">
        <f>ROUND(L217*K217,2)</f>
        <v>0</v>
      </c>
      <c r="O217" s="294"/>
      <c r="P217" s="294"/>
      <c r="Q217" s="294"/>
      <c r="R217" s="146"/>
      <c r="T217" s="147" t="s">
        <v>5</v>
      </c>
      <c r="U217" s="44" t="s">
        <v>43</v>
      </c>
      <c r="V217" s="148">
        <v>1.809</v>
      </c>
      <c r="W217" s="148">
        <f>V217*K217</f>
        <v>2.398734</v>
      </c>
      <c r="X217" s="148">
        <v>0.0357</v>
      </c>
      <c r="Y217" s="148">
        <f>X217*K217</f>
        <v>0.047338200000000004</v>
      </c>
      <c r="Z217" s="148">
        <v>0</v>
      </c>
      <c r="AA217" s="149">
        <f>Z217*K217</f>
        <v>0</v>
      </c>
      <c r="AR217" s="21" t="s">
        <v>281</v>
      </c>
      <c r="AT217" s="21" t="s">
        <v>168</v>
      </c>
      <c r="AU217" s="21" t="s">
        <v>135</v>
      </c>
      <c r="AY217" s="21" t="s">
        <v>167</v>
      </c>
      <c r="BE217" s="150">
        <f>IF(U217="základní",N217,0)</f>
        <v>0</v>
      </c>
      <c r="BF217" s="150">
        <f>IF(U217="snížená",N217,0)</f>
        <v>0</v>
      </c>
      <c r="BG217" s="150">
        <f>IF(U217="zákl. přenesená",N217,0)</f>
        <v>0</v>
      </c>
      <c r="BH217" s="150">
        <f>IF(U217="sníž. přenesená",N217,0)</f>
        <v>0</v>
      </c>
      <c r="BI217" s="150">
        <f>IF(U217="nulová",N217,0)</f>
        <v>0</v>
      </c>
      <c r="BJ217" s="21" t="s">
        <v>21</v>
      </c>
      <c r="BK217" s="150">
        <f>ROUND(L217*K217,2)</f>
        <v>0</v>
      </c>
      <c r="BL217" s="21" t="s">
        <v>281</v>
      </c>
      <c r="BM217" s="21" t="s">
        <v>636</v>
      </c>
    </row>
    <row r="218" spans="2:51" s="11" customFormat="1" ht="22.5" customHeight="1">
      <c r="B218" s="159"/>
      <c r="C218" s="160"/>
      <c r="D218" s="160"/>
      <c r="E218" s="161" t="s">
        <v>5</v>
      </c>
      <c r="F218" s="308" t="s">
        <v>637</v>
      </c>
      <c r="G218" s="309"/>
      <c r="H218" s="309"/>
      <c r="I218" s="309"/>
      <c r="J218" s="160"/>
      <c r="K218" s="162">
        <v>1.326</v>
      </c>
      <c r="L218" s="160"/>
      <c r="M218" s="160"/>
      <c r="N218" s="160"/>
      <c r="O218" s="160"/>
      <c r="P218" s="160"/>
      <c r="Q218" s="160"/>
      <c r="R218" s="163"/>
      <c r="T218" s="164"/>
      <c r="U218" s="160"/>
      <c r="V218" s="160"/>
      <c r="W218" s="160"/>
      <c r="X218" s="160"/>
      <c r="Y218" s="160"/>
      <c r="Z218" s="160"/>
      <c r="AA218" s="165"/>
      <c r="AT218" s="166" t="s">
        <v>179</v>
      </c>
      <c r="AU218" s="166" t="s">
        <v>135</v>
      </c>
      <c r="AV218" s="11" t="s">
        <v>135</v>
      </c>
      <c r="AW218" s="11" t="s">
        <v>35</v>
      </c>
      <c r="AX218" s="11" t="s">
        <v>21</v>
      </c>
      <c r="AY218" s="166" t="s">
        <v>167</v>
      </c>
    </row>
    <row r="219" spans="2:65" s="1" customFormat="1" ht="31.5" customHeight="1">
      <c r="B219" s="141"/>
      <c r="C219" s="142" t="s">
        <v>638</v>
      </c>
      <c r="D219" s="142" t="s">
        <v>168</v>
      </c>
      <c r="E219" s="143" t="s">
        <v>639</v>
      </c>
      <c r="F219" s="293" t="s">
        <v>640</v>
      </c>
      <c r="G219" s="293"/>
      <c r="H219" s="293"/>
      <c r="I219" s="293"/>
      <c r="J219" s="144" t="s">
        <v>408</v>
      </c>
      <c r="K219" s="145">
        <v>3</v>
      </c>
      <c r="L219" s="294"/>
      <c r="M219" s="294"/>
      <c r="N219" s="294">
        <f>ROUND(L219*K219,2)</f>
        <v>0</v>
      </c>
      <c r="O219" s="294"/>
      <c r="P219" s="294"/>
      <c r="Q219" s="294"/>
      <c r="R219" s="146"/>
      <c r="T219" s="147" t="s">
        <v>5</v>
      </c>
      <c r="U219" s="175" t="s">
        <v>43</v>
      </c>
      <c r="V219" s="176">
        <v>0</v>
      </c>
      <c r="W219" s="176">
        <f>V219*K219</f>
        <v>0</v>
      </c>
      <c r="X219" s="176">
        <v>0</v>
      </c>
      <c r="Y219" s="176">
        <f>X219*K219</f>
        <v>0</v>
      </c>
      <c r="Z219" s="176">
        <v>0</v>
      </c>
      <c r="AA219" s="177">
        <f>Z219*K219</f>
        <v>0</v>
      </c>
      <c r="AR219" s="21" t="s">
        <v>281</v>
      </c>
      <c r="AT219" s="21" t="s">
        <v>168</v>
      </c>
      <c r="AU219" s="21" t="s">
        <v>135</v>
      </c>
      <c r="AY219" s="21" t="s">
        <v>167</v>
      </c>
      <c r="BE219" s="150">
        <f>IF(U219="základní",N219,0)</f>
        <v>0</v>
      </c>
      <c r="BF219" s="150">
        <f>IF(U219="snížená",N219,0)</f>
        <v>0</v>
      </c>
      <c r="BG219" s="150">
        <f>IF(U219="zákl. přenesená",N219,0)</f>
        <v>0</v>
      </c>
      <c r="BH219" s="150">
        <f>IF(U219="sníž. přenesená",N219,0)</f>
        <v>0</v>
      </c>
      <c r="BI219" s="150">
        <f>IF(U219="nulová",N219,0)</f>
        <v>0</v>
      </c>
      <c r="BJ219" s="21" t="s">
        <v>21</v>
      </c>
      <c r="BK219" s="150">
        <f>ROUND(L219*K219,2)</f>
        <v>0</v>
      </c>
      <c r="BL219" s="21" t="s">
        <v>281</v>
      </c>
      <c r="BM219" s="21" t="s">
        <v>641</v>
      </c>
    </row>
    <row r="220" spans="2:18" s="1" customFormat="1" ht="6.95" customHeight="1">
      <c r="B220" s="59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</sheetData>
  <mergeCells count="237">
    <mergeCell ref="H1:K1"/>
    <mergeCell ref="S2:AC2"/>
    <mergeCell ref="F219:I219"/>
    <mergeCell ref="L219:M219"/>
    <mergeCell ref="N219:Q219"/>
    <mergeCell ref="N117:Q117"/>
    <mergeCell ref="N118:Q118"/>
    <mergeCell ref="N119:Q119"/>
    <mergeCell ref="N162:Q162"/>
    <mergeCell ref="N175:Q175"/>
    <mergeCell ref="N202:Q202"/>
    <mergeCell ref="N206:Q206"/>
    <mergeCell ref="N208:Q208"/>
    <mergeCell ref="N209:Q209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L213:M213"/>
    <mergeCell ref="N213:Q21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3:I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8:I188"/>
    <mergeCell ref="F189:I189"/>
    <mergeCell ref="F190:I190"/>
    <mergeCell ref="F191:I191"/>
    <mergeCell ref="L191:M191"/>
    <mergeCell ref="N191:Q191"/>
    <mergeCell ref="F192:I192"/>
    <mergeCell ref="L192:M192"/>
    <mergeCell ref="N192:Q192"/>
    <mergeCell ref="F183:I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78:I178"/>
    <mergeCell ref="F179:I179"/>
    <mergeCell ref="F180:I180"/>
    <mergeCell ref="F181:I181"/>
    <mergeCell ref="L181:M181"/>
    <mergeCell ref="N181:Q181"/>
    <mergeCell ref="F182:I182"/>
    <mergeCell ref="L182:M182"/>
    <mergeCell ref="N182:Q182"/>
    <mergeCell ref="F170:I170"/>
    <mergeCell ref="F171:I171"/>
    <mergeCell ref="F172:I172"/>
    <mergeCell ref="F173:I173"/>
    <mergeCell ref="F174:I174"/>
    <mergeCell ref="F176:I176"/>
    <mergeCell ref="L176:M176"/>
    <mergeCell ref="N176:Q176"/>
    <mergeCell ref="F177:I177"/>
    <mergeCell ref="L177:M177"/>
    <mergeCell ref="N177:Q177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F143:I143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24:I124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L123:M123"/>
    <mergeCell ref="N123:Q123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N327"/>
  <sheetViews>
    <sheetView showGridLines="0" view="pageBreakPreview" zoomScaleSheetLayoutView="100" workbookViewId="0" topLeftCell="A1">
      <pane ySplit="1" topLeftCell="A308" activePane="bottomLeft" state="frozen"/>
      <selection pane="topLeft" activeCell="AE85" sqref="AE84:AE85"/>
      <selection pane="bottomLeft" activeCell="AG328" sqref="AG3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104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642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N114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ROUNDUP((SUM(BE114:BE115)+SUM(BE133:BE326)),2)</f>
        <v>0</v>
      </c>
      <c r="I32" s="275"/>
      <c r="J32" s="275"/>
      <c r="K32" s="36"/>
      <c r="L32" s="36"/>
      <c r="M32" s="279">
        <f>ROUNDUP(ROUNDUP((SUM(BE114:BE115)+SUM(BE133:BE326)),2)*F32,1)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ROUNDUP((SUM(BF114:BF115)+SUM(BF133:BF326)),2)</f>
        <v>0</v>
      </c>
      <c r="I33" s="275"/>
      <c r="J33" s="275"/>
      <c r="K33" s="36"/>
      <c r="L33" s="36"/>
      <c r="M33" s="279">
        <f>ROUNDUP(ROUNDUP((SUM(BF114:BF115)+SUM(BF133:BF326)),2)*F33,1)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ROUNDUP((SUM(BG114:BG115)+SUM(BG133:BG326)),2)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ROUNDUP((SUM(BH114:BH115)+SUM(BH133:BH326)),2)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ROUNDUP((SUM(BI114:BI115)+SUM(BI133:BI326)),2)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>SO.1.07 - Objekt ČOV - provozní objekt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N133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N134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N135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N142</f>
        <v>0</v>
      </c>
      <c r="O91" s="288"/>
      <c r="P91" s="288"/>
      <c r="Q91" s="288"/>
      <c r="R91" s="120"/>
    </row>
    <row r="92" spans="2:18" s="7" customFormat="1" ht="19.9" customHeight="1">
      <c r="B92" s="117"/>
      <c r="C92" s="118"/>
      <c r="D92" s="119" t="s">
        <v>226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87">
        <f>N149</f>
        <v>0</v>
      </c>
      <c r="O92" s="288"/>
      <c r="P92" s="288"/>
      <c r="Q92" s="288"/>
      <c r="R92" s="120"/>
    </row>
    <row r="93" spans="2:18" s="7" customFormat="1" ht="19.9" customHeight="1">
      <c r="B93" s="117"/>
      <c r="C93" s="118"/>
      <c r="D93" s="119" t="s">
        <v>227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N163</f>
        <v>0</v>
      </c>
      <c r="O93" s="288"/>
      <c r="P93" s="288"/>
      <c r="Q93" s="288"/>
      <c r="R93" s="120"/>
    </row>
    <row r="94" spans="2:18" s="7" customFormat="1" ht="19.9" customHeight="1">
      <c r="B94" s="117"/>
      <c r="C94" s="118"/>
      <c r="D94" s="119" t="s">
        <v>411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87">
        <f>N176</f>
        <v>0</v>
      </c>
      <c r="O94" s="288"/>
      <c r="P94" s="288"/>
      <c r="Q94" s="288"/>
      <c r="R94" s="120"/>
    </row>
    <row r="95" spans="2:18" s="7" customFormat="1" ht="19.9" customHeight="1">
      <c r="B95" s="117"/>
      <c r="C95" s="118"/>
      <c r="D95" s="119" t="s">
        <v>228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87">
        <f>N200</f>
        <v>0</v>
      </c>
      <c r="O95" s="288"/>
      <c r="P95" s="288"/>
      <c r="Q95" s="288"/>
      <c r="R95" s="120"/>
    </row>
    <row r="96" spans="2:18" s="7" customFormat="1" ht="19.9" customHeight="1">
      <c r="B96" s="117"/>
      <c r="C96" s="118"/>
      <c r="D96" s="119" t="s">
        <v>151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87">
        <f>N207</f>
        <v>0</v>
      </c>
      <c r="O96" s="288"/>
      <c r="P96" s="288"/>
      <c r="Q96" s="288"/>
      <c r="R96" s="120"/>
    </row>
    <row r="97" spans="2:18" s="6" customFormat="1" ht="24.95" customHeight="1">
      <c r="B97" s="113"/>
      <c r="C97" s="114"/>
      <c r="D97" s="115" t="s">
        <v>387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85">
        <f>N209</f>
        <v>0</v>
      </c>
      <c r="O97" s="286"/>
      <c r="P97" s="286"/>
      <c r="Q97" s="286"/>
      <c r="R97" s="116"/>
    </row>
    <row r="98" spans="2:18" s="7" customFormat="1" ht="19.9" customHeight="1">
      <c r="B98" s="117"/>
      <c r="C98" s="118"/>
      <c r="D98" s="119" t="s">
        <v>643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87">
        <f>N210</f>
        <v>0</v>
      </c>
      <c r="O98" s="288"/>
      <c r="P98" s="288"/>
      <c r="Q98" s="288"/>
      <c r="R98" s="120"/>
    </row>
    <row r="99" spans="2:18" s="7" customFormat="1" ht="19.9" customHeight="1">
      <c r="B99" s="117"/>
      <c r="C99" s="118"/>
      <c r="D99" s="119" t="s">
        <v>644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87">
        <f>N221</f>
        <v>0</v>
      </c>
      <c r="O99" s="288"/>
      <c r="P99" s="288"/>
      <c r="Q99" s="288"/>
      <c r="R99" s="120"/>
    </row>
    <row r="100" spans="2:18" s="7" customFormat="1" ht="19.9" customHeight="1">
      <c r="B100" s="117"/>
      <c r="C100" s="118"/>
      <c r="D100" s="119" t="s">
        <v>645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87">
        <f>N233</f>
        <v>0</v>
      </c>
      <c r="O100" s="288"/>
      <c r="P100" s="288"/>
      <c r="Q100" s="288"/>
      <c r="R100" s="120"/>
    </row>
    <row r="101" spans="2:18" s="7" customFormat="1" ht="19.9" customHeight="1">
      <c r="B101" s="117"/>
      <c r="C101" s="118"/>
      <c r="D101" s="119" t="s">
        <v>646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87">
        <f>N235</f>
        <v>0</v>
      </c>
      <c r="O101" s="288"/>
      <c r="P101" s="288"/>
      <c r="Q101" s="288"/>
      <c r="R101" s="120"/>
    </row>
    <row r="102" spans="2:18" s="7" customFormat="1" ht="19.9" customHeight="1">
      <c r="B102" s="117"/>
      <c r="C102" s="118"/>
      <c r="D102" s="119" t="s">
        <v>647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287">
        <f>N238</f>
        <v>0</v>
      </c>
      <c r="O102" s="288"/>
      <c r="P102" s="288"/>
      <c r="Q102" s="288"/>
      <c r="R102" s="120"/>
    </row>
    <row r="103" spans="2:18" s="7" customFormat="1" ht="19.9" customHeight="1">
      <c r="B103" s="117"/>
      <c r="C103" s="118"/>
      <c r="D103" s="119" t="s">
        <v>648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87">
        <f>N244</f>
        <v>0</v>
      </c>
      <c r="O103" s="288"/>
      <c r="P103" s="288"/>
      <c r="Q103" s="288"/>
      <c r="R103" s="120"/>
    </row>
    <row r="104" spans="2:18" s="7" customFormat="1" ht="19.9" customHeight="1">
      <c r="B104" s="117"/>
      <c r="C104" s="118"/>
      <c r="D104" s="119" t="s">
        <v>649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287">
        <f>N256</f>
        <v>0</v>
      </c>
      <c r="O104" s="288"/>
      <c r="P104" s="288"/>
      <c r="Q104" s="288"/>
      <c r="R104" s="120"/>
    </row>
    <row r="105" spans="2:18" s="7" customFormat="1" ht="19.9" customHeight="1">
      <c r="B105" s="117"/>
      <c r="C105" s="118"/>
      <c r="D105" s="119" t="s">
        <v>412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287">
        <f>N261</f>
        <v>0</v>
      </c>
      <c r="O105" s="288"/>
      <c r="P105" s="288"/>
      <c r="Q105" s="288"/>
      <c r="R105" s="120"/>
    </row>
    <row r="106" spans="2:18" s="7" customFormat="1" ht="19.9" customHeight="1">
      <c r="B106" s="117"/>
      <c r="C106" s="118"/>
      <c r="D106" s="119" t="s">
        <v>650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287">
        <f>N273</f>
        <v>0</v>
      </c>
      <c r="O106" s="288"/>
      <c r="P106" s="288"/>
      <c r="Q106" s="288"/>
      <c r="R106" s="120"/>
    </row>
    <row r="107" spans="2:18" s="7" customFormat="1" ht="19.9" customHeight="1">
      <c r="B107" s="117"/>
      <c r="C107" s="118"/>
      <c r="D107" s="119" t="s">
        <v>651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287">
        <f>N281</f>
        <v>0</v>
      </c>
      <c r="O107" s="288"/>
      <c r="P107" s="288"/>
      <c r="Q107" s="288"/>
      <c r="R107" s="120"/>
    </row>
    <row r="108" spans="2:18" s="7" customFormat="1" ht="19.9" customHeight="1">
      <c r="B108" s="117"/>
      <c r="C108" s="118"/>
      <c r="D108" s="119" t="s">
        <v>388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287">
        <f>N288</f>
        <v>0</v>
      </c>
      <c r="O108" s="288"/>
      <c r="P108" s="288"/>
      <c r="Q108" s="288"/>
      <c r="R108" s="120"/>
    </row>
    <row r="109" spans="2:18" s="7" customFormat="1" ht="19.9" customHeight="1">
      <c r="B109" s="117"/>
      <c r="C109" s="118"/>
      <c r="D109" s="119" t="s">
        <v>652</v>
      </c>
      <c r="E109" s="118"/>
      <c r="F109" s="118"/>
      <c r="G109" s="118"/>
      <c r="H109" s="118"/>
      <c r="I109" s="118"/>
      <c r="J109" s="118"/>
      <c r="K109" s="118"/>
      <c r="L109" s="118"/>
      <c r="M109" s="118"/>
      <c r="N109" s="287">
        <f>N293</f>
        <v>0</v>
      </c>
      <c r="O109" s="288"/>
      <c r="P109" s="288"/>
      <c r="Q109" s="288"/>
      <c r="R109" s="120"/>
    </row>
    <row r="110" spans="2:18" s="7" customFormat="1" ht="19.9" customHeight="1">
      <c r="B110" s="117"/>
      <c r="C110" s="118"/>
      <c r="D110" s="119" t="s">
        <v>653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287">
        <f>N305</f>
        <v>0</v>
      </c>
      <c r="O110" s="288"/>
      <c r="P110" s="288"/>
      <c r="Q110" s="288"/>
      <c r="R110" s="120"/>
    </row>
    <row r="111" spans="2:18" s="7" customFormat="1" ht="19.9" customHeight="1">
      <c r="B111" s="117"/>
      <c r="C111" s="118"/>
      <c r="D111" s="119" t="s">
        <v>654</v>
      </c>
      <c r="E111" s="118"/>
      <c r="F111" s="118"/>
      <c r="G111" s="118"/>
      <c r="H111" s="118"/>
      <c r="I111" s="118"/>
      <c r="J111" s="118"/>
      <c r="K111" s="118"/>
      <c r="L111" s="118"/>
      <c r="M111" s="118"/>
      <c r="N111" s="287">
        <f>N314</f>
        <v>0</v>
      </c>
      <c r="O111" s="288"/>
      <c r="P111" s="288"/>
      <c r="Q111" s="288"/>
      <c r="R111" s="120"/>
    </row>
    <row r="112" spans="2:18" s="7" customFormat="1" ht="19.9" customHeight="1">
      <c r="B112" s="117"/>
      <c r="C112" s="118"/>
      <c r="D112" s="119" t="s">
        <v>655</v>
      </c>
      <c r="E112" s="118"/>
      <c r="F112" s="118"/>
      <c r="G112" s="118"/>
      <c r="H112" s="118"/>
      <c r="I112" s="118"/>
      <c r="J112" s="118"/>
      <c r="K112" s="118"/>
      <c r="L112" s="118"/>
      <c r="M112" s="118"/>
      <c r="N112" s="287">
        <f>N320</f>
        <v>0</v>
      </c>
      <c r="O112" s="288"/>
      <c r="P112" s="288"/>
      <c r="Q112" s="288"/>
      <c r="R112" s="120"/>
    </row>
    <row r="113" spans="2:18" s="1" customFormat="1" ht="21.7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21" s="1" customFormat="1" ht="29.25" customHeight="1">
      <c r="B114" s="35"/>
      <c r="C114" s="112" t="s">
        <v>152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84">
        <v>0</v>
      </c>
      <c r="O114" s="289"/>
      <c r="P114" s="289"/>
      <c r="Q114" s="289"/>
      <c r="R114" s="37"/>
      <c r="T114" s="121"/>
      <c r="U114" s="122" t="s">
        <v>42</v>
      </c>
    </row>
    <row r="115" spans="2:18" s="1" customFormat="1" ht="18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29.25" customHeight="1">
      <c r="B116" s="35"/>
      <c r="C116" s="103" t="s">
        <v>129</v>
      </c>
      <c r="D116" s="104"/>
      <c r="E116" s="104"/>
      <c r="F116" s="104"/>
      <c r="G116" s="104"/>
      <c r="H116" s="104"/>
      <c r="I116" s="104"/>
      <c r="J116" s="104"/>
      <c r="K116" s="104"/>
      <c r="L116" s="268">
        <f>ROUNDUP(SUM(N88+N114),2)</f>
        <v>0</v>
      </c>
      <c r="M116" s="268"/>
      <c r="N116" s="268"/>
      <c r="O116" s="268"/>
      <c r="P116" s="268"/>
      <c r="Q116" s="268"/>
      <c r="R116" s="37"/>
    </row>
    <row r="117" spans="2:18" s="1" customFormat="1" ht="6.95" customHeight="1"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1"/>
    </row>
    <row r="121" spans="2:18" s="1" customFormat="1" ht="6.95" customHeight="1"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4"/>
    </row>
    <row r="122" spans="2:18" s="1" customFormat="1" ht="36.95" customHeight="1">
      <c r="B122" s="35"/>
      <c r="C122" s="237" t="s">
        <v>153</v>
      </c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37"/>
    </row>
    <row r="123" spans="2:18" s="1" customFormat="1" ht="6.9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18" s="1" customFormat="1" ht="30" customHeight="1">
      <c r="B124" s="35"/>
      <c r="C124" s="32" t="s">
        <v>16</v>
      </c>
      <c r="D124" s="36"/>
      <c r="E124" s="36"/>
      <c r="F124" s="273" t="str">
        <f>F6</f>
        <v>ČOV a splašková kanalizace Žinkovy</v>
      </c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36"/>
      <c r="R124" s="37"/>
    </row>
    <row r="125" spans="2:18" s="1" customFormat="1" ht="36.95" customHeight="1">
      <c r="B125" s="35"/>
      <c r="C125" s="69" t="s">
        <v>137</v>
      </c>
      <c r="D125" s="36"/>
      <c r="E125" s="36"/>
      <c r="F125" s="254" t="str">
        <f>F7</f>
        <v>SO.1.07 - Objekt ČOV - provozní objekt</v>
      </c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36"/>
      <c r="R125" s="37"/>
    </row>
    <row r="126" spans="2:18" s="1" customFormat="1" ht="6.9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ht="18" customHeight="1">
      <c r="B127" s="35"/>
      <c r="C127" s="32" t="s">
        <v>22</v>
      </c>
      <c r="D127" s="36"/>
      <c r="E127" s="36"/>
      <c r="F127" s="30" t="str">
        <f>F9</f>
        <v>Žinkovy</v>
      </c>
      <c r="G127" s="36"/>
      <c r="H127" s="36"/>
      <c r="I127" s="36"/>
      <c r="J127" s="36"/>
      <c r="K127" s="32" t="s">
        <v>24</v>
      </c>
      <c r="L127" s="36"/>
      <c r="M127" s="276">
        <f>IF(O9="","",O9)</f>
        <v>42912</v>
      </c>
      <c r="N127" s="276"/>
      <c r="O127" s="276"/>
      <c r="P127" s="276"/>
      <c r="Q127" s="36"/>
      <c r="R127" s="37"/>
    </row>
    <row r="128" spans="2:18" s="1" customFormat="1" ht="6.95" customHeight="1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spans="2:18" s="1" customFormat="1" ht="15">
      <c r="B129" s="35"/>
      <c r="C129" s="32" t="s">
        <v>27</v>
      </c>
      <c r="D129" s="36"/>
      <c r="E129" s="36"/>
      <c r="F129" s="30" t="str">
        <f>E12</f>
        <v>Obec Žinkovy</v>
      </c>
      <c r="G129" s="36"/>
      <c r="H129" s="36"/>
      <c r="I129" s="36"/>
      <c r="J129" s="36"/>
      <c r="K129" s="32" t="s">
        <v>33</v>
      </c>
      <c r="L129" s="36"/>
      <c r="M129" s="277" t="str">
        <f>E18</f>
        <v>PIK Vítek s.r.o.</v>
      </c>
      <c r="N129" s="277"/>
      <c r="O129" s="277"/>
      <c r="P129" s="277"/>
      <c r="Q129" s="277"/>
      <c r="R129" s="37"/>
    </row>
    <row r="130" spans="2:18" s="1" customFormat="1" ht="14.45" customHeight="1">
      <c r="B130" s="35"/>
      <c r="C130" s="32" t="s">
        <v>31</v>
      </c>
      <c r="D130" s="36"/>
      <c r="E130" s="36"/>
      <c r="F130" s="30" t="str">
        <f>IF(E15="","",E15)</f>
        <v xml:space="preserve"> </v>
      </c>
      <c r="G130" s="36"/>
      <c r="H130" s="36"/>
      <c r="I130" s="36"/>
      <c r="J130" s="36"/>
      <c r="K130" s="32" t="s">
        <v>36</v>
      </c>
      <c r="L130" s="36"/>
      <c r="M130" s="277" t="str">
        <f>E21</f>
        <v>Acrone s.r.o.</v>
      </c>
      <c r="N130" s="277"/>
      <c r="O130" s="277"/>
      <c r="P130" s="277"/>
      <c r="Q130" s="277"/>
      <c r="R130" s="37"/>
    </row>
    <row r="131" spans="2:18" s="1" customFormat="1" ht="10.35" customHeight="1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spans="2:27" s="8" customFormat="1" ht="29.25" customHeight="1">
      <c r="B132" s="123"/>
      <c r="C132" s="124" t="s">
        <v>154</v>
      </c>
      <c r="D132" s="125" t="s">
        <v>155</v>
      </c>
      <c r="E132" s="125" t="s">
        <v>60</v>
      </c>
      <c r="F132" s="290" t="s">
        <v>156</v>
      </c>
      <c r="G132" s="290"/>
      <c r="H132" s="290"/>
      <c r="I132" s="290"/>
      <c r="J132" s="125" t="s">
        <v>157</v>
      </c>
      <c r="K132" s="125" t="s">
        <v>158</v>
      </c>
      <c r="L132" s="291" t="s">
        <v>159</v>
      </c>
      <c r="M132" s="291"/>
      <c r="N132" s="290" t="s">
        <v>144</v>
      </c>
      <c r="O132" s="290"/>
      <c r="P132" s="290"/>
      <c r="Q132" s="292"/>
      <c r="R132" s="126"/>
      <c r="T132" s="76" t="s">
        <v>160</v>
      </c>
      <c r="U132" s="77" t="s">
        <v>42</v>
      </c>
      <c r="V132" s="77" t="s">
        <v>161</v>
      </c>
      <c r="W132" s="77" t="s">
        <v>162</v>
      </c>
      <c r="X132" s="77" t="s">
        <v>163</v>
      </c>
      <c r="Y132" s="77" t="s">
        <v>164</v>
      </c>
      <c r="Z132" s="77" t="s">
        <v>165</v>
      </c>
      <c r="AA132" s="78" t="s">
        <v>166</v>
      </c>
    </row>
    <row r="133" spans="2:63" s="1" customFormat="1" ht="29.25" customHeight="1">
      <c r="B133" s="35"/>
      <c r="C133" s="80" t="s">
        <v>140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295">
        <f>BK133</f>
        <v>0</v>
      </c>
      <c r="O133" s="296"/>
      <c r="P133" s="296"/>
      <c r="Q133" s="296"/>
      <c r="R133" s="37"/>
      <c r="T133" s="79"/>
      <c r="U133" s="51"/>
      <c r="V133" s="51"/>
      <c r="W133" s="127">
        <f>W134+W209</f>
        <v>714.5958229999999</v>
      </c>
      <c r="X133" s="51"/>
      <c r="Y133" s="127">
        <f>Y134+Y209</f>
        <v>107.32124678999999</v>
      </c>
      <c r="Z133" s="51"/>
      <c r="AA133" s="128">
        <f>AA134+AA209</f>
        <v>0</v>
      </c>
      <c r="AT133" s="21" t="s">
        <v>77</v>
      </c>
      <c r="AU133" s="21" t="s">
        <v>146</v>
      </c>
      <c r="BK133" s="129">
        <f>BK134+BK209</f>
        <v>0</v>
      </c>
    </row>
    <row r="134" spans="2:63" s="9" customFormat="1" ht="37.35" customHeight="1">
      <c r="B134" s="130"/>
      <c r="C134" s="131"/>
      <c r="D134" s="132" t="s">
        <v>147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297">
        <f>BK134</f>
        <v>0</v>
      </c>
      <c r="O134" s="285"/>
      <c r="P134" s="285"/>
      <c r="Q134" s="285"/>
      <c r="R134" s="133"/>
      <c r="T134" s="134"/>
      <c r="U134" s="131"/>
      <c r="V134" s="131"/>
      <c r="W134" s="135">
        <f>W135+W142+W149+W163+W176+W200+W207</f>
        <v>423.95350099999996</v>
      </c>
      <c r="X134" s="131"/>
      <c r="Y134" s="135">
        <f>Y135+Y142+Y149+Y163+Y176+Y200+Y207</f>
        <v>98.44142821999999</v>
      </c>
      <c r="Z134" s="131"/>
      <c r="AA134" s="136">
        <f>AA135+AA142+AA149+AA163+AA176+AA200+AA207</f>
        <v>0</v>
      </c>
      <c r="AR134" s="137" t="s">
        <v>21</v>
      </c>
      <c r="AT134" s="138" t="s">
        <v>77</v>
      </c>
      <c r="AU134" s="138" t="s">
        <v>78</v>
      </c>
      <c r="AY134" s="137" t="s">
        <v>167</v>
      </c>
      <c r="BK134" s="139">
        <f>BK135+BK142+BK149+BK163+BK176+BK200+BK207</f>
        <v>0</v>
      </c>
    </row>
    <row r="135" spans="2:63" s="9" customFormat="1" ht="19.9" customHeight="1">
      <c r="B135" s="130"/>
      <c r="C135" s="131"/>
      <c r="D135" s="140" t="s">
        <v>148</v>
      </c>
      <c r="E135" s="140"/>
      <c r="F135" s="140"/>
      <c r="G135" s="140"/>
      <c r="H135" s="140"/>
      <c r="I135" s="140"/>
      <c r="J135" s="140"/>
      <c r="K135" s="140"/>
      <c r="L135" s="140"/>
      <c r="M135" s="140"/>
      <c r="N135" s="298">
        <f>BK135</f>
        <v>0</v>
      </c>
      <c r="O135" s="299"/>
      <c r="P135" s="299"/>
      <c r="Q135" s="299"/>
      <c r="R135" s="133"/>
      <c r="T135" s="134"/>
      <c r="U135" s="131"/>
      <c r="V135" s="131"/>
      <c r="W135" s="135">
        <f>SUM(W136:W141)</f>
        <v>32.698555999999996</v>
      </c>
      <c r="X135" s="131"/>
      <c r="Y135" s="135">
        <f>SUM(Y136:Y141)</f>
        <v>0</v>
      </c>
      <c r="Z135" s="131"/>
      <c r="AA135" s="136">
        <f>SUM(AA136:AA141)</f>
        <v>0</v>
      </c>
      <c r="AR135" s="137" t="s">
        <v>21</v>
      </c>
      <c r="AT135" s="138" t="s">
        <v>77</v>
      </c>
      <c r="AU135" s="138" t="s">
        <v>21</v>
      </c>
      <c r="AY135" s="137" t="s">
        <v>167</v>
      </c>
      <c r="BK135" s="139">
        <f>SUM(BK136:BK141)</f>
        <v>0</v>
      </c>
    </row>
    <row r="136" spans="2:65" s="1" customFormat="1" ht="31.5" customHeight="1">
      <c r="B136" s="141"/>
      <c r="C136" s="142" t="s">
        <v>21</v>
      </c>
      <c r="D136" s="142" t="s">
        <v>168</v>
      </c>
      <c r="E136" s="143" t="s">
        <v>656</v>
      </c>
      <c r="F136" s="293" t="s">
        <v>657</v>
      </c>
      <c r="G136" s="293"/>
      <c r="H136" s="293"/>
      <c r="I136" s="293"/>
      <c r="J136" s="144" t="s">
        <v>171</v>
      </c>
      <c r="K136" s="145">
        <v>1</v>
      </c>
      <c r="L136" s="294"/>
      <c r="M136" s="294"/>
      <c r="N136" s="294">
        <f>ROUND(L136*K136,2)</f>
        <v>0</v>
      </c>
      <c r="O136" s="294"/>
      <c r="P136" s="294"/>
      <c r="Q136" s="294"/>
      <c r="R136" s="146"/>
      <c r="T136" s="147" t="s">
        <v>5</v>
      </c>
      <c r="U136" s="44" t="s">
        <v>43</v>
      </c>
      <c r="V136" s="148">
        <v>0.467</v>
      </c>
      <c r="W136" s="148">
        <f>V136*K136</f>
        <v>0.467</v>
      </c>
      <c r="X136" s="148">
        <v>0</v>
      </c>
      <c r="Y136" s="148">
        <f>X136*K136</f>
        <v>0</v>
      </c>
      <c r="Z136" s="148">
        <v>0</v>
      </c>
      <c r="AA136" s="149">
        <f>Z136*K136</f>
        <v>0</v>
      </c>
      <c r="AR136" s="21" t="s">
        <v>172</v>
      </c>
      <c r="AT136" s="21" t="s">
        <v>168</v>
      </c>
      <c r="AU136" s="21" t="s">
        <v>135</v>
      </c>
      <c r="AY136" s="21" t="s">
        <v>167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21" t="s">
        <v>21</v>
      </c>
      <c r="BK136" s="150">
        <f>ROUND(L136*K136,2)</f>
        <v>0</v>
      </c>
      <c r="BL136" s="21" t="s">
        <v>172</v>
      </c>
      <c r="BM136" s="21" t="s">
        <v>658</v>
      </c>
    </row>
    <row r="137" spans="2:65" s="1" customFormat="1" ht="31.5" customHeight="1">
      <c r="B137" s="141"/>
      <c r="C137" s="142" t="s">
        <v>135</v>
      </c>
      <c r="D137" s="142" t="s">
        <v>168</v>
      </c>
      <c r="E137" s="143" t="s">
        <v>659</v>
      </c>
      <c r="F137" s="293" t="s">
        <v>660</v>
      </c>
      <c r="G137" s="293"/>
      <c r="H137" s="293"/>
      <c r="I137" s="293"/>
      <c r="J137" s="144" t="s">
        <v>176</v>
      </c>
      <c r="K137" s="145">
        <v>10.458</v>
      </c>
      <c r="L137" s="294"/>
      <c r="M137" s="294"/>
      <c r="N137" s="294">
        <f>ROUND(L137*K137,2)</f>
        <v>0</v>
      </c>
      <c r="O137" s="294"/>
      <c r="P137" s="294"/>
      <c r="Q137" s="294"/>
      <c r="R137" s="146"/>
      <c r="T137" s="147" t="s">
        <v>5</v>
      </c>
      <c r="U137" s="44" t="s">
        <v>43</v>
      </c>
      <c r="V137" s="148">
        <v>2.32</v>
      </c>
      <c r="W137" s="148">
        <f>V137*K137</f>
        <v>24.262559999999997</v>
      </c>
      <c r="X137" s="148">
        <v>0</v>
      </c>
      <c r="Y137" s="148">
        <f>X137*K137</f>
        <v>0</v>
      </c>
      <c r="Z137" s="148">
        <v>0</v>
      </c>
      <c r="AA137" s="149">
        <f>Z137*K137</f>
        <v>0</v>
      </c>
      <c r="AR137" s="21" t="s">
        <v>172</v>
      </c>
      <c r="AT137" s="21" t="s">
        <v>168</v>
      </c>
      <c r="AU137" s="21" t="s">
        <v>135</v>
      </c>
      <c r="AY137" s="21" t="s">
        <v>167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21</v>
      </c>
      <c r="BK137" s="150">
        <f>ROUND(L137*K137,2)</f>
        <v>0</v>
      </c>
      <c r="BL137" s="21" t="s">
        <v>172</v>
      </c>
      <c r="BM137" s="21" t="s">
        <v>661</v>
      </c>
    </row>
    <row r="138" spans="2:51" s="11" customFormat="1" ht="22.5" customHeight="1">
      <c r="B138" s="159"/>
      <c r="C138" s="160"/>
      <c r="D138" s="160"/>
      <c r="E138" s="161" t="s">
        <v>5</v>
      </c>
      <c r="F138" s="308" t="s">
        <v>662</v>
      </c>
      <c r="G138" s="309"/>
      <c r="H138" s="309"/>
      <c r="I138" s="309"/>
      <c r="J138" s="160"/>
      <c r="K138" s="162">
        <v>10.458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179</v>
      </c>
      <c r="AU138" s="166" t="s">
        <v>135</v>
      </c>
      <c r="AV138" s="11" t="s">
        <v>135</v>
      </c>
      <c r="AW138" s="11" t="s">
        <v>35</v>
      </c>
      <c r="AX138" s="11" t="s">
        <v>21</v>
      </c>
      <c r="AY138" s="166" t="s">
        <v>167</v>
      </c>
    </row>
    <row r="139" spans="2:65" s="1" customFormat="1" ht="31.5" customHeight="1">
      <c r="B139" s="141"/>
      <c r="C139" s="142" t="s">
        <v>184</v>
      </c>
      <c r="D139" s="142" t="s">
        <v>168</v>
      </c>
      <c r="E139" s="143" t="s">
        <v>663</v>
      </c>
      <c r="F139" s="293" t="s">
        <v>664</v>
      </c>
      <c r="G139" s="293"/>
      <c r="H139" s="293"/>
      <c r="I139" s="293"/>
      <c r="J139" s="144" t="s">
        <v>176</v>
      </c>
      <c r="K139" s="145">
        <v>10.458</v>
      </c>
      <c r="L139" s="294"/>
      <c r="M139" s="294"/>
      <c r="N139" s="294">
        <f>ROUND(L139*K139,2)</f>
        <v>0</v>
      </c>
      <c r="O139" s="294"/>
      <c r="P139" s="294"/>
      <c r="Q139" s="294"/>
      <c r="R139" s="146"/>
      <c r="T139" s="147" t="s">
        <v>5</v>
      </c>
      <c r="U139" s="44" t="s">
        <v>43</v>
      </c>
      <c r="V139" s="148">
        <v>0.654</v>
      </c>
      <c r="W139" s="148">
        <f>V139*K139</f>
        <v>6.839532</v>
      </c>
      <c r="X139" s="148">
        <v>0</v>
      </c>
      <c r="Y139" s="148">
        <f>X139*K139</f>
        <v>0</v>
      </c>
      <c r="Z139" s="148">
        <v>0</v>
      </c>
      <c r="AA139" s="149">
        <f>Z139*K139</f>
        <v>0</v>
      </c>
      <c r="AR139" s="21" t="s">
        <v>172</v>
      </c>
      <c r="AT139" s="21" t="s">
        <v>168</v>
      </c>
      <c r="AU139" s="21" t="s">
        <v>135</v>
      </c>
      <c r="AY139" s="21" t="s">
        <v>167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21</v>
      </c>
      <c r="BK139" s="150">
        <f>ROUND(L139*K139,2)</f>
        <v>0</v>
      </c>
      <c r="BL139" s="21" t="s">
        <v>172</v>
      </c>
      <c r="BM139" s="21" t="s">
        <v>665</v>
      </c>
    </row>
    <row r="140" spans="2:65" s="1" customFormat="1" ht="31.5" customHeight="1">
      <c r="B140" s="141"/>
      <c r="C140" s="142" t="s">
        <v>172</v>
      </c>
      <c r="D140" s="142" t="s">
        <v>168</v>
      </c>
      <c r="E140" s="143" t="s">
        <v>248</v>
      </c>
      <c r="F140" s="293" t="s">
        <v>249</v>
      </c>
      <c r="G140" s="293"/>
      <c r="H140" s="293"/>
      <c r="I140" s="293"/>
      <c r="J140" s="144" t="s">
        <v>176</v>
      </c>
      <c r="K140" s="145">
        <v>10.458</v>
      </c>
      <c r="L140" s="294"/>
      <c r="M140" s="294"/>
      <c r="N140" s="294">
        <f>ROUND(L140*K140,2)</f>
        <v>0</v>
      </c>
      <c r="O140" s="294"/>
      <c r="P140" s="294"/>
      <c r="Q140" s="294"/>
      <c r="R140" s="146"/>
      <c r="T140" s="147" t="s">
        <v>5</v>
      </c>
      <c r="U140" s="44" t="s">
        <v>43</v>
      </c>
      <c r="V140" s="148">
        <v>0.097</v>
      </c>
      <c r="W140" s="148">
        <f>V140*K140</f>
        <v>1.014426</v>
      </c>
      <c r="X140" s="148">
        <v>0</v>
      </c>
      <c r="Y140" s="148">
        <f>X140*K140</f>
        <v>0</v>
      </c>
      <c r="Z140" s="148">
        <v>0</v>
      </c>
      <c r="AA140" s="149">
        <f>Z140*K140</f>
        <v>0</v>
      </c>
      <c r="AR140" s="21" t="s">
        <v>172</v>
      </c>
      <c r="AT140" s="21" t="s">
        <v>168</v>
      </c>
      <c r="AU140" s="21" t="s">
        <v>135</v>
      </c>
      <c r="AY140" s="21" t="s">
        <v>167</v>
      </c>
      <c r="BE140" s="150">
        <f>IF(U140="základní",N140,0)</f>
        <v>0</v>
      </c>
      <c r="BF140" s="150">
        <f>IF(U140="snížená",N140,0)</f>
        <v>0</v>
      </c>
      <c r="BG140" s="150">
        <f>IF(U140="zákl. přenesená",N140,0)</f>
        <v>0</v>
      </c>
      <c r="BH140" s="150">
        <f>IF(U140="sníž. přenesená",N140,0)</f>
        <v>0</v>
      </c>
      <c r="BI140" s="150">
        <f>IF(U140="nulová",N140,0)</f>
        <v>0</v>
      </c>
      <c r="BJ140" s="21" t="s">
        <v>21</v>
      </c>
      <c r="BK140" s="150">
        <f>ROUND(L140*K140,2)</f>
        <v>0</v>
      </c>
      <c r="BL140" s="21" t="s">
        <v>172</v>
      </c>
      <c r="BM140" s="21" t="s">
        <v>250</v>
      </c>
    </row>
    <row r="141" spans="2:65" s="1" customFormat="1" ht="44.25" customHeight="1">
      <c r="B141" s="141"/>
      <c r="C141" s="142" t="s">
        <v>196</v>
      </c>
      <c r="D141" s="142" t="s">
        <v>168</v>
      </c>
      <c r="E141" s="143" t="s">
        <v>251</v>
      </c>
      <c r="F141" s="293" t="s">
        <v>252</v>
      </c>
      <c r="G141" s="293"/>
      <c r="H141" s="293"/>
      <c r="I141" s="293"/>
      <c r="J141" s="144" t="s">
        <v>176</v>
      </c>
      <c r="K141" s="145">
        <v>10.458</v>
      </c>
      <c r="L141" s="294"/>
      <c r="M141" s="294"/>
      <c r="N141" s="294">
        <f>ROUND(L141*K141,2)</f>
        <v>0</v>
      </c>
      <c r="O141" s="294"/>
      <c r="P141" s="294"/>
      <c r="Q141" s="294"/>
      <c r="R141" s="146"/>
      <c r="T141" s="147" t="s">
        <v>5</v>
      </c>
      <c r="U141" s="44" t="s">
        <v>43</v>
      </c>
      <c r="V141" s="148">
        <v>0.011</v>
      </c>
      <c r="W141" s="148">
        <f>V141*K141</f>
        <v>0.115038</v>
      </c>
      <c r="X141" s="148">
        <v>0</v>
      </c>
      <c r="Y141" s="148">
        <f>X141*K141</f>
        <v>0</v>
      </c>
      <c r="Z141" s="148">
        <v>0</v>
      </c>
      <c r="AA141" s="149">
        <f>Z141*K141</f>
        <v>0</v>
      </c>
      <c r="AR141" s="21" t="s">
        <v>172</v>
      </c>
      <c r="AT141" s="21" t="s">
        <v>168</v>
      </c>
      <c r="AU141" s="21" t="s">
        <v>135</v>
      </c>
      <c r="AY141" s="21" t="s">
        <v>167</v>
      </c>
      <c r="BE141" s="150">
        <f>IF(U141="základní",N141,0)</f>
        <v>0</v>
      </c>
      <c r="BF141" s="150">
        <f>IF(U141="snížená",N141,0)</f>
        <v>0</v>
      </c>
      <c r="BG141" s="150">
        <f>IF(U141="zákl. přenesená",N141,0)</f>
        <v>0</v>
      </c>
      <c r="BH141" s="150">
        <f>IF(U141="sníž. přenesená",N141,0)</f>
        <v>0</v>
      </c>
      <c r="BI141" s="150">
        <f>IF(U141="nulová",N141,0)</f>
        <v>0</v>
      </c>
      <c r="BJ141" s="21" t="s">
        <v>21</v>
      </c>
      <c r="BK141" s="150">
        <f>ROUND(L141*K141,2)</f>
        <v>0</v>
      </c>
      <c r="BL141" s="21" t="s">
        <v>172</v>
      </c>
      <c r="BM141" s="21" t="s">
        <v>253</v>
      </c>
    </row>
    <row r="142" spans="2:63" s="9" customFormat="1" ht="29.85" customHeight="1">
      <c r="B142" s="130"/>
      <c r="C142" s="131"/>
      <c r="D142" s="140" t="s">
        <v>149</v>
      </c>
      <c r="E142" s="140"/>
      <c r="F142" s="140"/>
      <c r="G142" s="140"/>
      <c r="H142" s="140"/>
      <c r="I142" s="140"/>
      <c r="J142" s="140"/>
      <c r="K142" s="140"/>
      <c r="L142" s="140"/>
      <c r="M142" s="140"/>
      <c r="N142" s="310">
        <f>BK142</f>
        <v>0</v>
      </c>
      <c r="O142" s="311"/>
      <c r="P142" s="311"/>
      <c r="Q142" s="311"/>
      <c r="R142" s="133"/>
      <c r="T142" s="134"/>
      <c r="U142" s="131"/>
      <c r="V142" s="131"/>
      <c r="W142" s="135">
        <f>SUM(W143:W148)</f>
        <v>37.645661999999994</v>
      </c>
      <c r="X142" s="131"/>
      <c r="Y142" s="135">
        <f>SUM(Y143:Y148)</f>
        <v>42.4425713</v>
      </c>
      <c r="Z142" s="131"/>
      <c r="AA142" s="136">
        <f>SUM(AA143:AA148)</f>
        <v>0</v>
      </c>
      <c r="AR142" s="137" t="s">
        <v>21</v>
      </c>
      <c r="AT142" s="138" t="s">
        <v>77</v>
      </c>
      <c r="AU142" s="138" t="s">
        <v>21</v>
      </c>
      <c r="AY142" s="137" t="s">
        <v>167</v>
      </c>
      <c r="BK142" s="139">
        <f>SUM(BK143:BK148)</f>
        <v>0</v>
      </c>
    </row>
    <row r="143" spans="2:65" s="1" customFormat="1" ht="44.25" customHeight="1">
      <c r="B143" s="141"/>
      <c r="C143" s="142" t="s">
        <v>203</v>
      </c>
      <c r="D143" s="142" t="s">
        <v>168</v>
      </c>
      <c r="E143" s="143" t="s">
        <v>666</v>
      </c>
      <c r="F143" s="293" t="s">
        <v>667</v>
      </c>
      <c r="G143" s="293"/>
      <c r="H143" s="293"/>
      <c r="I143" s="293"/>
      <c r="J143" s="144" t="s">
        <v>199</v>
      </c>
      <c r="K143" s="145">
        <v>17.43</v>
      </c>
      <c r="L143" s="294"/>
      <c r="M143" s="294"/>
      <c r="N143" s="294">
        <f>ROUND(L143*K143,2)</f>
        <v>0</v>
      </c>
      <c r="O143" s="294"/>
      <c r="P143" s="294"/>
      <c r="Q143" s="294"/>
      <c r="R143" s="146"/>
      <c r="T143" s="147" t="s">
        <v>5</v>
      </c>
      <c r="U143" s="44" t="s">
        <v>43</v>
      </c>
      <c r="V143" s="148">
        <v>1.453</v>
      </c>
      <c r="W143" s="148">
        <f>V143*K143</f>
        <v>25.32579</v>
      </c>
      <c r="X143" s="148">
        <v>1.13666</v>
      </c>
      <c r="Y143" s="148">
        <f>X143*K143</f>
        <v>19.8119838</v>
      </c>
      <c r="Z143" s="148">
        <v>0</v>
      </c>
      <c r="AA143" s="149">
        <f>Z143*K143</f>
        <v>0</v>
      </c>
      <c r="AR143" s="21" t="s">
        <v>172</v>
      </c>
      <c r="AT143" s="21" t="s">
        <v>168</v>
      </c>
      <c r="AU143" s="21" t="s">
        <v>135</v>
      </c>
      <c r="AY143" s="21" t="s">
        <v>167</v>
      </c>
      <c r="BE143" s="150">
        <f>IF(U143="základní",N143,0)</f>
        <v>0</v>
      </c>
      <c r="BF143" s="150">
        <f>IF(U143="snížená",N143,0)</f>
        <v>0</v>
      </c>
      <c r="BG143" s="150">
        <f>IF(U143="zákl. přenesená",N143,0)</f>
        <v>0</v>
      </c>
      <c r="BH143" s="150">
        <f>IF(U143="sníž. přenesená",N143,0)</f>
        <v>0</v>
      </c>
      <c r="BI143" s="150">
        <f>IF(U143="nulová",N143,0)</f>
        <v>0</v>
      </c>
      <c r="BJ143" s="21" t="s">
        <v>21</v>
      </c>
      <c r="BK143" s="150">
        <f>ROUND(L143*K143,2)</f>
        <v>0</v>
      </c>
      <c r="BL143" s="21" t="s">
        <v>172</v>
      </c>
      <c r="BM143" s="21" t="s">
        <v>668</v>
      </c>
    </row>
    <row r="144" spans="2:51" s="11" customFormat="1" ht="22.5" customHeight="1">
      <c r="B144" s="159"/>
      <c r="C144" s="160"/>
      <c r="D144" s="160"/>
      <c r="E144" s="161" t="s">
        <v>5</v>
      </c>
      <c r="F144" s="308" t="s">
        <v>669</v>
      </c>
      <c r="G144" s="309"/>
      <c r="H144" s="309"/>
      <c r="I144" s="309"/>
      <c r="J144" s="160"/>
      <c r="K144" s="162">
        <v>17.43</v>
      </c>
      <c r="L144" s="160"/>
      <c r="M144" s="160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179</v>
      </c>
      <c r="AU144" s="166" t="s">
        <v>135</v>
      </c>
      <c r="AV144" s="11" t="s">
        <v>135</v>
      </c>
      <c r="AW144" s="11" t="s">
        <v>35</v>
      </c>
      <c r="AX144" s="11" t="s">
        <v>21</v>
      </c>
      <c r="AY144" s="166" t="s">
        <v>167</v>
      </c>
    </row>
    <row r="145" spans="2:65" s="1" customFormat="1" ht="22.5" customHeight="1">
      <c r="B145" s="141"/>
      <c r="C145" s="142" t="s">
        <v>207</v>
      </c>
      <c r="D145" s="142" t="s">
        <v>168</v>
      </c>
      <c r="E145" s="143" t="s">
        <v>174</v>
      </c>
      <c r="F145" s="293" t="s">
        <v>175</v>
      </c>
      <c r="G145" s="293"/>
      <c r="H145" s="293"/>
      <c r="I145" s="293"/>
      <c r="J145" s="144" t="s">
        <v>176</v>
      </c>
      <c r="K145" s="145">
        <v>10.841</v>
      </c>
      <c r="L145" s="294"/>
      <c r="M145" s="294"/>
      <c r="N145" s="294">
        <f>ROUND(L145*K145,2)</f>
        <v>0</v>
      </c>
      <c r="O145" s="294"/>
      <c r="P145" s="294"/>
      <c r="Q145" s="294"/>
      <c r="R145" s="146"/>
      <c r="T145" s="147" t="s">
        <v>5</v>
      </c>
      <c r="U145" s="44" t="s">
        <v>43</v>
      </c>
      <c r="V145" s="148">
        <v>1.03</v>
      </c>
      <c r="W145" s="148">
        <f>V145*K145</f>
        <v>11.166229999999999</v>
      </c>
      <c r="X145" s="148">
        <v>2.0875</v>
      </c>
      <c r="Y145" s="148">
        <f>X145*K145</f>
        <v>22.630587499999997</v>
      </c>
      <c r="Z145" s="148">
        <v>0</v>
      </c>
      <c r="AA145" s="149">
        <f>Z145*K145</f>
        <v>0</v>
      </c>
      <c r="AR145" s="21" t="s">
        <v>172</v>
      </c>
      <c r="AT145" s="21" t="s">
        <v>168</v>
      </c>
      <c r="AU145" s="21" t="s">
        <v>135</v>
      </c>
      <c r="AY145" s="21" t="s">
        <v>167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21</v>
      </c>
      <c r="BK145" s="150">
        <f>ROUND(L145*K145,2)</f>
        <v>0</v>
      </c>
      <c r="BL145" s="21" t="s">
        <v>172</v>
      </c>
      <c r="BM145" s="21" t="s">
        <v>177</v>
      </c>
    </row>
    <row r="146" spans="2:51" s="11" customFormat="1" ht="22.5" customHeight="1">
      <c r="B146" s="159"/>
      <c r="C146" s="160"/>
      <c r="D146" s="160"/>
      <c r="E146" s="161" t="s">
        <v>5</v>
      </c>
      <c r="F146" s="308" t="s">
        <v>670</v>
      </c>
      <c r="G146" s="309"/>
      <c r="H146" s="309"/>
      <c r="I146" s="309"/>
      <c r="J146" s="160"/>
      <c r="K146" s="162">
        <v>10.841</v>
      </c>
      <c r="L146" s="160"/>
      <c r="M146" s="160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179</v>
      </c>
      <c r="AU146" s="166" t="s">
        <v>135</v>
      </c>
      <c r="AV146" s="11" t="s">
        <v>135</v>
      </c>
      <c r="AW146" s="11" t="s">
        <v>35</v>
      </c>
      <c r="AX146" s="11" t="s">
        <v>21</v>
      </c>
      <c r="AY146" s="166" t="s">
        <v>167</v>
      </c>
    </row>
    <row r="147" spans="2:65" s="1" customFormat="1" ht="22.5" customHeight="1">
      <c r="B147" s="141"/>
      <c r="C147" s="142" t="s">
        <v>213</v>
      </c>
      <c r="D147" s="142" t="s">
        <v>168</v>
      </c>
      <c r="E147" s="143" t="s">
        <v>185</v>
      </c>
      <c r="F147" s="293" t="s">
        <v>186</v>
      </c>
      <c r="G147" s="293"/>
      <c r="H147" s="293"/>
      <c r="I147" s="293"/>
      <c r="J147" s="144" t="s">
        <v>176</v>
      </c>
      <c r="K147" s="145">
        <v>4.337</v>
      </c>
      <c r="L147" s="294"/>
      <c r="M147" s="294"/>
      <c r="N147" s="294">
        <f>ROUND(L147*K147,2)</f>
        <v>0</v>
      </c>
      <c r="O147" s="294"/>
      <c r="P147" s="294"/>
      <c r="Q147" s="294"/>
      <c r="R147" s="146"/>
      <c r="T147" s="147" t="s">
        <v>5</v>
      </c>
      <c r="U147" s="44" t="s">
        <v>43</v>
      </c>
      <c r="V147" s="148">
        <v>0.266</v>
      </c>
      <c r="W147" s="148">
        <f>V147*K147</f>
        <v>1.153642</v>
      </c>
      <c r="X147" s="148">
        <v>0</v>
      </c>
      <c r="Y147" s="148">
        <f>X147*K147</f>
        <v>0</v>
      </c>
      <c r="Z147" s="148">
        <v>0</v>
      </c>
      <c r="AA147" s="149">
        <f>Z147*K147</f>
        <v>0</v>
      </c>
      <c r="AR147" s="21" t="s">
        <v>172</v>
      </c>
      <c r="AT147" s="21" t="s">
        <v>168</v>
      </c>
      <c r="AU147" s="21" t="s">
        <v>135</v>
      </c>
      <c r="AY147" s="21" t="s">
        <v>167</v>
      </c>
      <c r="BE147" s="150">
        <f>IF(U147="základní",N147,0)</f>
        <v>0</v>
      </c>
      <c r="BF147" s="150">
        <f>IF(U147="snížená",N147,0)</f>
        <v>0</v>
      </c>
      <c r="BG147" s="150">
        <f>IF(U147="zákl. přenesená",N147,0)</f>
        <v>0</v>
      </c>
      <c r="BH147" s="150">
        <f>IF(U147="sníž. přenesená",N147,0)</f>
        <v>0</v>
      </c>
      <c r="BI147" s="150">
        <f>IF(U147="nulová",N147,0)</f>
        <v>0</v>
      </c>
      <c r="BJ147" s="21" t="s">
        <v>21</v>
      </c>
      <c r="BK147" s="150">
        <f>ROUND(L147*K147,2)</f>
        <v>0</v>
      </c>
      <c r="BL147" s="21" t="s">
        <v>172</v>
      </c>
      <c r="BM147" s="21" t="s">
        <v>187</v>
      </c>
    </row>
    <row r="148" spans="2:51" s="11" customFormat="1" ht="22.5" customHeight="1">
      <c r="B148" s="159"/>
      <c r="C148" s="160"/>
      <c r="D148" s="160"/>
      <c r="E148" s="161" t="s">
        <v>5</v>
      </c>
      <c r="F148" s="308" t="s">
        <v>671</v>
      </c>
      <c r="G148" s="309"/>
      <c r="H148" s="309"/>
      <c r="I148" s="309"/>
      <c r="J148" s="160"/>
      <c r="K148" s="162">
        <v>4.337</v>
      </c>
      <c r="L148" s="160"/>
      <c r="M148" s="160"/>
      <c r="N148" s="160"/>
      <c r="O148" s="160"/>
      <c r="P148" s="160"/>
      <c r="Q148" s="160"/>
      <c r="R148" s="163"/>
      <c r="T148" s="164"/>
      <c r="U148" s="160"/>
      <c r="V148" s="160"/>
      <c r="W148" s="160"/>
      <c r="X148" s="160"/>
      <c r="Y148" s="160"/>
      <c r="Z148" s="160"/>
      <c r="AA148" s="165"/>
      <c r="AT148" s="166" t="s">
        <v>179</v>
      </c>
      <c r="AU148" s="166" t="s">
        <v>135</v>
      </c>
      <c r="AV148" s="11" t="s">
        <v>135</v>
      </c>
      <c r="AW148" s="11" t="s">
        <v>35</v>
      </c>
      <c r="AX148" s="11" t="s">
        <v>21</v>
      </c>
      <c r="AY148" s="166" t="s">
        <v>167</v>
      </c>
    </row>
    <row r="149" spans="2:63" s="9" customFormat="1" ht="29.85" customHeight="1">
      <c r="B149" s="130"/>
      <c r="C149" s="131"/>
      <c r="D149" s="140" t="s">
        <v>226</v>
      </c>
      <c r="E149" s="140"/>
      <c r="F149" s="140"/>
      <c r="G149" s="140"/>
      <c r="H149" s="140"/>
      <c r="I149" s="140"/>
      <c r="J149" s="140"/>
      <c r="K149" s="140"/>
      <c r="L149" s="140"/>
      <c r="M149" s="140"/>
      <c r="N149" s="298">
        <f>BK149</f>
        <v>0</v>
      </c>
      <c r="O149" s="299"/>
      <c r="P149" s="299"/>
      <c r="Q149" s="299"/>
      <c r="R149" s="133"/>
      <c r="T149" s="134"/>
      <c r="U149" s="131"/>
      <c r="V149" s="131"/>
      <c r="W149" s="135">
        <f>SUM(W150:W162)</f>
        <v>117.05309</v>
      </c>
      <c r="X149" s="131"/>
      <c r="Y149" s="135">
        <f>SUM(Y150:Y162)</f>
        <v>34.46738434</v>
      </c>
      <c r="Z149" s="131"/>
      <c r="AA149" s="136">
        <f>SUM(AA150:AA162)</f>
        <v>0</v>
      </c>
      <c r="AR149" s="137" t="s">
        <v>21</v>
      </c>
      <c r="AT149" s="138" t="s">
        <v>77</v>
      </c>
      <c r="AU149" s="138" t="s">
        <v>21</v>
      </c>
      <c r="AY149" s="137" t="s">
        <v>167</v>
      </c>
      <c r="BK149" s="139">
        <f>SUM(BK150:BK162)</f>
        <v>0</v>
      </c>
    </row>
    <row r="150" spans="2:65" s="1" customFormat="1" ht="31.5" customHeight="1">
      <c r="B150" s="141"/>
      <c r="C150" s="142" t="s">
        <v>218</v>
      </c>
      <c r="D150" s="142" t="s">
        <v>168</v>
      </c>
      <c r="E150" s="143" t="s">
        <v>672</v>
      </c>
      <c r="F150" s="293" t="s">
        <v>673</v>
      </c>
      <c r="G150" s="293"/>
      <c r="H150" s="293"/>
      <c r="I150" s="293"/>
      <c r="J150" s="144" t="s">
        <v>176</v>
      </c>
      <c r="K150" s="145">
        <v>31.634</v>
      </c>
      <c r="L150" s="294"/>
      <c r="M150" s="294"/>
      <c r="N150" s="294">
        <f>ROUND(L150*K150,2)</f>
        <v>0</v>
      </c>
      <c r="O150" s="294"/>
      <c r="P150" s="294"/>
      <c r="Q150" s="294"/>
      <c r="R150" s="146"/>
      <c r="T150" s="147" t="s">
        <v>5</v>
      </c>
      <c r="U150" s="44" t="s">
        <v>43</v>
      </c>
      <c r="V150" s="148">
        <v>3.02</v>
      </c>
      <c r="W150" s="148">
        <f>V150*K150</f>
        <v>95.53468</v>
      </c>
      <c r="X150" s="148">
        <v>0.96301</v>
      </c>
      <c r="Y150" s="148">
        <f>X150*K150</f>
        <v>30.46385834</v>
      </c>
      <c r="Z150" s="148">
        <v>0</v>
      </c>
      <c r="AA150" s="149">
        <f>Z150*K150</f>
        <v>0</v>
      </c>
      <c r="AR150" s="21" t="s">
        <v>172</v>
      </c>
      <c r="AT150" s="21" t="s">
        <v>168</v>
      </c>
      <c r="AU150" s="21" t="s">
        <v>135</v>
      </c>
      <c r="AY150" s="21" t="s">
        <v>167</v>
      </c>
      <c r="BE150" s="150">
        <f>IF(U150="základní",N150,0)</f>
        <v>0</v>
      </c>
      <c r="BF150" s="150">
        <f>IF(U150="snížená",N150,0)</f>
        <v>0</v>
      </c>
      <c r="BG150" s="150">
        <f>IF(U150="zákl. přenesená",N150,0)</f>
        <v>0</v>
      </c>
      <c r="BH150" s="150">
        <f>IF(U150="sníž. přenesená",N150,0)</f>
        <v>0</v>
      </c>
      <c r="BI150" s="150">
        <f>IF(U150="nulová",N150,0)</f>
        <v>0</v>
      </c>
      <c r="BJ150" s="21" t="s">
        <v>21</v>
      </c>
      <c r="BK150" s="150">
        <f>ROUND(L150*K150,2)</f>
        <v>0</v>
      </c>
      <c r="BL150" s="21" t="s">
        <v>172</v>
      </c>
      <c r="BM150" s="21" t="s">
        <v>674</v>
      </c>
    </row>
    <row r="151" spans="2:51" s="11" customFormat="1" ht="22.5" customHeight="1">
      <c r="B151" s="159"/>
      <c r="C151" s="160"/>
      <c r="D151" s="160"/>
      <c r="E151" s="161" t="s">
        <v>5</v>
      </c>
      <c r="F151" s="308" t="s">
        <v>675</v>
      </c>
      <c r="G151" s="309"/>
      <c r="H151" s="309"/>
      <c r="I151" s="309"/>
      <c r="J151" s="160"/>
      <c r="K151" s="162">
        <v>28.386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179</v>
      </c>
      <c r="AU151" s="166" t="s">
        <v>135</v>
      </c>
      <c r="AV151" s="11" t="s">
        <v>135</v>
      </c>
      <c r="AW151" s="11" t="s">
        <v>35</v>
      </c>
      <c r="AX151" s="11" t="s">
        <v>78</v>
      </c>
      <c r="AY151" s="166" t="s">
        <v>167</v>
      </c>
    </row>
    <row r="152" spans="2:51" s="11" customFormat="1" ht="22.5" customHeight="1">
      <c r="B152" s="159"/>
      <c r="C152" s="160"/>
      <c r="D152" s="160"/>
      <c r="E152" s="161" t="s">
        <v>5</v>
      </c>
      <c r="F152" s="302" t="s">
        <v>676</v>
      </c>
      <c r="G152" s="303"/>
      <c r="H152" s="303"/>
      <c r="I152" s="303"/>
      <c r="J152" s="160"/>
      <c r="K152" s="162">
        <v>-1.488</v>
      </c>
      <c r="L152" s="160"/>
      <c r="M152" s="160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179</v>
      </c>
      <c r="AU152" s="166" t="s">
        <v>135</v>
      </c>
      <c r="AV152" s="11" t="s">
        <v>135</v>
      </c>
      <c r="AW152" s="11" t="s">
        <v>35</v>
      </c>
      <c r="AX152" s="11" t="s">
        <v>78</v>
      </c>
      <c r="AY152" s="166" t="s">
        <v>167</v>
      </c>
    </row>
    <row r="153" spans="2:51" s="11" customFormat="1" ht="22.5" customHeight="1">
      <c r="B153" s="159"/>
      <c r="C153" s="160"/>
      <c r="D153" s="160"/>
      <c r="E153" s="161" t="s">
        <v>5</v>
      </c>
      <c r="F153" s="302" t="s">
        <v>677</v>
      </c>
      <c r="G153" s="303"/>
      <c r="H153" s="303"/>
      <c r="I153" s="303"/>
      <c r="J153" s="160"/>
      <c r="K153" s="162">
        <v>4.736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179</v>
      </c>
      <c r="AU153" s="166" t="s">
        <v>135</v>
      </c>
      <c r="AV153" s="11" t="s">
        <v>135</v>
      </c>
      <c r="AW153" s="11" t="s">
        <v>35</v>
      </c>
      <c r="AX153" s="11" t="s">
        <v>78</v>
      </c>
      <c r="AY153" s="166" t="s">
        <v>167</v>
      </c>
    </row>
    <row r="154" spans="2:51" s="12" customFormat="1" ht="22.5" customHeight="1">
      <c r="B154" s="167"/>
      <c r="C154" s="168"/>
      <c r="D154" s="168"/>
      <c r="E154" s="169" t="s">
        <v>5</v>
      </c>
      <c r="F154" s="306" t="s">
        <v>183</v>
      </c>
      <c r="G154" s="307"/>
      <c r="H154" s="307"/>
      <c r="I154" s="307"/>
      <c r="J154" s="168"/>
      <c r="K154" s="170">
        <v>31.634</v>
      </c>
      <c r="L154" s="168"/>
      <c r="M154" s="168"/>
      <c r="N154" s="168"/>
      <c r="O154" s="168"/>
      <c r="P154" s="168"/>
      <c r="Q154" s="168"/>
      <c r="R154" s="171"/>
      <c r="T154" s="172"/>
      <c r="U154" s="168"/>
      <c r="V154" s="168"/>
      <c r="W154" s="168"/>
      <c r="X154" s="168"/>
      <c r="Y154" s="168"/>
      <c r="Z154" s="168"/>
      <c r="AA154" s="173"/>
      <c r="AT154" s="174" t="s">
        <v>179</v>
      </c>
      <c r="AU154" s="174" t="s">
        <v>135</v>
      </c>
      <c r="AV154" s="12" t="s">
        <v>172</v>
      </c>
      <c r="AW154" s="12" t="s">
        <v>35</v>
      </c>
      <c r="AX154" s="12" t="s">
        <v>21</v>
      </c>
      <c r="AY154" s="174" t="s">
        <v>167</v>
      </c>
    </row>
    <row r="155" spans="2:65" s="1" customFormat="1" ht="31.5" customHeight="1">
      <c r="B155" s="141"/>
      <c r="C155" s="142" t="s">
        <v>25</v>
      </c>
      <c r="D155" s="142" t="s">
        <v>168</v>
      </c>
      <c r="E155" s="143" t="s">
        <v>678</v>
      </c>
      <c r="F155" s="293" t="s">
        <v>679</v>
      </c>
      <c r="G155" s="293"/>
      <c r="H155" s="293"/>
      <c r="I155" s="293"/>
      <c r="J155" s="144" t="s">
        <v>199</v>
      </c>
      <c r="K155" s="145">
        <v>10.78</v>
      </c>
      <c r="L155" s="294"/>
      <c r="M155" s="294"/>
      <c r="N155" s="294">
        <f>ROUND(L155*K155,2)</f>
        <v>0</v>
      </c>
      <c r="O155" s="294"/>
      <c r="P155" s="294"/>
      <c r="Q155" s="294"/>
      <c r="R155" s="146"/>
      <c r="T155" s="147" t="s">
        <v>5</v>
      </c>
      <c r="U155" s="44" t="s">
        <v>43</v>
      </c>
      <c r="V155" s="148">
        <v>0.616</v>
      </c>
      <c r="W155" s="148">
        <f>V155*K155</f>
        <v>6.640479999999999</v>
      </c>
      <c r="X155" s="148">
        <v>0.11669</v>
      </c>
      <c r="Y155" s="148">
        <f>X155*K155</f>
        <v>1.2579182</v>
      </c>
      <c r="Z155" s="148">
        <v>0</v>
      </c>
      <c r="AA155" s="149">
        <f>Z155*K155</f>
        <v>0</v>
      </c>
      <c r="AR155" s="21" t="s">
        <v>172</v>
      </c>
      <c r="AT155" s="21" t="s">
        <v>168</v>
      </c>
      <c r="AU155" s="21" t="s">
        <v>135</v>
      </c>
      <c r="AY155" s="21" t="s">
        <v>167</v>
      </c>
      <c r="BE155" s="150">
        <f>IF(U155="základní",N155,0)</f>
        <v>0</v>
      </c>
      <c r="BF155" s="150">
        <f>IF(U155="snížená",N155,0)</f>
        <v>0</v>
      </c>
      <c r="BG155" s="150">
        <f>IF(U155="zákl. přenesená",N155,0)</f>
        <v>0</v>
      </c>
      <c r="BH155" s="150">
        <f>IF(U155="sníž. přenesená",N155,0)</f>
        <v>0</v>
      </c>
      <c r="BI155" s="150">
        <f>IF(U155="nulová",N155,0)</f>
        <v>0</v>
      </c>
      <c r="BJ155" s="21" t="s">
        <v>21</v>
      </c>
      <c r="BK155" s="150">
        <f>ROUND(L155*K155,2)</f>
        <v>0</v>
      </c>
      <c r="BL155" s="21" t="s">
        <v>172</v>
      </c>
      <c r="BM155" s="21" t="s">
        <v>680</v>
      </c>
    </row>
    <row r="156" spans="2:51" s="11" customFormat="1" ht="22.5" customHeight="1">
      <c r="B156" s="159"/>
      <c r="C156" s="160"/>
      <c r="D156" s="160"/>
      <c r="E156" s="161" t="s">
        <v>5</v>
      </c>
      <c r="F156" s="308" t="s">
        <v>681</v>
      </c>
      <c r="G156" s="309"/>
      <c r="H156" s="309"/>
      <c r="I156" s="309"/>
      <c r="J156" s="160"/>
      <c r="K156" s="162">
        <v>10.78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179</v>
      </c>
      <c r="AU156" s="166" t="s">
        <v>135</v>
      </c>
      <c r="AV156" s="11" t="s">
        <v>135</v>
      </c>
      <c r="AW156" s="11" t="s">
        <v>35</v>
      </c>
      <c r="AX156" s="11" t="s">
        <v>21</v>
      </c>
      <c r="AY156" s="166" t="s">
        <v>167</v>
      </c>
    </row>
    <row r="157" spans="2:65" s="1" customFormat="1" ht="31.5" customHeight="1">
      <c r="B157" s="141"/>
      <c r="C157" s="142" t="s">
        <v>270</v>
      </c>
      <c r="D157" s="142" t="s">
        <v>168</v>
      </c>
      <c r="E157" s="143" t="s">
        <v>682</v>
      </c>
      <c r="F157" s="293" t="s">
        <v>683</v>
      </c>
      <c r="G157" s="293"/>
      <c r="H157" s="293"/>
      <c r="I157" s="293"/>
      <c r="J157" s="144" t="s">
        <v>199</v>
      </c>
      <c r="K157" s="145">
        <v>12.735</v>
      </c>
      <c r="L157" s="294"/>
      <c r="M157" s="294"/>
      <c r="N157" s="294">
        <f>ROUND(L157*K157,2)</f>
        <v>0</v>
      </c>
      <c r="O157" s="294"/>
      <c r="P157" s="294"/>
      <c r="Q157" s="294"/>
      <c r="R157" s="146"/>
      <c r="T157" s="147" t="s">
        <v>5</v>
      </c>
      <c r="U157" s="44" t="s">
        <v>43</v>
      </c>
      <c r="V157" s="148">
        <v>0.678</v>
      </c>
      <c r="W157" s="148">
        <f>V157*K157</f>
        <v>8.63433</v>
      </c>
      <c r="X157" s="148">
        <v>0.1434</v>
      </c>
      <c r="Y157" s="148">
        <f>X157*K157</f>
        <v>1.826199</v>
      </c>
      <c r="Z157" s="148">
        <v>0</v>
      </c>
      <c r="AA157" s="149">
        <f>Z157*K157</f>
        <v>0</v>
      </c>
      <c r="AR157" s="21" t="s">
        <v>172</v>
      </c>
      <c r="AT157" s="21" t="s">
        <v>168</v>
      </c>
      <c r="AU157" s="21" t="s">
        <v>135</v>
      </c>
      <c r="AY157" s="21" t="s">
        <v>167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21</v>
      </c>
      <c r="BK157" s="150">
        <f>ROUND(L157*K157,2)</f>
        <v>0</v>
      </c>
      <c r="BL157" s="21" t="s">
        <v>172</v>
      </c>
      <c r="BM157" s="21" t="s">
        <v>684</v>
      </c>
    </row>
    <row r="158" spans="2:51" s="11" customFormat="1" ht="22.5" customHeight="1">
      <c r="B158" s="159"/>
      <c r="C158" s="160"/>
      <c r="D158" s="160"/>
      <c r="E158" s="161" t="s">
        <v>5</v>
      </c>
      <c r="F158" s="308" t="s">
        <v>685</v>
      </c>
      <c r="G158" s="309"/>
      <c r="H158" s="309"/>
      <c r="I158" s="309"/>
      <c r="J158" s="160"/>
      <c r="K158" s="162">
        <v>12.735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179</v>
      </c>
      <c r="AU158" s="166" t="s">
        <v>135</v>
      </c>
      <c r="AV158" s="11" t="s">
        <v>135</v>
      </c>
      <c r="AW158" s="11" t="s">
        <v>35</v>
      </c>
      <c r="AX158" s="11" t="s">
        <v>21</v>
      </c>
      <c r="AY158" s="166" t="s">
        <v>167</v>
      </c>
    </row>
    <row r="159" spans="2:65" s="1" customFormat="1" ht="31.5" customHeight="1">
      <c r="B159" s="141"/>
      <c r="C159" s="142" t="s">
        <v>273</v>
      </c>
      <c r="D159" s="142" t="s">
        <v>168</v>
      </c>
      <c r="E159" s="143" t="s">
        <v>686</v>
      </c>
      <c r="F159" s="293" t="s">
        <v>687</v>
      </c>
      <c r="G159" s="293"/>
      <c r="H159" s="293"/>
      <c r="I159" s="293"/>
      <c r="J159" s="144" t="s">
        <v>199</v>
      </c>
      <c r="K159" s="145">
        <v>5.16</v>
      </c>
      <c r="L159" s="294"/>
      <c r="M159" s="294"/>
      <c r="N159" s="294">
        <f>ROUND(L159*K159,2)</f>
        <v>0</v>
      </c>
      <c r="O159" s="294"/>
      <c r="P159" s="294"/>
      <c r="Q159" s="294"/>
      <c r="R159" s="146"/>
      <c r="T159" s="147" t="s">
        <v>5</v>
      </c>
      <c r="U159" s="44" t="s">
        <v>43</v>
      </c>
      <c r="V159" s="148">
        <v>1.21</v>
      </c>
      <c r="W159" s="148">
        <f>V159*K159</f>
        <v>6.2436</v>
      </c>
      <c r="X159" s="148">
        <v>0.17818</v>
      </c>
      <c r="Y159" s="148">
        <f>X159*K159</f>
        <v>0.9194088</v>
      </c>
      <c r="Z159" s="148">
        <v>0</v>
      </c>
      <c r="AA159" s="149">
        <f>Z159*K159</f>
        <v>0</v>
      </c>
      <c r="AR159" s="21" t="s">
        <v>172</v>
      </c>
      <c r="AT159" s="21" t="s">
        <v>168</v>
      </c>
      <c r="AU159" s="21" t="s">
        <v>135</v>
      </c>
      <c r="AY159" s="21" t="s">
        <v>167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21" t="s">
        <v>21</v>
      </c>
      <c r="BK159" s="150">
        <f>ROUND(L159*K159,2)</f>
        <v>0</v>
      </c>
      <c r="BL159" s="21" t="s">
        <v>172</v>
      </c>
      <c r="BM159" s="21" t="s">
        <v>688</v>
      </c>
    </row>
    <row r="160" spans="2:51" s="11" customFormat="1" ht="22.5" customHeight="1">
      <c r="B160" s="159"/>
      <c r="C160" s="160"/>
      <c r="D160" s="160"/>
      <c r="E160" s="161" t="s">
        <v>5</v>
      </c>
      <c r="F160" s="308" t="s">
        <v>689</v>
      </c>
      <c r="G160" s="309"/>
      <c r="H160" s="309"/>
      <c r="I160" s="309"/>
      <c r="J160" s="160"/>
      <c r="K160" s="162">
        <v>2.76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179</v>
      </c>
      <c r="AU160" s="166" t="s">
        <v>135</v>
      </c>
      <c r="AV160" s="11" t="s">
        <v>135</v>
      </c>
      <c r="AW160" s="11" t="s">
        <v>35</v>
      </c>
      <c r="AX160" s="11" t="s">
        <v>78</v>
      </c>
      <c r="AY160" s="166" t="s">
        <v>167</v>
      </c>
    </row>
    <row r="161" spans="2:51" s="11" customFormat="1" ht="22.5" customHeight="1">
      <c r="B161" s="159"/>
      <c r="C161" s="160"/>
      <c r="D161" s="160"/>
      <c r="E161" s="161" t="s">
        <v>5</v>
      </c>
      <c r="F161" s="302" t="s">
        <v>690</v>
      </c>
      <c r="G161" s="303"/>
      <c r="H161" s="303"/>
      <c r="I161" s="303"/>
      <c r="J161" s="160"/>
      <c r="K161" s="162">
        <v>2.4</v>
      </c>
      <c r="L161" s="160"/>
      <c r="M161" s="160"/>
      <c r="N161" s="160"/>
      <c r="O161" s="160"/>
      <c r="P161" s="160"/>
      <c r="Q161" s="160"/>
      <c r="R161" s="163"/>
      <c r="T161" s="164"/>
      <c r="U161" s="160"/>
      <c r="V161" s="160"/>
      <c r="W161" s="160"/>
      <c r="X161" s="160"/>
      <c r="Y161" s="160"/>
      <c r="Z161" s="160"/>
      <c r="AA161" s="165"/>
      <c r="AT161" s="166" t="s">
        <v>179</v>
      </c>
      <c r="AU161" s="166" t="s">
        <v>135</v>
      </c>
      <c r="AV161" s="11" t="s">
        <v>135</v>
      </c>
      <c r="AW161" s="11" t="s">
        <v>35</v>
      </c>
      <c r="AX161" s="11" t="s">
        <v>78</v>
      </c>
      <c r="AY161" s="166" t="s">
        <v>167</v>
      </c>
    </row>
    <row r="162" spans="2:51" s="12" customFormat="1" ht="22.5" customHeight="1">
      <c r="B162" s="167"/>
      <c r="C162" s="168"/>
      <c r="D162" s="168"/>
      <c r="E162" s="169" t="s">
        <v>5</v>
      </c>
      <c r="F162" s="306" t="s">
        <v>183</v>
      </c>
      <c r="G162" s="307"/>
      <c r="H162" s="307"/>
      <c r="I162" s="307"/>
      <c r="J162" s="168"/>
      <c r="K162" s="170">
        <v>5.16</v>
      </c>
      <c r="L162" s="168"/>
      <c r="M162" s="168"/>
      <c r="N162" s="168"/>
      <c r="O162" s="168"/>
      <c r="P162" s="168"/>
      <c r="Q162" s="168"/>
      <c r="R162" s="171"/>
      <c r="T162" s="172"/>
      <c r="U162" s="168"/>
      <c r="V162" s="168"/>
      <c r="W162" s="168"/>
      <c r="X162" s="168"/>
      <c r="Y162" s="168"/>
      <c r="Z162" s="168"/>
      <c r="AA162" s="173"/>
      <c r="AT162" s="174" t="s">
        <v>179</v>
      </c>
      <c r="AU162" s="174" t="s">
        <v>135</v>
      </c>
      <c r="AV162" s="12" t="s">
        <v>172</v>
      </c>
      <c r="AW162" s="12" t="s">
        <v>35</v>
      </c>
      <c r="AX162" s="12" t="s">
        <v>21</v>
      </c>
      <c r="AY162" s="174" t="s">
        <v>167</v>
      </c>
    </row>
    <row r="163" spans="2:63" s="9" customFormat="1" ht="29.85" customHeight="1">
      <c r="B163" s="130"/>
      <c r="C163" s="131"/>
      <c r="D163" s="140" t="s">
        <v>227</v>
      </c>
      <c r="E163" s="140"/>
      <c r="F163" s="140"/>
      <c r="G163" s="140"/>
      <c r="H163" s="140"/>
      <c r="I163" s="140"/>
      <c r="J163" s="140"/>
      <c r="K163" s="140"/>
      <c r="L163" s="140"/>
      <c r="M163" s="140"/>
      <c r="N163" s="298">
        <f>BK163</f>
        <v>0</v>
      </c>
      <c r="O163" s="299"/>
      <c r="P163" s="299"/>
      <c r="Q163" s="299"/>
      <c r="R163" s="133"/>
      <c r="T163" s="134"/>
      <c r="U163" s="131"/>
      <c r="V163" s="131"/>
      <c r="W163" s="135">
        <f>SUM(W164:W175)</f>
        <v>17.717153</v>
      </c>
      <c r="X163" s="131"/>
      <c r="Y163" s="135">
        <f>SUM(Y164:Y175)</f>
        <v>5.263820879999999</v>
      </c>
      <c r="Z163" s="131"/>
      <c r="AA163" s="136">
        <f>SUM(AA164:AA175)</f>
        <v>0</v>
      </c>
      <c r="AR163" s="137" t="s">
        <v>21</v>
      </c>
      <c r="AT163" s="138" t="s">
        <v>77</v>
      </c>
      <c r="AU163" s="138" t="s">
        <v>21</v>
      </c>
      <c r="AY163" s="137" t="s">
        <v>167</v>
      </c>
      <c r="BK163" s="139">
        <f>SUM(BK164:BK175)</f>
        <v>0</v>
      </c>
    </row>
    <row r="164" spans="2:65" s="1" customFormat="1" ht="31.5" customHeight="1">
      <c r="B164" s="141"/>
      <c r="C164" s="142" t="s">
        <v>276</v>
      </c>
      <c r="D164" s="142" t="s">
        <v>168</v>
      </c>
      <c r="E164" s="143" t="s">
        <v>691</v>
      </c>
      <c r="F164" s="293" t="s">
        <v>692</v>
      </c>
      <c r="G164" s="293"/>
      <c r="H164" s="293"/>
      <c r="I164" s="293"/>
      <c r="J164" s="144" t="s">
        <v>210</v>
      </c>
      <c r="K164" s="145">
        <v>0.118</v>
      </c>
      <c r="L164" s="294"/>
      <c r="M164" s="294"/>
      <c r="N164" s="294">
        <f>ROUND(L164*K164,2)</f>
        <v>0</v>
      </c>
      <c r="O164" s="294"/>
      <c r="P164" s="294"/>
      <c r="Q164" s="294"/>
      <c r="R164" s="146"/>
      <c r="T164" s="147" t="s">
        <v>5</v>
      </c>
      <c r="U164" s="44" t="s">
        <v>43</v>
      </c>
      <c r="V164" s="148">
        <v>18.175</v>
      </c>
      <c r="W164" s="148">
        <f>V164*K164</f>
        <v>2.14465</v>
      </c>
      <c r="X164" s="148">
        <v>0.01954</v>
      </c>
      <c r="Y164" s="148">
        <f>X164*K164</f>
        <v>0.00230572</v>
      </c>
      <c r="Z164" s="148">
        <v>0</v>
      </c>
      <c r="AA164" s="149">
        <f>Z164*K164</f>
        <v>0</v>
      </c>
      <c r="AR164" s="21" t="s">
        <v>172</v>
      </c>
      <c r="AT164" s="21" t="s">
        <v>168</v>
      </c>
      <c r="AU164" s="21" t="s">
        <v>135</v>
      </c>
      <c r="AY164" s="21" t="s">
        <v>167</v>
      </c>
      <c r="BE164" s="150">
        <f>IF(U164="základní",N164,0)</f>
        <v>0</v>
      </c>
      <c r="BF164" s="150">
        <f>IF(U164="snížená",N164,0)</f>
        <v>0</v>
      </c>
      <c r="BG164" s="150">
        <f>IF(U164="zákl. přenesená",N164,0)</f>
        <v>0</v>
      </c>
      <c r="BH164" s="150">
        <f>IF(U164="sníž. přenesená",N164,0)</f>
        <v>0</v>
      </c>
      <c r="BI164" s="150">
        <f>IF(U164="nulová",N164,0)</f>
        <v>0</v>
      </c>
      <c r="BJ164" s="21" t="s">
        <v>21</v>
      </c>
      <c r="BK164" s="150">
        <f>ROUND(L164*K164,2)</f>
        <v>0</v>
      </c>
      <c r="BL164" s="21" t="s">
        <v>172</v>
      </c>
      <c r="BM164" s="21" t="s">
        <v>693</v>
      </c>
    </row>
    <row r="165" spans="2:51" s="11" customFormat="1" ht="22.5" customHeight="1">
      <c r="B165" s="159"/>
      <c r="C165" s="160"/>
      <c r="D165" s="160"/>
      <c r="E165" s="161" t="s">
        <v>5</v>
      </c>
      <c r="F165" s="308" t="s">
        <v>694</v>
      </c>
      <c r="G165" s="309"/>
      <c r="H165" s="309"/>
      <c r="I165" s="309"/>
      <c r="J165" s="160"/>
      <c r="K165" s="162">
        <v>0.056</v>
      </c>
      <c r="L165" s="160"/>
      <c r="M165" s="160"/>
      <c r="N165" s="160"/>
      <c r="O165" s="160"/>
      <c r="P165" s="160"/>
      <c r="Q165" s="160"/>
      <c r="R165" s="163"/>
      <c r="T165" s="164"/>
      <c r="U165" s="160"/>
      <c r="V165" s="160"/>
      <c r="W165" s="160"/>
      <c r="X165" s="160"/>
      <c r="Y165" s="160"/>
      <c r="Z165" s="160"/>
      <c r="AA165" s="165"/>
      <c r="AT165" s="166" t="s">
        <v>179</v>
      </c>
      <c r="AU165" s="166" t="s">
        <v>135</v>
      </c>
      <c r="AV165" s="11" t="s">
        <v>135</v>
      </c>
      <c r="AW165" s="11" t="s">
        <v>35</v>
      </c>
      <c r="AX165" s="11" t="s">
        <v>78</v>
      </c>
      <c r="AY165" s="166" t="s">
        <v>167</v>
      </c>
    </row>
    <row r="166" spans="2:51" s="11" customFormat="1" ht="22.5" customHeight="1">
      <c r="B166" s="159"/>
      <c r="C166" s="160"/>
      <c r="D166" s="160"/>
      <c r="E166" s="161" t="s">
        <v>5</v>
      </c>
      <c r="F166" s="302" t="s">
        <v>695</v>
      </c>
      <c r="G166" s="303"/>
      <c r="H166" s="303"/>
      <c r="I166" s="303"/>
      <c r="J166" s="160"/>
      <c r="K166" s="162">
        <v>0.062</v>
      </c>
      <c r="L166" s="160"/>
      <c r="M166" s="160"/>
      <c r="N166" s="160"/>
      <c r="O166" s="160"/>
      <c r="P166" s="160"/>
      <c r="Q166" s="160"/>
      <c r="R166" s="163"/>
      <c r="T166" s="164"/>
      <c r="U166" s="160"/>
      <c r="V166" s="160"/>
      <c r="W166" s="160"/>
      <c r="X166" s="160"/>
      <c r="Y166" s="160"/>
      <c r="Z166" s="160"/>
      <c r="AA166" s="165"/>
      <c r="AT166" s="166" t="s">
        <v>179</v>
      </c>
      <c r="AU166" s="166" t="s">
        <v>135</v>
      </c>
      <c r="AV166" s="11" t="s">
        <v>135</v>
      </c>
      <c r="AW166" s="11" t="s">
        <v>35</v>
      </c>
      <c r="AX166" s="11" t="s">
        <v>78</v>
      </c>
      <c r="AY166" s="166" t="s">
        <v>167</v>
      </c>
    </row>
    <row r="167" spans="2:51" s="12" customFormat="1" ht="22.5" customHeight="1">
      <c r="B167" s="167"/>
      <c r="C167" s="168"/>
      <c r="D167" s="168"/>
      <c r="E167" s="169" t="s">
        <v>5</v>
      </c>
      <c r="F167" s="306" t="s">
        <v>183</v>
      </c>
      <c r="G167" s="307"/>
      <c r="H167" s="307"/>
      <c r="I167" s="307"/>
      <c r="J167" s="168"/>
      <c r="K167" s="170">
        <v>0.118</v>
      </c>
      <c r="L167" s="168"/>
      <c r="M167" s="168"/>
      <c r="N167" s="168"/>
      <c r="O167" s="168"/>
      <c r="P167" s="168"/>
      <c r="Q167" s="168"/>
      <c r="R167" s="171"/>
      <c r="T167" s="172"/>
      <c r="U167" s="168"/>
      <c r="V167" s="168"/>
      <c r="W167" s="168"/>
      <c r="X167" s="168"/>
      <c r="Y167" s="168"/>
      <c r="Z167" s="168"/>
      <c r="AA167" s="173"/>
      <c r="AT167" s="174" t="s">
        <v>179</v>
      </c>
      <c r="AU167" s="174" t="s">
        <v>135</v>
      </c>
      <c r="AV167" s="12" t="s">
        <v>172</v>
      </c>
      <c r="AW167" s="12" t="s">
        <v>35</v>
      </c>
      <c r="AX167" s="12" t="s">
        <v>21</v>
      </c>
      <c r="AY167" s="174" t="s">
        <v>167</v>
      </c>
    </row>
    <row r="168" spans="2:65" s="1" customFormat="1" ht="22.5" customHeight="1">
      <c r="B168" s="141"/>
      <c r="C168" s="178" t="s">
        <v>278</v>
      </c>
      <c r="D168" s="178" t="s">
        <v>317</v>
      </c>
      <c r="E168" s="179" t="s">
        <v>696</v>
      </c>
      <c r="F168" s="313" t="s">
        <v>697</v>
      </c>
      <c r="G168" s="313"/>
      <c r="H168" s="313"/>
      <c r="I168" s="313"/>
      <c r="J168" s="180" t="s">
        <v>210</v>
      </c>
      <c r="K168" s="181">
        <v>0.12</v>
      </c>
      <c r="L168" s="314"/>
      <c r="M168" s="314"/>
      <c r="N168" s="314">
        <f>ROUND(L168*K168,2)</f>
        <v>0</v>
      </c>
      <c r="O168" s="294"/>
      <c r="P168" s="294"/>
      <c r="Q168" s="294"/>
      <c r="R168" s="146"/>
      <c r="T168" s="147" t="s">
        <v>5</v>
      </c>
      <c r="U168" s="44" t="s">
        <v>43</v>
      </c>
      <c r="V168" s="148">
        <v>0</v>
      </c>
      <c r="W168" s="148">
        <f>V168*K168</f>
        <v>0</v>
      </c>
      <c r="X168" s="148">
        <v>1</v>
      </c>
      <c r="Y168" s="148">
        <f>X168*K168</f>
        <v>0.12</v>
      </c>
      <c r="Z168" s="148">
        <v>0</v>
      </c>
      <c r="AA168" s="149">
        <f>Z168*K168</f>
        <v>0</v>
      </c>
      <c r="AR168" s="21" t="s">
        <v>213</v>
      </c>
      <c r="AT168" s="21" t="s">
        <v>317</v>
      </c>
      <c r="AU168" s="21" t="s">
        <v>135</v>
      </c>
      <c r="AY168" s="21" t="s">
        <v>167</v>
      </c>
      <c r="BE168" s="150">
        <f>IF(U168="základní",N168,0)</f>
        <v>0</v>
      </c>
      <c r="BF168" s="150">
        <f>IF(U168="snížená",N168,0)</f>
        <v>0</v>
      </c>
      <c r="BG168" s="150">
        <f>IF(U168="zákl. přenesená",N168,0)</f>
        <v>0</v>
      </c>
      <c r="BH168" s="150">
        <f>IF(U168="sníž. přenesená",N168,0)</f>
        <v>0</v>
      </c>
      <c r="BI168" s="150">
        <f>IF(U168="nulová",N168,0)</f>
        <v>0</v>
      </c>
      <c r="BJ168" s="21" t="s">
        <v>21</v>
      </c>
      <c r="BK168" s="150">
        <f>ROUND(L168*K168,2)</f>
        <v>0</v>
      </c>
      <c r="BL168" s="21" t="s">
        <v>172</v>
      </c>
      <c r="BM168" s="21" t="s">
        <v>698</v>
      </c>
    </row>
    <row r="169" spans="2:65" s="1" customFormat="1" ht="22.5" customHeight="1">
      <c r="B169" s="141"/>
      <c r="C169" s="142" t="s">
        <v>11</v>
      </c>
      <c r="D169" s="142" t="s">
        <v>168</v>
      </c>
      <c r="E169" s="143" t="s">
        <v>322</v>
      </c>
      <c r="F169" s="293" t="s">
        <v>323</v>
      </c>
      <c r="G169" s="293"/>
      <c r="H169" s="293"/>
      <c r="I169" s="293"/>
      <c r="J169" s="144" t="s">
        <v>176</v>
      </c>
      <c r="K169" s="145">
        <v>1.992</v>
      </c>
      <c r="L169" s="294"/>
      <c r="M169" s="294"/>
      <c r="N169" s="294">
        <f>ROUND(L169*K169,2)</f>
        <v>0</v>
      </c>
      <c r="O169" s="294"/>
      <c r="P169" s="294"/>
      <c r="Q169" s="294"/>
      <c r="R169" s="146"/>
      <c r="T169" s="147" t="s">
        <v>5</v>
      </c>
      <c r="U169" s="44" t="s">
        <v>43</v>
      </c>
      <c r="V169" s="148">
        <v>1.448</v>
      </c>
      <c r="W169" s="148">
        <f>V169*K169</f>
        <v>2.884416</v>
      </c>
      <c r="X169" s="148">
        <v>2.4534</v>
      </c>
      <c r="Y169" s="148">
        <f>X169*K169</f>
        <v>4.887172799999999</v>
      </c>
      <c r="Z169" s="148">
        <v>0</v>
      </c>
      <c r="AA169" s="149">
        <f>Z169*K169</f>
        <v>0</v>
      </c>
      <c r="AR169" s="21" t="s">
        <v>172</v>
      </c>
      <c r="AT169" s="21" t="s">
        <v>168</v>
      </c>
      <c r="AU169" s="21" t="s">
        <v>135</v>
      </c>
      <c r="AY169" s="21" t="s">
        <v>167</v>
      </c>
      <c r="BE169" s="150">
        <f>IF(U169="základní",N169,0)</f>
        <v>0</v>
      </c>
      <c r="BF169" s="150">
        <f>IF(U169="snížená",N169,0)</f>
        <v>0</v>
      </c>
      <c r="BG169" s="150">
        <f>IF(U169="zákl. přenesená",N169,0)</f>
        <v>0</v>
      </c>
      <c r="BH169" s="150">
        <f>IF(U169="sníž. přenesená",N169,0)</f>
        <v>0</v>
      </c>
      <c r="BI169" s="150">
        <f>IF(U169="nulová",N169,0)</f>
        <v>0</v>
      </c>
      <c r="BJ169" s="21" t="s">
        <v>21</v>
      </c>
      <c r="BK169" s="150">
        <f>ROUND(L169*K169,2)</f>
        <v>0</v>
      </c>
      <c r="BL169" s="21" t="s">
        <v>172</v>
      </c>
      <c r="BM169" s="21" t="s">
        <v>324</v>
      </c>
    </row>
    <row r="170" spans="2:51" s="11" customFormat="1" ht="22.5" customHeight="1">
      <c r="B170" s="159"/>
      <c r="C170" s="160"/>
      <c r="D170" s="160"/>
      <c r="E170" s="161" t="s">
        <v>5</v>
      </c>
      <c r="F170" s="308" t="s">
        <v>699</v>
      </c>
      <c r="G170" s="309"/>
      <c r="H170" s="309"/>
      <c r="I170" s="309"/>
      <c r="J170" s="160"/>
      <c r="K170" s="162">
        <v>1.992</v>
      </c>
      <c r="L170" s="160"/>
      <c r="M170" s="160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179</v>
      </c>
      <c r="AU170" s="166" t="s">
        <v>135</v>
      </c>
      <c r="AV170" s="11" t="s">
        <v>135</v>
      </c>
      <c r="AW170" s="11" t="s">
        <v>35</v>
      </c>
      <c r="AX170" s="11" t="s">
        <v>21</v>
      </c>
      <c r="AY170" s="166" t="s">
        <v>167</v>
      </c>
    </row>
    <row r="171" spans="2:65" s="1" customFormat="1" ht="22.5" customHeight="1">
      <c r="B171" s="141"/>
      <c r="C171" s="142" t="s">
        <v>281</v>
      </c>
      <c r="D171" s="142" t="s">
        <v>168</v>
      </c>
      <c r="E171" s="143" t="s">
        <v>327</v>
      </c>
      <c r="F171" s="293" t="s">
        <v>328</v>
      </c>
      <c r="G171" s="293"/>
      <c r="H171" s="293"/>
      <c r="I171" s="293"/>
      <c r="J171" s="144" t="s">
        <v>199</v>
      </c>
      <c r="K171" s="145">
        <v>9.96</v>
      </c>
      <c r="L171" s="294"/>
      <c r="M171" s="294"/>
      <c r="N171" s="294">
        <f>ROUND(L171*K171,2)</f>
        <v>0</v>
      </c>
      <c r="O171" s="294"/>
      <c r="P171" s="294"/>
      <c r="Q171" s="294"/>
      <c r="R171" s="146"/>
      <c r="T171" s="147" t="s">
        <v>5</v>
      </c>
      <c r="U171" s="44" t="s">
        <v>43</v>
      </c>
      <c r="V171" s="148">
        <v>0.481</v>
      </c>
      <c r="W171" s="148">
        <f>V171*K171</f>
        <v>4.790760000000001</v>
      </c>
      <c r="X171" s="148">
        <v>0.00522</v>
      </c>
      <c r="Y171" s="148">
        <f>X171*K171</f>
        <v>0.0519912</v>
      </c>
      <c r="Z171" s="148">
        <v>0</v>
      </c>
      <c r="AA171" s="149">
        <f>Z171*K171</f>
        <v>0</v>
      </c>
      <c r="AR171" s="21" t="s">
        <v>172</v>
      </c>
      <c r="AT171" s="21" t="s">
        <v>168</v>
      </c>
      <c r="AU171" s="21" t="s">
        <v>135</v>
      </c>
      <c r="AY171" s="21" t="s">
        <v>167</v>
      </c>
      <c r="BE171" s="150">
        <f>IF(U171="základní",N171,0)</f>
        <v>0</v>
      </c>
      <c r="BF171" s="150">
        <f>IF(U171="snížená",N171,0)</f>
        <v>0</v>
      </c>
      <c r="BG171" s="150">
        <f>IF(U171="zákl. přenesená",N171,0)</f>
        <v>0</v>
      </c>
      <c r="BH171" s="150">
        <f>IF(U171="sníž. přenesená",N171,0)</f>
        <v>0</v>
      </c>
      <c r="BI171" s="150">
        <f>IF(U171="nulová",N171,0)</f>
        <v>0</v>
      </c>
      <c r="BJ171" s="21" t="s">
        <v>21</v>
      </c>
      <c r="BK171" s="150">
        <f>ROUND(L171*K171,2)</f>
        <v>0</v>
      </c>
      <c r="BL171" s="21" t="s">
        <v>172</v>
      </c>
      <c r="BM171" s="21" t="s">
        <v>329</v>
      </c>
    </row>
    <row r="172" spans="2:51" s="11" customFormat="1" ht="22.5" customHeight="1">
      <c r="B172" s="159"/>
      <c r="C172" s="160"/>
      <c r="D172" s="160"/>
      <c r="E172" s="161" t="s">
        <v>5</v>
      </c>
      <c r="F172" s="308" t="s">
        <v>700</v>
      </c>
      <c r="G172" s="309"/>
      <c r="H172" s="309"/>
      <c r="I172" s="309"/>
      <c r="J172" s="160"/>
      <c r="K172" s="162">
        <v>9.96</v>
      </c>
      <c r="L172" s="160"/>
      <c r="M172" s="160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179</v>
      </c>
      <c r="AU172" s="166" t="s">
        <v>135</v>
      </c>
      <c r="AV172" s="11" t="s">
        <v>135</v>
      </c>
      <c r="AW172" s="11" t="s">
        <v>35</v>
      </c>
      <c r="AX172" s="11" t="s">
        <v>21</v>
      </c>
      <c r="AY172" s="166" t="s">
        <v>167</v>
      </c>
    </row>
    <row r="173" spans="2:65" s="1" customFormat="1" ht="22.5" customHeight="1">
      <c r="B173" s="141"/>
      <c r="C173" s="142" t="s">
        <v>288</v>
      </c>
      <c r="D173" s="142" t="s">
        <v>168</v>
      </c>
      <c r="E173" s="143" t="s">
        <v>332</v>
      </c>
      <c r="F173" s="293" t="s">
        <v>333</v>
      </c>
      <c r="G173" s="293"/>
      <c r="H173" s="293"/>
      <c r="I173" s="293"/>
      <c r="J173" s="144" t="s">
        <v>199</v>
      </c>
      <c r="K173" s="145">
        <v>9.96</v>
      </c>
      <c r="L173" s="294"/>
      <c r="M173" s="294"/>
      <c r="N173" s="294">
        <f>ROUND(L173*K173,2)</f>
        <v>0</v>
      </c>
      <c r="O173" s="294"/>
      <c r="P173" s="294"/>
      <c r="Q173" s="294"/>
      <c r="R173" s="146"/>
      <c r="T173" s="147" t="s">
        <v>5</v>
      </c>
      <c r="U173" s="44" t="s">
        <v>43</v>
      </c>
      <c r="V173" s="148">
        <v>0.24</v>
      </c>
      <c r="W173" s="148">
        <f>V173*K173</f>
        <v>2.3904</v>
      </c>
      <c r="X173" s="148">
        <v>0</v>
      </c>
      <c r="Y173" s="148">
        <f>X173*K173</f>
        <v>0</v>
      </c>
      <c r="Z173" s="148">
        <v>0</v>
      </c>
      <c r="AA173" s="149">
        <f>Z173*K173</f>
        <v>0</v>
      </c>
      <c r="AR173" s="21" t="s">
        <v>172</v>
      </c>
      <c r="AT173" s="21" t="s">
        <v>168</v>
      </c>
      <c r="AU173" s="21" t="s">
        <v>135</v>
      </c>
      <c r="AY173" s="21" t="s">
        <v>167</v>
      </c>
      <c r="BE173" s="150">
        <f>IF(U173="základní",N173,0)</f>
        <v>0</v>
      </c>
      <c r="BF173" s="150">
        <f>IF(U173="snížená",N173,0)</f>
        <v>0</v>
      </c>
      <c r="BG173" s="150">
        <f>IF(U173="zákl. přenesená",N173,0)</f>
        <v>0</v>
      </c>
      <c r="BH173" s="150">
        <f>IF(U173="sníž. přenesená",N173,0)</f>
        <v>0</v>
      </c>
      <c r="BI173" s="150">
        <f>IF(U173="nulová",N173,0)</f>
        <v>0</v>
      </c>
      <c r="BJ173" s="21" t="s">
        <v>21</v>
      </c>
      <c r="BK173" s="150">
        <f>ROUND(L173*K173,2)</f>
        <v>0</v>
      </c>
      <c r="BL173" s="21" t="s">
        <v>172</v>
      </c>
      <c r="BM173" s="21" t="s">
        <v>334</v>
      </c>
    </row>
    <row r="174" spans="2:65" s="1" customFormat="1" ht="31.5" customHeight="1">
      <c r="B174" s="141"/>
      <c r="C174" s="142" t="s">
        <v>295</v>
      </c>
      <c r="D174" s="142" t="s">
        <v>168</v>
      </c>
      <c r="E174" s="143" t="s">
        <v>336</v>
      </c>
      <c r="F174" s="293" t="s">
        <v>337</v>
      </c>
      <c r="G174" s="293"/>
      <c r="H174" s="293"/>
      <c r="I174" s="293"/>
      <c r="J174" s="144" t="s">
        <v>210</v>
      </c>
      <c r="K174" s="145">
        <v>0.199</v>
      </c>
      <c r="L174" s="294"/>
      <c r="M174" s="294"/>
      <c r="N174" s="294">
        <f>ROUND(L174*K174,2)</f>
        <v>0</v>
      </c>
      <c r="O174" s="294"/>
      <c r="P174" s="294"/>
      <c r="Q174" s="294"/>
      <c r="R174" s="146"/>
      <c r="T174" s="147" t="s">
        <v>5</v>
      </c>
      <c r="U174" s="44" t="s">
        <v>43</v>
      </c>
      <c r="V174" s="148">
        <v>27.673</v>
      </c>
      <c r="W174" s="148">
        <f>V174*K174</f>
        <v>5.506927</v>
      </c>
      <c r="X174" s="148">
        <v>1.01684</v>
      </c>
      <c r="Y174" s="148">
        <f>X174*K174</f>
        <v>0.20235116</v>
      </c>
      <c r="Z174" s="148">
        <v>0</v>
      </c>
      <c r="AA174" s="149">
        <f>Z174*K174</f>
        <v>0</v>
      </c>
      <c r="AR174" s="21" t="s">
        <v>172</v>
      </c>
      <c r="AT174" s="21" t="s">
        <v>168</v>
      </c>
      <c r="AU174" s="21" t="s">
        <v>135</v>
      </c>
      <c r="AY174" s="21" t="s">
        <v>167</v>
      </c>
      <c r="BE174" s="150">
        <f>IF(U174="základní",N174,0)</f>
        <v>0</v>
      </c>
      <c r="BF174" s="150">
        <f>IF(U174="snížená",N174,0)</f>
        <v>0</v>
      </c>
      <c r="BG174" s="150">
        <f>IF(U174="zákl. přenesená",N174,0)</f>
        <v>0</v>
      </c>
      <c r="BH174" s="150">
        <f>IF(U174="sníž. přenesená",N174,0)</f>
        <v>0</v>
      </c>
      <c r="BI174" s="150">
        <f>IF(U174="nulová",N174,0)</f>
        <v>0</v>
      </c>
      <c r="BJ174" s="21" t="s">
        <v>21</v>
      </c>
      <c r="BK174" s="150">
        <f>ROUND(L174*K174,2)</f>
        <v>0</v>
      </c>
      <c r="BL174" s="21" t="s">
        <v>172</v>
      </c>
      <c r="BM174" s="21" t="s">
        <v>338</v>
      </c>
    </row>
    <row r="175" spans="2:51" s="11" customFormat="1" ht="22.5" customHeight="1">
      <c r="B175" s="159"/>
      <c r="C175" s="160"/>
      <c r="D175" s="160"/>
      <c r="E175" s="161" t="s">
        <v>5</v>
      </c>
      <c r="F175" s="308" t="s">
        <v>701</v>
      </c>
      <c r="G175" s="309"/>
      <c r="H175" s="309"/>
      <c r="I175" s="309"/>
      <c r="J175" s="160"/>
      <c r="K175" s="162">
        <v>0.199</v>
      </c>
      <c r="L175" s="160"/>
      <c r="M175" s="160"/>
      <c r="N175" s="160"/>
      <c r="O175" s="160"/>
      <c r="P175" s="160"/>
      <c r="Q175" s="160"/>
      <c r="R175" s="163"/>
      <c r="T175" s="164"/>
      <c r="U175" s="160"/>
      <c r="V175" s="160"/>
      <c r="W175" s="160"/>
      <c r="X175" s="160"/>
      <c r="Y175" s="160"/>
      <c r="Z175" s="160"/>
      <c r="AA175" s="165"/>
      <c r="AT175" s="166" t="s">
        <v>179</v>
      </c>
      <c r="AU175" s="166" t="s">
        <v>135</v>
      </c>
      <c r="AV175" s="11" t="s">
        <v>135</v>
      </c>
      <c r="AW175" s="11" t="s">
        <v>35</v>
      </c>
      <c r="AX175" s="11" t="s">
        <v>21</v>
      </c>
      <c r="AY175" s="166" t="s">
        <v>167</v>
      </c>
    </row>
    <row r="176" spans="2:63" s="9" customFormat="1" ht="29.85" customHeight="1">
      <c r="B176" s="130"/>
      <c r="C176" s="131"/>
      <c r="D176" s="140" t="s">
        <v>411</v>
      </c>
      <c r="E176" s="140"/>
      <c r="F176" s="140"/>
      <c r="G176" s="140"/>
      <c r="H176" s="140"/>
      <c r="I176" s="140"/>
      <c r="J176" s="140"/>
      <c r="K176" s="140"/>
      <c r="L176" s="140"/>
      <c r="M176" s="140"/>
      <c r="N176" s="298">
        <f>BK176</f>
        <v>0</v>
      </c>
      <c r="O176" s="299"/>
      <c r="P176" s="299"/>
      <c r="Q176" s="299"/>
      <c r="R176" s="133"/>
      <c r="T176" s="134"/>
      <c r="U176" s="131"/>
      <c r="V176" s="131"/>
      <c r="W176" s="135">
        <f>SUM(W177:W199)</f>
        <v>131.907349</v>
      </c>
      <c r="X176" s="131"/>
      <c r="Y176" s="135">
        <f>SUM(Y177:Y199)</f>
        <v>15.7048655</v>
      </c>
      <c r="Z176" s="131"/>
      <c r="AA176" s="136">
        <f>SUM(AA177:AA199)</f>
        <v>0</v>
      </c>
      <c r="AR176" s="137" t="s">
        <v>21</v>
      </c>
      <c r="AT176" s="138" t="s">
        <v>77</v>
      </c>
      <c r="AU176" s="138" t="s">
        <v>21</v>
      </c>
      <c r="AY176" s="137" t="s">
        <v>167</v>
      </c>
      <c r="BK176" s="139">
        <f>SUM(BK177:BK199)</f>
        <v>0</v>
      </c>
    </row>
    <row r="177" spans="2:65" s="1" customFormat="1" ht="44.25" customHeight="1">
      <c r="B177" s="141"/>
      <c r="C177" s="142" t="s">
        <v>301</v>
      </c>
      <c r="D177" s="142" t="s">
        <v>168</v>
      </c>
      <c r="E177" s="143" t="s">
        <v>702</v>
      </c>
      <c r="F177" s="293" t="s">
        <v>703</v>
      </c>
      <c r="G177" s="293"/>
      <c r="H177" s="293"/>
      <c r="I177" s="293"/>
      <c r="J177" s="144" t="s">
        <v>199</v>
      </c>
      <c r="K177" s="145">
        <v>100.72</v>
      </c>
      <c r="L177" s="294"/>
      <c r="M177" s="294"/>
      <c r="N177" s="294">
        <f>ROUND(L177*K177,2)</f>
        <v>0</v>
      </c>
      <c r="O177" s="294"/>
      <c r="P177" s="294"/>
      <c r="Q177" s="294"/>
      <c r="R177" s="146"/>
      <c r="T177" s="147" t="s">
        <v>5</v>
      </c>
      <c r="U177" s="44" t="s">
        <v>43</v>
      </c>
      <c r="V177" s="148">
        <v>0.865</v>
      </c>
      <c r="W177" s="148">
        <f>V177*K177</f>
        <v>87.1228</v>
      </c>
      <c r="X177" s="148">
        <v>0.05293</v>
      </c>
      <c r="Y177" s="148">
        <f>X177*K177</f>
        <v>5.3311096</v>
      </c>
      <c r="Z177" s="148">
        <v>0</v>
      </c>
      <c r="AA177" s="149">
        <f>Z177*K177</f>
        <v>0</v>
      </c>
      <c r="AR177" s="21" t="s">
        <v>172</v>
      </c>
      <c r="AT177" s="21" t="s">
        <v>168</v>
      </c>
      <c r="AU177" s="21" t="s">
        <v>135</v>
      </c>
      <c r="AY177" s="21" t="s">
        <v>167</v>
      </c>
      <c r="BE177" s="150">
        <f>IF(U177="základní",N177,0)</f>
        <v>0</v>
      </c>
      <c r="BF177" s="150">
        <f>IF(U177="snížená",N177,0)</f>
        <v>0</v>
      </c>
      <c r="BG177" s="150">
        <f>IF(U177="zákl. přenesená",N177,0)</f>
        <v>0</v>
      </c>
      <c r="BH177" s="150">
        <f>IF(U177="sníž. přenesená",N177,0)</f>
        <v>0</v>
      </c>
      <c r="BI177" s="150">
        <f>IF(U177="nulová",N177,0)</f>
        <v>0</v>
      </c>
      <c r="BJ177" s="21" t="s">
        <v>21</v>
      </c>
      <c r="BK177" s="150">
        <f>ROUND(L177*K177,2)</f>
        <v>0</v>
      </c>
      <c r="BL177" s="21" t="s">
        <v>172</v>
      </c>
      <c r="BM177" s="21" t="s">
        <v>704</v>
      </c>
    </row>
    <row r="178" spans="2:51" s="11" customFormat="1" ht="22.5" customHeight="1">
      <c r="B178" s="159"/>
      <c r="C178" s="160"/>
      <c r="D178" s="160"/>
      <c r="E178" s="161" t="s">
        <v>5</v>
      </c>
      <c r="F178" s="308" t="s">
        <v>705</v>
      </c>
      <c r="G178" s="309"/>
      <c r="H178" s="309"/>
      <c r="I178" s="309"/>
      <c r="J178" s="160"/>
      <c r="K178" s="162">
        <v>19.86</v>
      </c>
      <c r="L178" s="160"/>
      <c r="M178" s="160"/>
      <c r="N178" s="160"/>
      <c r="O178" s="160"/>
      <c r="P178" s="160"/>
      <c r="Q178" s="160"/>
      <c r="R178" s="163"/>
      <c r="T178" s="164"/>
      <c r="U178" s="160"/>
      <c r="V178" s="160"/>
      <c r="W178" s="160"/>
      <c r="X178" s="160"/>
      <c r="Y178" s="160"/>
      <c r="Z178" s="160"/>
      <c r="AA178" s="165"/>
      <c r="AT178" s="166" t="s">
        <v>179</v>
      </c>
      <c r="AU178" s="166" t="s">
        <v>135</v>
      </c>
      <c r="AV178" s="11" t="s">
        <v>135</v>
      </c>
      <c r="AW178" s="11" t="s">
        <v>35</v>
      </c>
      <c r="AX178" s="11" t="s">
        <v>78</v>
      </c>
      <c r="AY178" s="166" t="s">
        <v>167</v>
      </c>
    </row>
    <row r="179" spans="2:51" s="11" customFormat="1" ht="22.5" customHeight="1">
      <c r="B179" s="159"/>
      <c r="C179" s="160"/>
      <c r="D179" s="160"/>
      <c r="E179" s="161" t="s">
        <v>5</v>
      </c>
      <c r="F179" s="302" t="s">
        <v>706</v>
      </c>
      <c r="G179" s="303"/>
      <c r="H179" s="303"/>
      <c r="I179" s="303"/>
      <c r="J179" s="160"/>
      <c r="K179" s="162">
        <v>33.72</v>
      </c>
      <c r="L179" s="160"/>
      <c r="M179" s="160"/>
      <c r="N179" s="160"/>
      <c r="O179" s="160"/>
      <c r="P179" s="160"/>
      <c r="Q179" s="160"/>
      <c r="R179" s="163"/>
      <c r="T179" s="164"/>
      <c r="U179" s="160"/>
      <c r="V179" s="160"/>
      <c r="W179" s="160"/>
      <c r="X179" s="160"/>
      <c r="Y179" s="160"/>
      <c r="Z179" s="160"/>
      <c r="AA179" s="165"/>
      <c r="AT179" s="166" t="s">
        <v>179</v>
      </c>
      <c r="AU179" s="166" t="s">
        <v>135</v>
      </c>
      <c r="AV179" s="11" t="s">
        <v>135</v>
      </c>
      <c r="AW179" s="11" t="s">
        <v>35</v>
      </c>
      <c r="AX179" s="11" t="s">
        <v>78</v>
      </c>
      <c r="AY179" s="166" t="s">
        <v>167</v>
      </c>
    </row>
    <row r="180" spans="2:51" s="11" customFormat="1" ht="22.5" customHeight="1">
      <c r="B180" s="159"/>
      <c r="C180" s="160"/>
      <c r="D180" s="160"/>
      <c r="E180" s="161" t="s">
        <v>5</v>
      </c>
      <c r="F180" s="302" t="s">
        <v>707</v>
      </c>
      <c r="G180" s="303"/>
      <c r="H180" s="303"/>
      <c r="I180" s="303"/>
      <c r="J180" s="160"/>
      <c r="K180" s="162">
        <v>44.55</v>
      </c>
      <c r="L180" s="160"/>
      <c r="M180" s="160"/>
      <c r="N180" s="160"/>
      <c r="O180" s="160"/>
      <c r="P180" s="160"/>
      <c r="Q180" s="160"/>
      <c r="R180" s="163"/>
      <c r="T180" s="164"/>
      <c r="U180" s="160"/>
      <c r="V180" s="160"/>
      <c r="W180" s="160"/>
      <c r="X180" s="160"/>
      <c r="Y180" s="160"/>
      <c r="Z180" s="160"/>
      <c r="AA180" s="165"/>
      <c r="AT180" s="166" t="s">
        <v>179</v>
      </c>
      <c r="AU180" s="166" t="s">
        <v>135</v>
      </c>
      <c r="AV180" s="11" t="s">
        <v>135</v>
      </c>
      <c r="AW180" s="11" t="s">
        <v>35</v>
      </c>
      <c r="AX180" s="11" t="s">
        <v>78</v>
      </c>
      <c r="AY180" s="166" t="s">
        <v>167</v>
      </c>
    </row>
    <row r="181" spans="2:51" s="11" customFormat="1" ht="22.5" customHeight="1">
      <c r="B181" s="159"/>
      <c r="C181" s="160"/>
      <c r="D181" s="160"/>
      <c r="E181" s="161" t="s">
        <v>5</v>
      </c>
      <c r="F181" s="302" t="s">
        <v>708</v>
      </c>
      <c r="G181" s="303"/>
      <c r="H181" s="303"/>
      <c r="I181" s="303"/>
      <c r="J181" s="160"/>
      <c r="K181" s="162">
        <v>2.59</v>
      </c>
      <c r="L181" s="160"/>
      <c r="M181" s="160"/>
      <c r="N181" s="160"/>
      <c r="O181" s="160"/>
      <c r="P181" s="160"/>
      <c r="Q181" s="160"/>
      <c r="R181" s="163"/>
      <c r="T181" s="164"/>
      <c r="U181" s="160"/>
      <c r="V181" s="160"/>
      <c r="W181" s="160"/>
      <c r="X181" s="160"/>
      <c r="Y181" s="160"/>
      <c r="Z181" s="160"/>
      <c r="AA181" s="165"/>
      <c r="AT181" s="166" t="s">
        <v>179</v>
      </c>
      <c r="AU181" s="166" t="s">
        <v>135</v>
      </c>
      <c r="AV181" s="11" t="s">
        <v>135</v>
      </c>
      <c r="AW181" s="11" t="s">
        <v>35</v>
      </c>
      <c r="AX181" s="11" t="s">
        <v>78</v>
      </c>
      <c r="AY181" s="166" t="s">
        <v>167</v>
      </c>
    </row>
    <row r="182" spans="2:51" s="12" customFormat="1" ht="22.5" customHeight="1">
      <c r="B182" s="167"/>
      <c r="C182" s="168"/>
      <c r="D182" s="168"/>
      <c r="E182" s="169" t="s">
        <v>5</v>
      </c>
      <c r="F182" s="306" t="s">
        <v>183</v>
      </c>
      <c r="G182" s="307"/>
      <c r="H182" s="307"/>
      <c r="I182" s="307"/>
      <c r="J182" s="168"/>
      <c r="K182" s="170">
        <v>100.72</v>
      </c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179</v>
      </c>
      <c r="AU182" s="174" t="s">
        <v>135</v>
      </c>
      <c r="AV182" s="12" t="s">
        <v>172</v>
      </c>
      <c r="AW182" s="12" t="s">
        <v>35</v>
      </c>
      <c r="AX182" s="12" t="s">
        <v>21</v>
      </c>
      <c r="AY182" s="174" t="s">
        <v>167</v>
      </c>
    </row>
    <row r="183" spans="2:65" s="1" customFormat="1" ht="22.5" customHeight="1">
      <c r="B183" s="141"/>
      <c r="C183" s="142" t="s">
        <v>305</v>
      </c>
      <c r="D183" s="142" t="s">
        <v>168</v>
      </c>
      <c r="E183" s="143" t="s">
        <v>709</v>
      </c>
      <c r="F183" s="293" t="s">
        <v>710</v>
      </c>
      <c r="G183" s="293"/>
      <c r="H183" s="293"/>
      <c r="I183" s="293"/>
      <c r="J183" s="144" t="s">
        <v>199</v>
      </c>
      <c r="K183" s="145">
        <v>6.8</v>
      </c>
      <c r="L183" s="294"/>
      <c r="M183" s="294"/>
      <c r="N183" s="294">
        <f>ROUND(L183*K183,2)</f>
        <v>0</v>
      </c>
      <c r="O183" s="294"/>
      <c r="P183" s="294"/>
      <c r="Q183" s="294"/>
      <c r="R183" s="146"/>
      <c r="T183" s="147" t="s">
        <v>5</v>
      </c>
      <c r="U183" s="44" t="s">
        <v>43</v>
      </c>
      <c r="V183" s="148">
        <v>0.865</v>
      </c>
      <c r="W183" s="148">
        <f>V183*K183</f>
        <v>5.882</v>
      </c>
      <c r="X183" s="148">
        <v>0.05293</v>
      </c>
      <c r="Y183" s="148">
        <f>X183*K183</f>
        <v>0.35992399999999997</v>
      </c>
      <c r="Z183" s="148">
        <v>0</v>
      </c>
      <c r="AA183" s="149">
        <f>Z183*K183</f>
        <v>0</v>
      </c>
      <c r="AR183" s="21" t="s">
        <v>172</v>
      </c>
      <c r="AT183" s="21" t="s">
        <v>168</v>
      </c>
      <c r="AU183" s="21" t="s">
        <v>135</v>
      </c>
      <c r="AY183" s="21" t="s">
        <v>167</v>
      </c>
      <c r="BE183" s="150">
        <f>IF(U183="základní",N183,0)</f>
        <v>0</v>
      </c>
      <c r="BF183" s="150">
        <f>IF(U183="snížená",N183,0)</f>
        <v>0</v>
      </c>
      <c r="BG183" s="150">
        <f>IF(U183="zákl. přenesená",N183,0)</f>
        <v>0</v>
      </c>
      <c r="BH183" s="150">
        <f>IF(U183="sníž. přenesená",N183,0)</f>
        <v>0</v>
      </c>
      <c r="BI183" s="150">
        <f>IF(U183="nulová",N183,0)</f>
        <v>0</v>
      </c>
      <c r="BJ183" s="21" t="s">
        <v>21</v>
      </c>
      <c r="BK183" s="150">
        <f>ROUND(L183*K183,2)</f>
        <v>0</v>
      </c>
      <c r="BL183" s="21" t="s">
        <v>172</v>
      </c>
      <c r="BM183" s="21" t="s">
        <v>711</v>
      </c>
    </row>
    <row r="184" spans="2:65" s="1" customFormat="1" ht="22.5" customHeight="1">
      <c r="B184" s="141"/>
      <c r="C184" s="142" t="s">
        <v>10</v>
      </c>
      <c r="D184" s="142" t="s">
        <v>168</v>
      </c>
      <c r="E184" s="143" t="s">
        <v>712</v>
      </c>
      <c r="F184" s="293" t="s">
        <v>713</v>
      </c>
      <c r="G184" s="293"/>
      <c r="H184" s="293"/>
      <c r="I184" s="293"/>
      <c r="J184" s="144" t="s">
        <v>199</v>
      </c>
      <c r="K184" s="145">
        <v>83.645</v>
      </c>
      <c r="L184" s="294"/>
      <c r="M184" s="294"/>
      <c r="N184" s="294">
        <f>ROUND(L184*K184,2)</f>
        <v>0</v>
      </c>
      <c r="O184" s="294"/>
      <c r="P184" s="294"/>
      <c r="Q184" s="294"/>
      <c r="R184" s="146"/>
      <c r="T184" s="147" t="s">
        <v>5</v>
      </c>
      <c r="U184" s="44" t="s">
        <v>43</v>
      </c>
      <c r="V184" s="148">
        <v>0.035</v>
      </c>
      <c r="W184" s="148">
        <f>V184*K184</f>
        <v>2.927575</v>
      </c>
      <c r="X184" s="148">
        <v>0.00025</v>
      </c>
      <c r="Y184" s="148">
        <f>X184*K184</f>
        <v>0.02091125</v>
      </c>
      <c r="Z184" s="148">
        <v>0</v>
      </c>
      <c r="AA184" s="149">
        <f>Z184*K184</f>
        <v>0</v>
      </c>
      <c r="AR184" s="21" t="s">
        <v>172</v>
      </c>
      <c r="AT184" s="21" t="s">
        <v>168</v>
      </c>
      <c r="AU184" s="21" t="s">
        <v>135</v>
      </c>
      <c r="AY184" s="21" t="s">
        <v>167</v>
      </c>
      <c r="BE184" s="150">
        <f>IF(U184="základní",N184,0)</f>
        <v>0</v>
      </c>
      <c r="BF184" s="150">
        <f>IF(U184="snížená",N184,0)</f>
        <v>0</v>
      </c>
      <c r="BG184" s="150">
        <f>IF(U184="zákl. přenesená",N184,0)</f>
        <v>0</v>
      </c>
      <c r="BH184" s="150">
        <f>IF(U184="sníž. přenesená",N184,0)</f>
        <v>0</v>
      </c>
      <c r="BI184" s="150">
        <f>IF(U184="nulová",N184,0)</f>
        <v>0</v>
      </c>
      <c r="BJ184" s="21" t="s">
        <v>21</v>
      </c>
      <c r="BK184" s="150">
        <f>ROUND(L184*K184,2)</f>
        <v>0</v>
      </c>
      <c r="BL184" s="21" t="s">
        <v>172</v>
      </c>
      <c r="BM184" s="21" t="s">
        <v>714</v>
      </c>
    </row>
    <row r="185" spans="2:51" s="11" customFormat="1" ht="22.5" customHeight="1">
      <c r="B185" s="159"/>
      <c r="C185" s="160"/>
      <c r="D185" s="160"/>
      <c r="E185" s="161" t="s">
        <v>5</v>
      </c>
      <c r="F185" s="308" t="s">
        <v>715</v>
      </c>
      <c r="G185" s="309"/>
      <c r="H185" s="309"/>
      <c r="I185" s="309"/>
      <c r="J185" s="160"/>
      <c r="K185" s="162">
        <v>71.805</v>
      </c>
      <c r="L185" s="160"/>
      <c r="M185" s="160"/>
      <c r="N185" s="160"/>
      <c r="O185" s="160"/>
      <c r="P185" s="160"/>
      <c r="Q185" s="160"/>
      <c r="R185" s="163"/>
      <c r="T185" s="164"/>
      <c r="U185" s="160"/>
      <c r="V185" s="160"/>
      <c r="W185" s="160"/>
      <c r="X185" s="160"/>
      <c r="Y185" s="160"/>
      <c r="Z185" s="160"/>
      <c r="AA185" s="165"/>
      <c r="AT185" s="166" t="s">
        <v>179</v>
      </c>
      <c r="AU185" s="166" t="s">
        <v>135</v>
      </c>
      <c r="AV185" s="11" t="s">
        <v>135</v>
      </c>
      <c r="AW185" s="11" t="s">
        <v>35</v>
      </c>
      <c r="AX185" s="11" t="s">
        <v>78</v>
      </c>
      <c r="AY185" s="166" t="s">
        <v>167</v>
      </c>
    </row>
    <row r="186" spans="2:51" s="11" customFormat="1" ht="22.5" customHeight="1">
      <c r="B186" s="159"/>
      <c r="C186" s="160"/>
      <c r="D186" s="160"/>
      <c r="E186" s="161" t="s">
        <v>5</v>
      </c>
      <c r="F186" s="302" t="s">
        <v>716</v>
      </c>
      <c r="G186" s="303"/>
      <c r="H186" s="303"/>
      <c r="I186" s="303"/>
      <c r="J186" s="160"/>
      <c r="K186" s="162">
        <v>11.84</v>
      </c>
      <c r="L186" s="160"/>
      <c r="M186" s="160"/>
      <c r="N186" s="160"/>
      <c r="O186" s="160"/>
      <c r="P186" s="160"/>
      <c r="Q186" s="160"/>
      <c r="R186" s="163"/>
      <c r="T186" s="164"/>
      <c r="U186" s="160"/>
      <c r="V186" s="160"/>
      <c r="W186" s="160"/>
      <c r="X186" s="160"/>
      <c r="Y186" s="160"/>
      <c r="Z186" s="160"/>
      <c r="AA186" s="165"/>
      <c r="AT186" s="166" t="s">
        <v>179</v>
      </c>
      <c r="AU186" s="166" t="s">
        <v>135</v>
      </c>
      <c r="AV186" s="11" t="s">
        <v>135</v>
      </c>
      <c r="AW186" s="11" t="s">
        <v>35</v>
      </c>
      <c r="AX186" s="11" t="s">
        <v>78</v>
      </c>
      <c r="AY186" s="166" t="s">
        <v>167</v>
      </c>
    </row>
    <row r="187" spans="2:51" s="12" customFormat="1" ht="22.5" customHeight="1">
      <c r="B187" s="167"/>
      <c r="C187" s="168"/>
      <c r="D187" s="168"/>
      <c r="E187" s="169" t="s">
        <v>5</v>
      </c>
      <c r="F187" s="306" t="s">
        <v>183</v>
      </c>
      <c r="G187" s="307"/>
      <c r="H187" s="307"/>
      <c r="I187" s="307"/>
      <c r="J187" s="168"/>
      <c r="K187" s="170">
        <v>83.645</v>
      </c>
      <c r="L187" s="168"/>
      <c r="M187" s="168"/>
      <c r="N187" s="168"/>
      <c r="O187" s="168"/>
      <c r="P187" s="168"/>
      <c r="Q187" s="168"/>
      <c r="R187" s="171"/>
      <c r="T187" s="172"/>
      <c r="U187" s="168"/>
      <c r="V187" s="168"/>
      <c r="W187" s="168"/>
      <c r="X187" s="168"/>
      <c r="Y187" s="168"/>
      <c r="Z187" s="168"/>
      <c r="AA187" s="173"/>
      <c r="AT187" s="174" t="s">
        <v>179</v>
      </c>
      <c r="AU187" s="174" t="s">
        <v>135</v>
      </c>
      <c r="AV187" s="12" t="s">
        <v>172</v>
      </c>
      <c r="AW187" s="12" t="s">
        <v>35</v>
      </c>
      <c r="AX187" s="12" t="s">
        <v>21</v>
      </c>
      <c r="AY187" s="174" t="s">
        <v>167</v>
      </c>
    </row>
    <row r="188" spans="2:65" s="1" customFormat="1" ht="22.5" customHeight="1">
      <c r="B188" s="141"/>
      <c r="C188" s="142" t="s">
        <v>316</v>
      </c>
      <c r="D188" s="142" t="s">
        <v>168</v>
      </c>
      <c r="E188" s="143" t="s">
        <v>717</v>
      </c>
      <c r="F188" s="293" t="s">
        <v>718</v>
      </c>
      <c r="G188" s="293"/>
      <c r="H188" s="293"/>
      <c r="I188" s="293"/>
      <c r="J188" s="144" t="s">
        <v>199</v>
      </c>
      <c r="K188" s="145">
        <v>3.72</v>
      </c>
      <c r="L188" s="294"/>
      <c r="M188" s="294"/>
      <c r="N188" s="294">
        <f>ROUND(L188*K188,2)</f>
        <v>0</v>
      </c>
      <c r="O188" s="294"/>
      <c r="P188" s="294"/>
      <c r="Q188" s="294"/>
      <c r="R188" s="146"/>
      <c r="T188" s="147" t="s">
        <v>5</v>
      </c>
      <c r="U188" s="44" t="s">
        <v>43</v>
      </c>
      <c r="V188" s="148">
        <v>0.078</v>
      </c>
      <c r="W188" s="148">
        <f>V188*K188</f>
        <v>0.29016000000000003</v>
      </c>
      <c r="X188" s="148">
        <v>0.00011</v>
      </c>
      <c r="Y188" s="148">
        <f>X188*K188</f>
        <v>0.0004092</v>
      </c>
      <c r="Z188" s="148">
        <v>0</v>
      </c>
      <c r="AA188" s="149">
        <f>Z188*K188</f>
        <v>0</v>
      </c>
      <c r="AR188" s="21" t="s">
        <v>172</v>
      </c>
      <c r="AT188" s="21" t="s">
        <v>168</v>
      </c>
      <c r="AU188" s="21" t="s">
        <v>135</v>
      </c>
      <c r="AY188" s="21" t="s">
        <v>167</v>
      </c>
      <c r="BE188" s="150">
        <f>IF(U188="základní",N188,0)</f>
        <v>0</v>
      </c>
      <c r="BF188" s="150">
        <f>IF(U188="snížená",N188,0)</f>
        <v>0</v>
      </c>
      <c r="BG188" s="150">
        <f>IF(U188="zákl. přenesená",N188,0)</f>
        <v>0</v>
      </c>
      <c r="BH188" s="150">
        <f>IF(U188="sníž. přenesená",N188,0)</f>
        <v>0</v>
      </c>
      <c r="BI188" s="150">
        <f>IF(U188="nulová",N188,0)</f>
        <v>0</v>
      </c>
      <c r="BJ188" s="21" t="s">
        <v>21</v>
      </c>
      <c r="BK188" s="150">
        <f>ROUND(L188*K188,2)</f>
        <v>0</v>
      </c>
      <c r="BL188" s="21" t="s">
        <v>172</v>
      </c>
      <c r="BM188" s="21" t="s">
        <v>719</v>
      </c>
    </row>
    <row r="189" spans="2:51" s="11" customFormat="1" ht="22.5" customHeight="1">
      <c r="B189" s="159"/>
      <c r="C189" s="160"/>
      <c r="D189" s="160"/>
      <c r="E189" s="161" t="s">
        <v>5</v>
      </c>
      <c r="F189" s="308" t="s">
        <v>720</v>
      </c>
      <c r="G189" s="309"/>
      <c r="H189" s="309"/>
      <c r="I189" s="309"/>
      <c r="J189" s="160"/>
      <c r="K189" s="162">
        <v>3.72</v>
      </c>
      <c r="L189" s="160"/>
      <c r="M189" s="160"/>
      <c r="N189" s="160"/>
      <c r="O189" s="160"/>
      <c r="P189" s="160"/>
      <c r="Q189" s="160"/>
      <c r="R189" s="163"/>
      <c r="T189" s="164"/>
      <c r="U189" s="160"/>
      <c r="V189" s="160"/>
      <c r="W189" s="160"/>
      <c r="X189" s="160"/>
      <c r="Y189" s="160"/>
      <c r="Z189" s="160"/>
      <c r="AA189" s="165"/>
      <c r="AT189" s="166" t="s">
        <v>179</v>
      </c>
      <c r="AU189" s="166" t="s">
        <v>135</v>
      </c>
      <c r="AV189" s="11" t="s">
        <v>135</v>
      </c>
      <c r="AW189" s="11" t="s">
        <v>35</v>
      </c>
      <c r="AX189" s="11" t="s">
        <v>21</v>
      </c>
      <c r="AY189" s="166" t="s">
        <v>167</v>
      </c>
    </row>
    <row r="190" spans="2:65" s="1" customFormat="1" ht="31.5" customHeight="1">
      <c r="B190" s="141"/>
      <c r="C190" s="142" t="s">
        <v>321</v>
      </c>
      <c r="D190" s="142" t="s">
        <v>168</v>
      </c>
      <c r="E190" s="143" t="s">
        <v>721</v>
      </c>
      <c r="F190" s="293" t="s">
        <v>722</v>
      </c>
      <c r="G190" s="293"/>
      <c r="H190" s="293"/>
      <c r="I190" s="293"/>
      <c r="J190" s="144" t="s">
        <v>199</v>
      </c>
      <c r="K190" s="145">
        <v>63.165</v>
      </c>
      <c r="L190" s="294"/>
      <c r="M190" s="294"/>
      <c r="N190" s="294">
        <f>ROUND(L190*K190,2)</f>
        <v>0</v>
      </c>
      <c r="O190" s="294"/>
      <c r="P190" s="294"/>
      <c r="Q190" s="294"/>
      <c r="R190" s="146"/>
      <c r="T190" s="147" t="s">
        <v>5</v>
      </c>
      <c r="U190" s="44" t="s">
        <v>43</v>
      </c>
      <c r="V190" s="148">
        <v>0.25</v>
      </c>
      <c r="W190" s="148">
        <f>V190*K190</f>
        <v>15.79125</v>
      </c>
      <c r="X190" s="148">
        <v>0.00656</v>
      </c>
      <c r="Y190" s="148">
        <f>X190*K190</f>
        <v>0.41436239999999996</v>
      </c>
      <c r="Z190" s="148">
        <v>0</v>
      </c>
      <c r="AA190" s="149">
        <f>Z190*K190</f>
        <v>0</v>
      </c>
      <c r="AR190" s="21" t="s">
        <v>172</v>
      </c>
      <c r="AT190" s="21" t="s">
        <v>168</v>
      </c>
      <c r="AU190" s="21" t="s">
        <v>135</v>
      </c>
      <c r="AY190" s="21" t="s">
        <v>167</v>
      </c>
      <c r="BE190" s="150">
        <f>IF(U190="základní",N190,0)</f>
        <v>0</v>
      </c>
      <c r="BF190" s="150">
        <f>IF(U190="snížená",N190,0)</f>
        <v>0</v>
      </c>
      <c r="BG190" s="150">
        <f>IF(U190="zákl. přenesená",N190,0)</f>
        <v>0</v>
      </c>
      <c r="BH190" s="150">
        <f>IF(U190="sníž. přenesená",N190,0)</f>
        <v>0</v>
      </c>
      <c r="BI190" s="150">
        <f>IF(U190="nulová",N190,0)</f>
        <v>0</v>
      </c>
      <c r="BJ190" s="21" t="s">
        <v>21</v>
      </c>
      <c r="BK190" s="150">
        <f>ROUND(L190*K190,2)</f>
        <v>0</v>
      </c>
      <c r="BL190" s="21" t="s">
        <v>172</v>
      </c>
      <c r="BM190" s="21" t="s">
        <v>723</v>
      </c>
    </row>
    <row r="191" spans="2:51" s="11" customFormat="1" ht="22.5" customHeight="1">
      <c r="B191" s="159"/>
      <c r="C191" s="160"/>
      <c r="D191" s="160"/>
      <c r="E191" s="161" t="s">
        <v>5</v>
      </c>
      <c r="F191" s="308" t="s">
        <v>724</v>
      </c>
      <c r="G191" s="309"/>
      <c r="H191" s="309"/>
      <c r="I191" s="309"/>
      <c r="J191" s="160"/>
      <c r="K191" s="162">
        <v>63.165</v>
      </c>
      <c r="L191" s="160"/>
      <c r="M191" s="160"/>
      <c r="N191" s="160"/>
      <c r="O191" s="160"/>
      <c r="P191" s="160"/>
      <c r="Q191" s="160"/>
      <c r="R191" s="163"/>
      <c r="T191" s="164"/>
      <c r="U191" s="160"/>
      <c r="V191" s="160"/>
      <c r="W191" s="160"/>
      <c r="X191" s="160"/>
      <c r="Y191" s="160"/>
      <c r="Z191" s="160"/>
      <c r="AA191" s="165"/>
      <c r="AT191" s="166" t="s">
        <v>179</v>
      </c>
      <c r="AU191" s="166" t="s">
        <v>135</v>
      </c>
      <c r="AV191" s="11" t="s">
        <v>135</v>
      </c>
      <c r="AW191" s="11" t="s">
        <v>35</v>
      </c>
      <c r="AX191" s="11" t="s">
        <v>21</v>
      </c>
      <c r="AY191" s="166" t="s">
        <v>167</v>
      </c>
    </row>
    <row r="192" spans="2:65" s="1" customFormat="1" ht="22.5" customHeight="1">
      <c r="B192" s="141"/>
      <c r="C192" s="142" t="s">
        <v>326</v>
      </c>
      <c r="D192" s="142" t="s">
        <v>168</v>
      </c>
      <c r="E192" s="143" t="s">
        <v>725</v>
      </c>
      <c r="F192" s="293" t="s">
        <v>726</v>
      </c>
      <c r="G192" s="293"/>
      <c r="H192" s="293"/>
      <c r="I192" s="293"/>
      <c r="J192" s="144" t="s">
        <v>199</v>
      </c>
      <c r="K192" s="145">
        <v>20.48</v>
      </c>
      <c r="L192" s="294"/>
      <c r="M192" s="294"/>
      <c r="N192" s="294">
        <f>ROUND(L192*K192,2)</f>
        <v>0</v>
      </c>
      <c r="O192" s="294"/>
      <c r="P192" s="294"/>
      <c r="Q192" s="294"/>
      <c r="R192" s="146"/>
      <c r="T192" s="147" t="s">
        <v>5</v>
      </c>
      <c r="U192" s="44" t="s">
        <v>43</v>
      </c>
      <c r="V192" s="148">
        <v>0.25</v>
      </c>
      <c r="W192" s="148">
        <f>V192*K192</f>
        <v>5.12</v>
      </c>
      <c r="X192" s="148">
        <v>0.00656</v>
      </c>
      <c r="Y192" s="148">
        <f>X192*K192</f>
        <v>0.1343488</v>
      </c>
      <c r="Z192" s="148">
        <v>0</v>
      </c>
      <c r="AA192" s="149">
        <f>Z192*K192</f>
        <v>0</v>
      </c>
      <c r="AR192" s="21" t="s">
        <v>172</v>
      </c>
      <c r="AT192" s="21" t="s">
        <v>168</v>
      </c>
      <c r="AU192" s="21" t="s">
        <v>135</v>
      </c>
      <c r="AY192" s="21" t="s">
        <v>167</v>
      </c>
      <c r="BE192" s="150">
        <f>IF(U192="základní",N192,0)</f>
        <v>0</v>
      </c>
      <c r="BF192" s="150">
        <f>IF(U192="snížená",N192,0)</f>
        <v>0</v>
      </c>
      <c r="BG192" s="150">
        <f>IF(U192="zákl. přenesená",N192,0)</f>
        <v>0</v>
      </c>
      <c r="BH192" s="150">
        <f>IF(U192="sníž. přenesená",N192,0)</f>
        <v>0</v>
      </c>
      <c r="BI192" s="150">
        <f>IF(U192="nulová",N192,0)</f>
        <v>0</v>
      </c>
      <c r="BJ192" s="21" t="s">
        <v>21</v>
      </c>
      <c r="BK192" s="150">
        <f>ROUND(L192*K192,2)</f>
        <v>0</v>
      </c>
      <c r="BL192" s="21" t="s">
        <v>172</v>
      </c>
      <c r="BM192" s="21" t="s">
        <v>727</v>
      </c>
    </row>
    <row r="193" spans="2:51" s="11" customFormat="1" ht="22.5" customHeight="1">
      <c r="B193" s="159"/>
      <c r="C193" s="160"/>
      <c r="D193" s="160"/>
      <c r="E193" s="161" t="s">
        <v>5</v>
      </c>
      <c r="F193" s="308" t="s">
        <v>728</v>
      </c>
      <c r="G193" s="309"/>
      <c r="H193" s="309"/>
      <c r="I193" s="309"/>
      <c r="J193" s="160"/>
      <c r="K193" s="162">
        <v>20.48</v>
      </c>
      <c r="L193" s="160"/>
      <c r="M193" s="160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179</v>
      </c>
      <c r="AU193" s="166" t="s">
        <v>135</v>
      </c>
      <c r="AV193" s="11" t="s">
        <v>135</v>
      </c>
      <c r="AW193" s="11" t="s">
        <v>35</v>
      </c>
      <c r="AX193" s="11" t="s">
        <v>78</v>
      </c>
      <c r="AY193" s="166" t="s">
        <v>167</v>
      </c>
    </row>
    <row r="194" spans="2:51" s="12" customFormat="1" ht="22.5" customHeight="1">
      <c r="B194" s="167"/>
      <c r="C194" s="168"/>
      <c r="D194" s="168"/>
      <c r="E194" s="169" t="s">
        <v>5</v>
      </c>
      <c r="F194" s="306" t="s">
        <v>183</v>
      </c>
      <c r="G194" s="307"/>
      <c r="H194" s="307"/>
      <c r="I194" s="307"/>
      <c r="J194" s="168"/>
      <c r="K194" s="170">
        <v>20.48</v>
      </c>
      <c r="L194" s="168"/>
      <c r="M194" s="168"/>
      <c r="N194" s="168"/>
      <c r="O194" s="168"/>
      <c r="P194" s="168"/>
      <c r="Q194" s="168"/>
      <c r="R194" s="171"/>
      <c r="T194" s="172"/>
      <c r="U194" s="168"/>
      <c r="V194" s="168"/>
      <c r="W194" s="168"/>
      <c r="X194" s="168"/>
      <c r="Y194" s="168"/>
      <c r="Z194" s="168"/>
      <c r="AA194" s="173"/>
      <c r="AT194" s="174" t="s">
        <v>179</v>
      </c>
      <c r="AU194" s="174" t="s">
        <v>135</v>
      </c>
      <c r="AV194" s="12" t="s">
        <v>172</v>
      </c>
      <c r="AW194" s="12" t="s">
        <v>35</v>
      </c>
      <c r="AX194" s="12" t="s">
        <v>21</v>
      </c>
      <c r="AY194" s="174" t="s">
        <v>167</v>
      </c>
    </row>
    <row r="195" spans="2:65" s="1" customFormat="1" ht="31.5" customHeight="1">
      <c r="B195" s="141"/>
      <c r="C195" s="142" t="s">
        <v>331</v>
      </c>
      <c r="D195" s="142" t="s">
        <v>168</v>
      </c>
      <c r="E195" s="143" t="s">
        <v>729</v>
      </c>
      <c r="F195" s="293" t="s">
        <v>730</v>
      </c>
      <c r="G195" s="293"/>
      <c r="H195" s="293"/>
      <c r="I195" s="293"/>
      <c r="J195" s="144" t="s">
        <v>176</v>
      </c>
      <c r="K195" s="145">
        <v>3.749</v>
      </c>
      <c r="L195" s="294"/>
      <c r="M195" s="294"/>
      <c r="N195" s="294">
        <f>ROUND(L195*K195,2)</f>
        <v>0</v>
      </c>
      <c r="O195" s="294"/>
      <c r="P195" s="294"/>
      <c r="Q195" s="294"/>
      <c r="R195" s="146"/>
      <c r="T195" s="147" t="s">
        <v>5</v>
      </c>
      <c r="U195" s="44" t="s">
        <v>43</v>
      </c>
      <c r="V195" s="148">
        <v>2.58</v>
      </c>
      <c r="W195" s="148">
        <f>V195*K195</f>
        <v>9.67242</v>
      </c>
      <c r="X195" s="148">
        <v>2.45329</v>
      </c>
      <c r="Y195" s="148">
        <f>X195*K195</f>
        <v>9.197384210000001</v>
      </c>
      <c r="Z195" s="148">
        <v>0</v>
      </c>
      <c r="AA195" s="149">
        <f>Z195*K195</f>
        <v>0</v>
      </c>
      <c r="AR195" s="21" t="s">
        <v>172</v>
      </c>
      <c r="AT195" s="21" t="s">
        <v>168</v>
      </c>
      <c r="AU195" s="21" t="s">
        <v>135</v>
      </c>
      <c r="AY195" s="21" t="s">
        <v>167</v>
      </c>
      <c r="BE195" s="150">
        <f>IF(U195="základní",N195,0)</f>
        <v>0</v>
      </c>
      <c r="BF195" s="150">
        <f>IF(U195="snížená",N195,0)</f>
        <v>0</v>
      </c>
      <c r="BG195" s="150">
        <f>IF(U195="zákl. přenesená",N195,0)</f>
        <v>0</v>
      </c>
      <c r="BH195" s="150">
        <f>IF(U195="sníž. přenesená",N195,0)</f>
        <v>0</v>
      </c>
      <c r="BI195" s="150">
        <f>IF(U195="nulová",N195,0)</f>
        <v>0</v>
      </c>
      <c r="BJ195" s="21" t="s">
        <v>21</v>
      </c>
      <c r="BK195" s="150">
        <f>ROUND(L195*K195,2)</f>
        <v>0</v>
      </c>
      <c r="BL195" s="21" t="s">
        <v>172</v>
      </c>
      <c r="BM195" s="21" t="s">
        <v>731</v>
      </c>
    </row>
    <row r="196" spans="2:51" s="11" customFormat="1" ht="22.5" customHeight="1">
      <c r="B196" s="159"/>
      <c r="C196" s="160"/>
      <c r="D196" s="160"/>
      <c r="E196" s="161" t="s">
        <v>5</v>
      </c>
      <c r="F196" s="308" t="s">
        <v>732</v>
      </c>
      <c r="G196" s="309"/>
      <c r="H196" s="309"/>
      <c r="I196" s="309"/>
      <c r="J196" s="160"/>
      <c r="K196" s="162">
        <v>3.749</v>
      </c>
      <c r="L196" s="160"/>
      <c r="M196" s="160"/>
      <c r="N196" s="160"/>
      <c r="O196" s="160"/>
      <c r="P196" s="160"/>
      <c r="Q196" s="160"/>
      <c r="R196" s="163"/>
      <c r="T196" s="164"/>
      <c r="U196" s="160"/>
      <c r="V196" s="160"/>
      <c r="W196" s="160"/>
      <c r="X196" s="160"/>
      <c r="Y196" s="160"/>
      <c r="Z196" s="160"/>
      <c r="AA196" s="165"/>
      <c r="AT196" s="166" t="s">
        <v>179</v>
      </c>
      <c r="AU196" s="166" t="s">
        <v>135</v>
      </c>
      <c r="AV196" s="11" t="s">
        <v>135</v>
      </c>
      <c r="AW196" s="11" t="s">
        <v>35</v>
      </c>
      <c r="AX196" s="11" t="s">
        <v>21</v>
      </c>
      <c r="AY196" s="166" t="s">
        <v>167</v>
      </c>
    </row>
    <row r="197" spans="2:65" s="1" customFormat="1" ht="31.5" customHeight="1">
      <c r="B197" s="141"/>
      <c r="C197" s="142" t="s">
        <v>335</v>
      </c>
      <c r="D197" s="142" t="s">
        <v>168</v>
      </c>
      <c r="E197" s="143" t="s">
        <v>733</v>
      </c>
      <c r="F197" s="293" t="s">
        <v>734</v>
      </c>
      <c r="G197" s="293"/>
      <c r="H197" s="293"/>
      <c r="I197" s="293"/>
      <c r="J197" s="144" t="s">
        <v>176</v>
      </c>
      <c r="K197" s="145">
        <v>3.749</v>
      </c>
      <c r="L197" s="294"/>
      <c r="M197" s="294"/>
      <c r="N197" s="294">
        <f>ROUND(L197*K197,2)</f>
        <v>0</v>
      </c>
      <c r="O197" s="294"/>
      <c r="P197" s="294"/>
      <c r="Q197" s="294"/>
      <c r="R197" s="146"/>
      <c r="T197" s="147" t="s">
        <v>5</v>
      </c>
      <c r="U197" s="44" t="s">
        <v>43</v>
      </c>
      <c r="V197" s="148">
        <v>0.41</v>
      </c>
      <c r="W197" s="148">
        <f>V197*K197</f>
        <v>1.5370899999999998</v>
      </c>
      <c r="X197" s="148">
        <v>0</v>
      </c>
      <c r="Y197" s="148">
        <f>X197*K197</f>
        <v>0</v>
      </c>
      <c r="Z197" s="148">
        <v>0</v>
      </c>
      <c r="AA197" s="149">
        <f>Z197*K197</f>
        <v>0</v>
      </c>
      <c r="AR197" s="21" t="s">
        <v>172</v>
      </c>
      <c r="AT197" s="21" t="s">
        <v>168</v>
      </c>
      <c r="AU197" s="21" t="s">
        <v>135</v>
      </c>
      <c r="AY197" s="21" t="s">
        <v>167</v>
      </c>
      <c r="BE197" s="150">
        <f>IF(U197="základní",N197,0)</f>
        <v>0</v>
      </c>
      <c r="BF197" s="150">
        <f>IF(U197="snížená",N197,0)</f>
        <v>0</v>
      </c>
      <c r="BG197" s="150">
        <f>IF(U197="zákl. přenesená",N197,0)</f>
        <v>0</v>
      </c>
      <c r="BH197" s="150">
        <f>IF(U197="sníž. přenesená",N197,0)</f>
        <v>0</v>
      </c>
      <c r="BI197" s="150">
        <f>IF(U197="nulová",N197,0)</f>
        <v>0</v>
      </c>
      <c r="BJ197" s="21" t="s">
        <v>21</v>
      </c>
      <c r="BK197" s="150">
        <f>ROUND(L197*K197,2)</f>
        <v>0</v>
      </c>
      <c r="BL197" s="21" t="s">
        <v>172</v>
      </c>
      <c r="BM197" s="21" t="s">
        <v>735</v>
      </c>
    </row>
    <row r="198" spans="2:65" s="1" customFormat="1" ht="22.5" customHeight="1">
      <c r="B198" s="141"/>
      <c r="C198" s="142" t="s">
        <v>340</v>
      </c>
      <c r="D198" s="142" t="s">
        <v>168</v>
      </c>
      <c r="E198" s="143" t="s">
        <v>736</v>
      </c>
      <c r="F198" s="293" t="s">
        <v>737</v>
      </c>
      <c r="G198" s="293"/>
      <c r="H198" s="293"/>
      <c r="I198" s="293"/>
      <c r="J198" s="144" t="s">
        <v>210</v>
      </c>
      <c r="K198" s="145">
        <v>0.234</v>
      </c>
      <c r="L198" s="294"/>
      <c r="M198" s="294"/>
      <c r="N198" s="294">
        <f>ROUND(L198*K198,2)</f>
        <v>0</v>
      </c>
      <c r="O198" s="294"/>
      <c r="P198" s="294"/>
      <c r="Q198" s="294"/>
      <c r="R198" s="146"/>
      <c r="T198" s="147" t="s">
        <v>5</v>
      </c>
      <c r="U198" s="44" t="s">
        <v>43</v>
      </c>
      <c r="V198" s="148">
        <v>15.231</v>
      </c>
      <c r="W198" s="148">
        <f>V198*K198</f>
        <v>3.564054</v>
      </c>
      <c r="X198" s="148">
        <v>1.05306</v>
      </c>
      <c r="Y198" s="148">
        <f>X198*K198</f>
        <v>0.24641604000000003</v>
      </c>
      <c r="Z198" s="148">
        <v>0</v>
      </c>
      <c r="AA198" s="149">
        <f>Z198*K198</f>
        <v>0</v>
      </c>
      <c r="AR198" s="21" t="s">
        <v>172</v>
      </c>
      <c r="AT198" s="21" t="s">
        <v>168</v>
      </c>
      <c r="AU198" s="21" t="s">
        <v>135</v>
      </c>
      <c r="AY198" s="21" t="s">
        <v>167</v>
      </c>
      <c r="BE198" s="150">
        <f>IF(U198="základní",N198,0)</f>
        <v>0</v>
      </c>
      <c r="BF198" s="150">
        <f>IF(U198="snížená",N198,0)</f>
        <v>0</v>
      </c>
      <c r="BG198" s="150">
        <f>IF(U198="zákl. přenesená",N198,0)</f>
        <v>0</v>
      </c>
      <c r="BH198" s="150">
        <f>IF(U198="sníž. přenesená",N198,0)</f>
        <v>0</v>
      </c>
      <c r="BI198" s="150">
        <f>IF(U198="nulová",N198,0)</f>
        <v>0</v>
      </c>
      <c r="BJ198" s="21" t="s">
        <v>21</v>
      </c>
      <c r="BK198" s="150">
        <f>ROUND(L198*K198,2)</f>
        <v>0</v>
      </c>
      <c r="BL198" s="21" t="s">
        <v>172</v>
      </c>
      <c r="BM198" s="21" t="s">
        <v>738</v>
      </c>
    </row>
    <row r="199" spans="2:51" s="11" customFormat="1" ht="22.5" customHeight="1">
      <c r="B199" s="159"/>
      <c r="C199" s="160"/>
      <c r="D199" s="160"/>
      <c r="E199" s="161" t="s">
        <v>5</v>
      </c>
      <c r="F199" s="308" t="s">
        <v>739</v>
      </c>
      <c r="G199" s="309"/>
      <c r="H199" s="309"/>
      <c r="I199" s="309"/>
      <c r="J199" s="160"/>
      <c r="K199" s="162">
        <v>0.234</v>
      </c>
      <c r="L199" s="160"/>
      <c r="M199" s="160"/>
      <c r="N199" s="160"/>
      <c r="O199" s="160"/>
      <c r="P199" s="160"/>
      <c r="Q199" s="160"/>
      <c r="R199" s="163"/>
      <c r="T199" s="164"/>
      <c r="U199" s="160"/>
      <c r="V199" s="160"/>
      <c r="W199" s="160"/>
      <c r="X199" s="160"/>
      <c r="Y199" s="160"/>
      <c r="Z199" s="160"/>
      <c r="AA199" s="165"/>
      <c r="AT199" s="166" t="s">
        <v>179</v>
      </c>
      <c r="AU199" s="166" t="s">
        <v>135</v>
      </c>
      <c r="AV199" s="11" t="s">
        <v>135</v>
      </c>
      <c r="AW199" s="11" t="s">
        <v>35</v>
      </c>
      <c r="AX199" s="11" t="s">
        <v>21</v>
      </c>
      <c r="AY199" s="166" t="s">
        <v>167</v>
      </c>
    </row>
    <row r="200" spans="2:63" s="9" customFormat="1" ht="29.85" customHeight="1">
      <c r="B200" s="130"/>
      <c r="C200" s="131"/>
      <c r="D200" s="140" t="s">
        <v>228</v>
      </c>
      <c r="E200" s="140"/>
      <c r="F200" s="140"/>
      <c r="G200" s="140"/>
      <c r="H200" s="140"/>
      <c r="I200" s="140"/>
      <c r="J200" s="140"/>
      <c r="K200" s="140"/>
      <c r="L200" s="140"/>
      <c r="M200" s="140"/>
      <c r="N200" s="298">
        <f>BK200</f>
        <v>0</v>
      </c>
      <c r="O200" s="299"/>
      <c r="P200" s="299"/>
      <c r="Q200" s="299"/>
      <c r="R200" s="133"/>
      <c r="T200" s="134"/>
      <c r="U200" s="131"/>
      <c r="V200" s="131"/>
      <c r="W200" s="135">
        <f>SUM(W201:W206)</f>
        <v>53.855515</v>
      </c>
      <c r="X200" s="131"/>
      <c r="Y200" s="135">
        <f>SUM(Y201:Y206)</f>
        <v>0.5627862</v>
      </c>
      <c r="Z200" s="131"/>
      <c r="AA200" s="136">
        <f>SUM(AA201:AA206)</f>
        <v>0</v>
      </c>
      <c r="AR200" s="137" t="s">
        <v>21</v>
      </c>
      <c r="AT200" s="138" t="s">
        <v>77</v>
      </c>
      <c r="AU200" s="138" t="s">
        <v>21</v>
      </c>
      <c r="AY200" s="137" t="s">
        <v>167</v>
      </c>
      <c r="BK200" s="139">
        <f>SUM(BK201:BK206)</f>
        <v>0</v>
      </c>
    </row>
    <row r="201" spans="2:65" s="1" customFormat="1" ht="22.5" customHeight="1">
      <c r="B201" s="141"/>
      <c r="C201" s="142" t="s">
        <v>344</v>
      </c>
      <c r="D201" s="142" t="s">
        <v>168</v>
      </c>
      <c r="E201" s="143" t="s">
        <v>740</v>
      </c>
      <c r="F201" s="293" t="s">
        <v>741</v>
      </c>
      <c r="G201" s="293"/>
      <c r="H201" s="293"/>
      <c r="I201" s="293"/>
      <c r="J201" s="144" t="s">
        <v>199</v>
      </c>
      <c r="K201" s="145">
        <v>35</v>
      </c>
      <c r="L201" s="294"/>
      <c r="M201" s="294"/>
      <c r="N201" s="294">
        <f>ROUND(L201*K201,2)</f>
        <v>0</v>
      </c>
      <c r="O201" s="294"/>
      <c r="P201" s="294"/>
      <c r="Q201" s="294"/>
      <c r="R201" s="146"/>
      <c r="T201" s="147" t="s">
        <v>5</v>
      </c>
      <c r="U201" s="44" t="s">
        <v>43</v>
      </c>
      <c r="V201" s="148">
        <v>0.122</v>
      </c>
      <c r="W201" s="148">
        <f>V201*K201</f>
        <v>4.27</v>
      </c>
      <c r="X201" s="148">
        <v>0.00147</v>
      </c>
      <c r="Y201" s="148">
        <f>X201*K201</f>
        <v>0.051449999999999996</v>
      </c>
      <c r="Z201" s="148">
        <v>0</v>
      </c>
      <c r="AA201" s="149">
        <f>Z201*K201</f>
        <v>0</v>
      </c>
      <c r="AR201" s="21" t="s">
        <v>172</v>
      </c>
      <c r="AT201" s="21" t="s">
        <v>168</v>
      </c>
      <c r="AU201" s="21" t="s">
        <v>135</v>
      </c>
      <c r="AY201" s="21" t="s">
        <v>167</v>
      </c>
      <c r="BE201" s="150">
        <f>IF(U201="základní",N201,0)</f>
        <v>0</v>
      </c>
      <c r="BF201" s="150">
        <f>IF(U201="snížená",N201,0)</f>
        <v>0</v>
      </c>
      <c r="BG201" s="150">
        <f>IF(U201="zákl. přenesená",N201,0)</f>
        <v>0</v>
      </c>
      <c r="BH201" s="150">
        <f>IF(U201="sníž. přenesená",N201,0)</f>
        <v>0</v>
      </c>
      <c r="BI201" s="150">
        <f>IF(U201="nulová",N201,0)</f>
        <v>0</v>
      </c>
      <c r="BJ201" s="21" t="s">
        <v>21</v>
      </c>
      <c r="BK201" s="150">
        <f>ROUND(L201*K201,2)</f>
        <v>0</v>
      </c>
      <c r="BL201" s="21" t="s">
        <v>172</v>
      </c>
      <c r="BM201" s="21" t="s">
        <v>742</v>
      </c>
    </row>
    <row r="202" spans="2:65" s="1" customFormat="1" ht="31.5" customHeight="1">
      <c r="B202" s="141"/>
      <c r="C202" s="142" t="s">
        <v>349</v>
      </c>
      <c r="D202" s="142" t="s">
        <v>168</v>
      </c>
      <c r="E202" s="143" t="s">
        <v>743</v>
      </c>
      <c r="F202" s="293" t="s">
        <v>744</v>
      </c>
      <c r="G202" s="293"/>
      <c r="H202" s="293"/>
      <c r="I202" s="293"/>
      <c r="J202" s="144" t="s">
        <v>199</v>
      </c>
      <c r="K202" s="145">
        <v>85</v>
      </c>
      <c r="L202" s="294"/>
      <c r="M202" s="294"/>
      <c r="N202" s="294">
        <f>ROUND(L202*K202,2)</f>
        <v>0</v>
      </c>
      <c r="O202" s="294"/>
      <c r="P202" s="294"/>
      <c r="Q202" s="294"/>
      <c r="R202" s="146"/>
      <c r="T202" s="147" t="s">
        <v>5</v>
      </c>
      <c r="U202" s="44" t="s">
        <v>43</v>
      </c>
      <c r="V202" s="148">
        <v>0.292</v>
      </c>
      <c r="W202" s="148">
        <f>V202*K202</f>
        <v>24.819999999999997</v>
      </c>
      <c r="X202" s="148">
        <v>0.006</v>
      </c>
      <c r="Y202" s="148">
        <f>X202*K202</f>
        <v>0.51</v>
      </c>
      <c r="Z202" s="148">
        <v>0</v>
      </c>
      <c r="AA202" s="149">
        <f>Z202*K202</f>
        <v>0</v>
      </c>
      <c r="AR202" s="21" t="s">
        <v>172</v>
      </c>
      <c r="AT202" s="21" t="s">
        <v>168</v>
      </c>
      <c r="AU202" s="21" t="s">
        <v>135</v>
      </c>
      <c r="AY202" s="21" t="s">
        <v>167</v>
      </c>
      <c r="BE202" s="150">
        <f>IF(U202="základní",N202,0)</f>
        <v>0</v>
      </c>
      <c r="BF202" s="150">
        <f>IF(U202="snížená",N202,0)</f>
        <v>0</v>
      </c>
      <c r="BG202" s="150">
        <f>IF(U202="zákl. přenesená",N202,0)</f>
        <v>0</v>
      </c>
      <c r="BH202" s="150">
        <f>IF(U202="sníž. přenesená",N202,0)</f>
        <v>0</v>
      </c>
      <c r="BI202" s="150">
        <f>IF(U202="nulová",N202,0)</f>
        <v>0</v>
      </c>
      <c r="BJ202" s="21" t="s">
        <v>21</v>
      </c>
      <c r="BK202" s="150">
        <f>ROUND(L202*K202,2)</f>
        <v>0</v>
      </c>
      <c r="BL202" s="21" t="s">
        <v>172</v>
      </c>
      <c r="BM202" s="21" t="s">
        <v>745</v>
      </c>
    </row>
    <row r="203" spans="2:65" s="1" customFormat="1" ht="31.5" customHeight="1">
      <c r="B203" s="141"/>
      <c r="C203" s="142" t="s">
        <v>472</v>
      </c>
      <c r="D203" s="142" t="s">
        <v>168</v>
      </c>
      <c r="E203" s="143" t="s">
        <v>746</v>
      </c>
      <c r="F203" s="293" t="s">
        <v>747</v>
      </c>
      <c r="G203" s="293"/>
      <c r="H203" s="293"/>
      <c r="I203" s="293"/>
      <c r="J203" s="144" t="s">
        <v>199</v>
      </c>
      <c r="K203" s="145">
        <v>85</v>
      </c>
      <c r="L203" s="294"/>
      <c r="M203" s="294"/>
      <c r="N203" s="294">
        <f>ROUND(L203*K203,2)</f>
        <v>0</v>
      </c>
      <c r="O203" s="294"/>
      <c r="P203" s="294"/>
      <c r="Q203" s="294"/>
      <c r="R203" s="146"/>
      <c r="T203" s="147" t="s">
        <v>5</v>
      </c>
      <c r="U203" s="44" t="s">
        <v>43</v>
      </c>
      <c r="V203" s="148">
        <v>0.012</v>
      </c>
      <c r="W203" s="148">
        <f>V203*K203</f>
        <v>1.02</v>
      </c>
      <c r="X203" s="148">
        <v>0</v>
      </c>
      <c r="Y203" s="148">
        <f>X203*K203</f>
        <v>0</v>
      </c>
      <c r="Z203" s="148">
        <v>0</v>
      </c>
      <c r="AA203" s="149">
        <f>Z203*K203</f>
        <v>0</v>
      </c>
      <c r="AR203" s="21" t="s">
        <v>172</v>
      </c>
      <c r="AT203" s="21" t="s">
        <v>168</v>
      </c>
      <c r="AU203" s="21" t="s">
        <v>135</v>
      </c>
      <c r="AY203" s="21" t="s">
        <v>167</v>
      </c>
      <c r="BE203" s="150">
        <f>IF(U203="základní",N203,0)</f>
        <v>0</v>
      </c>
      <c r="BF203" s="150">
        <f>IF(U203="snížená",N203,0)</f>
        <v>0</v>
      </c>
      <c r="BG203" s="150">
        <f>IF(U203="zákl. přenesená",N203,0)</f>
        <v>0</v>
      </c>
      <c r="BH203" s="150">
        <f>IF(U203="sníž. přenesená",N203,0)</f>
        <v>0</v>
      </c>
      <c r="BI203" s="150">
        <f>IF(U203="nulová",N203,0)</f>
        <v>0</v>
      </c>
      <c r="BJ203" s="21" t="s">
        <v>21</v>
      </c>
      <c r="BK203" s="150">
        <f>ROUND(L203*K203,2)</f>
        <v>0</v>
      </c>
      <c r="BL203" s="21" t="s">
        <v>172</v>
      </c>
      <c r="BM203" s="21" t="s">
        <v>748</v>
      </c>
    </row>
    <row r="204" spans="2:65" s="1" customFormat="1" ht="31.5" customHeight="1">
      <c r="B204" s="141"/>
      <c r="C204" s="142" t="s">
        <v>476</v>
      </c>
      <c r="D204" s="142" t="s">
        <v>168</v>
      </c>
      <c r="E204" s="143" t="s">
        <v>749</v>
      </c>
      <c r="F204" s="293" t="s">
        <v>750</v>
      </c>
      <c r="G204" s="293"/>
      <c r="H204" s="293"/>
      <c r="I204" s="293"/>
      <c r="J204" s="144" t="s">
        <v>199</v>
      </c>
      <c r="K204" s="145">
        <v>85</v>
      </c>
      <c r="L204" s="294"/>
      <c r="M204" s="294"/>
      <c r="N204" s="294">
        <f>ROUND(L204*K204,2)</f>
        <v>0</v>
      </c>
      <c r="O204" s="294"/>
      <c r="P204" s="294"/>
      <c r="Q204" s="294"/>
      <c r="R204" s="146"/>
      <c r="T204" s="147" t="s">
        <v>5</v>
      </c>
      <c r="U204" s="44" t="s">
        <v>43</v>
      </c>
      <c r="V204" s="148">
        <v>0.176</v>
      </c>
      <c r="W204" s="148">
        <f>V204*K204</f>
        <v>14.959999999999999</v>
      </c>
      <c r="X204" s="148">
        <v>0</v>
      </c>
      <c r="Y204" s="148">
        <f>X204*K204</f>
        <v>0</v>
      </c>
      <c r="Z204" s="148">
        <v>0</v>
      </c>
      <c r="AA204" s="149">
        <f>Z204*K204</f>
        <v>0</v>
      </c>
      <c r="AR204" s="21" t="s">
        <v>172</v>
      </c>
      <c r="AT204" s="21" t="s">
        <v>168</v>
      </c>
      <c r="AU204" s="21" t="s">
        <v>135</v>
      </c>
      <c r="AY204" s="21" t="s">
        <v>167</v>
      </c>
      <c r="BE204" s="150">
        <f>IF(U204="základní",N204,0)</f>
        <v>0</v>
      </c>
      <c r="BF204" s="150">
        <f>IF(U204="snížená",N204,0)</f>
        <v>0</v>
      </c>
      <c r="BG204" s="150">
        <f>IF(U204="zákl. přenesená",N204,0)</f>
        <v>0</v>
      </c>
      <c r="BH204" s="150">
        <f>IF(U204="sníž. přenesená",N204,0)</f>
        <v>0</v>
      </c>
      <c r="BI204" s="150">
        <f>IF(U204="nulová",N204,0)</f>
        <v>0</v>
      </c>
      <c r="BJ204" s="21" t="s">
        <v>21</v>
      </c>
      <c r="BK204" s="150">
        <f>ROUND(L204*K204,2)</f>
        <v>0</v>
      </c>
      <c r="BL204" s="21" t="s">
        <v>172</v>
      </c>
      <c r="BM204" s="21" t="s">
        <v>751</v>
      </c>
    </row>
    <row r="205" spans="2:65" s="1" customFormat="1" ht="31.5" customHeight="1">
      <c r="B205" s="141"/>
      <c r="C205" s="142" t="s">
        <v>477</v>
      </c>
      <c r="D205" s="142" t="s">
        <v>168</v>
      </c>
      <c r="E205" s="143" t="s">
        <v>752</v>
      </c>
      <c r="F205" s="293" t="s">
        <v>753</v>
      </c>
      <c r="G205" s="293"/>
      <c r="H205" s="293"/>
      <c r="I205" s="293"/>
      <c r="J205" s="144" t="s">
        <v>199</v>
      </c>
      <c r="K205" s="145">
        <v>33.405</v>
      </c>
      <c r="L205" s="294"/>
      <c r="M205" s="294"/>
      <c r="N205" s="294">
        <f>ROUND(L205*K205,2)</f>
        <v>0</v>
      </c>
      <c r="O205" s="294"/>
      <c r="P205" s="294"/>
      <c r="Q205" s="294"/>
      <c r="R205" s="146"/>
      <c r="T205" s="147" t="s">
        <v>5</v>
      </c>
      <c r="U205" s="44" t="s">
        <v>43</v>
      </c>
      <c r="V205" s="148">
        <v>0.263</v>
      </c>
      <c r="W205" s="148">
        <f>V205*K205</f>
        <v>8.785515</v>
      </c>
      <c r="X205" s="148">
        <v>4E-05</v>
      </c>
      <c r="Y205" s="148">
        <f>X205*K205</f>
        <v>0.0013362</v>
      </c>
      <c r="Z205" s="148">
        <v>0</v>
      </c>
      <c r="AA205" s="149">
        <f>Z205*K205</f>
        <v>0</v>
      </c>
      <c r="AR205" s="21" t="s">
        <v>172</v>
      </c>
      <c r="AT205" s="21" t="s">
        <v>168</v>
      </c>
      <c r="AU205" s="21" t="s">
        <v>135</v>
      </c>
      <c r="AY205" s="21" t="s">
        <v>167</v>
      </c>
      <c r="BE205" s="150">
        <f>IF(U205="základní",N205,0)</f>
        <v>0</v>
      </c>
      <c r="BF205" s="150">
        <f>IF(U205="snížená",N205,0)</f>
        <v>0</v>
      </c>
      <c r="BG205" s="150">
        <f>IF(U205="zákl. přenesená",N205,0)</f>
        <v>0</v>
      </c>
      <c r="BH205" s="150">
        <f>IF(U205="sníž. přenesená",N205,0)</f>
        <v>0</v>
      </c>
      <c r="BI205" s="150">
        <f>IF(U205="nulová",N205,0)</f>
        <v>0</v>
      </c>
      <c r="BJ205" s="21" t="s">
        <v>21</v>
      </c>
      <c r="BK205" s="150">
        <f>ROUND(L205*K205,2)</f>
        <v>0</v>
      </c>
      <c r="BL205" s="21" t="s">
        <v>172</v>
      </c>
      <c r="BM205" s="21" t="s">
        <v>754</v>
      </c>
    </row>
    <row r="206" spans="2:51" s="11" customFormat="1" ht="22.5" customHeight="1">
      <c r="B206" s="159"/>
      <c r="C206" s="160"/>
      <c r="D206" s="160"/>
      <c r="E206" s="161" t="s">
        <v>5</v>
      </c>
      <c r="F206" s="308" t="s">
        <v>755</v>
      </c>
      <c r="G206" s="309"/>
      <c r="H206" s="309"/>
      <c r="I206" s="309"/>
      <c r="J206" s="160"/>
      <c r="K206" s="162">
        <v>33.405</v>
      </c>
      <c r="L206" s="160"/>
      <c r="M206" s="160"/>
      <c r="N206" s="160"/>
      <c r="O206" s="160"/>
      <c r="P206" s="160"/>
      <c r="Q206" s="160"/>
      <c r="R206" s="163"/>
      <c r="T206" s="164"/>
      <c r="U206" s="160"/>
      <c r="V206" s="160"/>
      <c r="W206" s="160"/>
      <c r="X206" s="160"/>
      <c r="Y206" s="160"/>
      <c r="Z206" s="160"/>
      <c r="AA206" s="165"/>
      <c r="AT206" s="166" t="s">
        <v>179</v>
      </c>
      <c r="AU206" s="166" t="s">
        <v>135</v>
      </c>
      <c r="AV206" s="11" t="s">
        <v>135</v>
      </c>
      <c r="AW206" s="11" t="s">
        <v>35</v>
      </c>
      <c r="AX206" s="11" t="s">
        <v>21</v>
      </c>
      <c r="AY206" s="166" t="s">
        <v>167</v>
      </c>
    </row>
    <row r="207" spans="2:63" s="9" customFormat="1" ht="29.85" customHeight="1">
      <c r="B207" s="130"/>
      <c r="C207" s="131"/>
      <c r="D207" s="140" t="s">
        <v>151</v>
      </c>
      <c r="E207" s="140"/>
      <c r="F207" s="140"/>
      <c r="G207" s="140"/>
      <c r="H207" s="140"/>
      <c r="I207" s="140"/>
      <c r="J207" s="140"/>
      <c r="K207" s="140"/>
      <c r="L207" s="140"/>
      <c r="M207" s="140"/>
      <c r="N207" s="298">
        <f>BK207</f>
        <v>0</v>
      </c>
      <c r="O207" s="299"/>
      <c r="P207" s="299"/>
      <c r="Q207" s="299"/>
      <c r="R207" s="133"/>
      <c r="T207" s="134"/>
      <c r="U207" s="131"/>
      <c r="V207" s="131"/>
      <c r="W207" s="135">
        <f>W208</f>
        <v>33.076176000000004</v>
      </c>
      <c r="X207" s="131"/>
      <c r="Y207" s="135">
        <f>Y208</f>
        <v>0</v>
      </c>
      <c r="Z207" s="131"/>
      <c r="AA207" s="136">
        <f>AA208</f>
        <v>0</v>
      </c>
      <c r="AR207" s="137" t="s">
        <v>21</v>
      </c>
      <c r="AT207" s="138" t="s">
        <v>77</v>
      </c>
      <c r="AU207" s="138" t="s">
        <v>21</v>
      </c>
      <c r="AY207" s="137" t="s">
        <v>167</v>
      </c>
      <c r="BK207" s="139">
        <f>BK208</f>
        <v>0</v>
      </c>
    </row>
    <row r="208" spans="2:65" s="1" customFormat="1" ht="22.5" customHeight="1">
      <c r="B208" s="141"/>
      <c r="C208" s="142" t="s">
        <v>478</v>
      </c>
      <c r="D208" s="142" t="s">
        <v>168</v>
      </c>
      <c r="E208" s="143" t="s">
        <v>222</v>
      </c>
      <c r="F208" s="293" t="s">
        <v>223</v>
      </c>
      <c r="G208" s="293"/>
      <c r="H208" s="293"/>
      <c r="I208" s="293"/>
      <c r="J208" s="144" t="s">
        <v>210</v>
      </c>
      <c r="K208" s="145">
        <v>98.441</v>
      </c>
      <c r="L208" s="294"/>
      <c r="M208" s="294"/>
      <c r="N208" s="294">
        <f>ROUND(L208*K208,2)</f>
        <v>0</v>
      </c>
      <c r="O208" s="294"/>
      <c r="P208" s="294"/>
      <c r="Q208" s="294"/>
      <c r="R208" s="146"/>
      <c r="T208" s="147" t="s">
        <v>5</v>
      </c>
      <c r="U208" s="44" t="s">
        <v>43</v>
      </c>
      <c r="V208" s="148">
        <v>0.336</v>
      </c>
      <c r="W208" s="148">
        <f>V208*K208</f>
        <v>33.076176000000004</v>
      </c>
      <c r="X208" s="148">
        <v>0</v>
      </c>
      <c r="Y208" s="148">
        <f>X208*K208</f>
        <v>0</v>
      </c>
      <c r="Z208" s="148">
        <v>0</v>
      </c>
      <c r="AA208" s="149">
        <f>Z208*K208</f>
        <v>0</v>
      </c>
      <c r="AR208" s="21" t="s">
        <v>172</v>
      </c>
      <c r="AT208" s="21" t="s">
        <v>168</v>
      </c>
      <c r="AU208" s="21" t="s">
        <v>135</v>
      </c>
      <c r="AY208" s="21" t="s">
        <v>167</v>
      </c>
      <c r="BE208" s="150">
        <f>IF(U208="základní",N208,0)</f>
        <v>0</v>
      </c>
      <c r="BF208" s="150">
        <f>IF(U208="snížená",N208,0)</f>
        <v>0</v>
      </c>
      <c r="BG208" s="150">
        <f>IF(U208="zákl. přenesená",N208,0)</f>
        <v>0</v>
      </c>
      <c r="BH208" s="150">
        <f>IF(U208="sníž. přenesená",N208,0)</f>
        <v>0</v>
      </c>
      <c r="BI208" s="150">
        <f>IF(U208="nulová",N208,0)</f>
        <v>0</v>
      </c>
      <c r="BJ208" s="21" t="s">
        <v>21</v>
      </c>
      <c r="BK208" s="150">
        <f>ROUND(L208*K208,2)</f>
        <v>0</v>
      </c>
      <c r="BL208" s="21" t="s">
        <v>172</v>
      </c>
      <c r="BM208" s="21" t="s">
        <v>756</v>
      </c>
    </row>
    <row r="209" spans="2:63" s="9" customFormat="1" ht="37.35" customHeight="1">
      <c r="B209" s="130"/>
      <c r="C209" s="131"/>
      <c r="D209" s="132" t="s">
        <v>387</v>
      </c>
      <c r="E209" s="132"/>
      <c r="F209" s="132"/>
      <c r="G209" s="132"/>
      <c r="H209" s="132"/>
      <c r="I209" s="132"/>
      <c r="J209" s="132"/>
      <c r="K209" s="132"/>
      <c r="L209" s="132"/>
      <c r="M209" s="132"/>
      <c r="N209" s="315">
        <f>BK209</f>
        <v>0</v>
      </c>
      <c r="O209" s="316"/>
      <c r="P209" s="316"/>
      <c r="Q209" s="316"/>
      <c r="R209" s="133"/>
      <c r="T209" s="134"/>
      <c r="U209" s="131"/>
      <c r="V209" s="131"/>
      <c r="W209" s="135">
        <f>W210+W221+W233+W235+W238+W244+W256+W261+W273+W281+W288+W293+W305+W314+W320</f>
        <v>290.642322</v>
      </c>
      <c r="X209" s="131"/>
      <c r="Y209" s="135">
        <f>Y210+Y221+Y233+Y235+Y238+Y244+Y256+Y261+Y273+Y281+Y288+Y293+Y305+Y314+Y320</f>
        <v>8.87981857</v>
      </c>
      <c r="Z209" s="131"/>
      <c r="AA209" s="136">
        <f>AA210+AA221+AA233+AA235+AA238+AA244+AA256+AA261+AA273+AA281+AA288+AA293+AA305+AA314+AA320</f>
        <v>0</v>
      </c>
      <c r="AR209" s="137" t="s">
        <v>135</v>
      </c>
      <c r="AT209" s="138" t="s">
        <v>77</v>
      </c>
      <c r="AU209" s="138" t="s">
        <v>78</v>
      </c>
      <c r="AY209" s="137" t="s">
        <v>167</v>
      </c>
      <c r="BK209" s="139">
        <f>BK210+BK221+BK233+BK235+BK238+BK244+BK256+BK261+BK273+BK281+BK288+BK293+BK305+BK314+BK320</f>
        <v>0</v>
      </c>
    </row>
    <row r="210" spans="2:63" s="9" customFormat="1" ht="19.9" customHeight="1">
      <c r="B210" s="130"/>
      <c r="C210" s="131"/>
      <c r="D210" s="140" t="s">
        <v>643</v>
      </c>
      <c r="E210" s="140"/>
      <c r="F210" s="140"/>
      <c r="G210" s="140"/>
      <c r="H210" s="140"/>
      <c r="I210" s="140"/>
      <c r="J210" s="140"/>
      <c r="K210" s="140"/>
      <c r="L210" s="140"/>
      <c r="M210" s="140"/>
      <c r="N210" s="298">
        <f>BK210</f>
        <v>0</v>
      </c>
      <c r="O210" s="299"/>
      <c r="P210" s="299"/>
      <c r="Q210" s="299"/>
      <c r="R210" s="133"/>
      <c r="T210" s="134"/>
      <c r="U210" s="131"/>
      <c r="V210" s="131"/>
      <c r="W210" s="135">
        <f>SUM(W211:W220)</f>
        <v>12.201080000000003</v>
      </c>
      <c r="X210" s="131"/>
      <c r="Y210" s="135">
        <f>SUM(Y211:Y220)</f>
        <v>0.274746</v>
      </c>
      <c r="Z210" s="131"/>
      <c r="AA210" s="136">
        <f>SUM(AA211:AA220)</f>
        <v>0</v>
      </c>
      <c r="AR210" s="137" t="s">
        <v>135</v>
      </c>
      <c r="AT210" s="138" t="s">
        <v>77</v>
      </c>
      <c r="AU210" s="138" t="s">
        <v>21</v>
      </c>
      <c r="AY210" s="137" t="s">
        <v>167</v>
      </c>
      <c r="BK210" s="139">
        <f>SUM(BK211:BK220)</f>
        <v>0</v>
      </c>
    </row>
    <row r="211" spans="2:65" s="1" customFormat="1" ht="31.5" customHeight="1">
      <c r="B211" s="141"/>
      <c r="C211" s="142" t="s">
        <v>619</v>
      </c>
      <c r="D211" s="142" t="s">
        <v>168</v>
      </c>
      <c r="E211" s="143" t="s">
        <v>757</v>
      </c>
      <c r="F211" s="293" t="s">
        <v>758</v>
      </c>
      <c r="G211" s="293"/>
      <c r="H211" s="293"/>
      <c r="I211" s="293"/>
      <c r="J211" s="144" t="s">
        <v>199</v>
      </c>
      <c r="K211" s="145">
        <v>43.365</v>
      </c>
      <c r="L211" s="294"/>
      <c r="M211" s="294"/>
      <c r="N211" s="294">
        <f>ROUND(L211*K211,2)</f>
        <v>0</v>
      </c>
      <c r="O211" s="294"/>
      <c r="P211" s="294"/>
      <c r="Q211" s="294"/>
      <c r="R211" s="146"/>
      <c r="T211" s="147" t="s">
        <v>5</v>
      </c>
      <c r="U211" s="44" t="s">
        <v>43</v>
      </c>
      <c r="V211" s="148">
        <v>0.024</v>
      </c>
      <c r="W211" s="148">
        <f>V211*K211</f>
        <v>1.0407600000000001</v>
      </c>
      <c r="X211" s="148">
        <v>0</v>
      </c>
      <c r="Y211" s="148">
        <f>X211*K211</f>
        <v>0</v>
      </c>
      <c r="Z211" s="148">
        <v>0</v>
      </c>
      <c r="AA211" s="149">
        <f>Z211*K211</f>
        <v>0</v>
      </c>
      <c r="AR211" s="21" t="s">
        <v>281</v>
      </c>
      <c r="AT211" s="21" t="s">
        <v>168</v>
      </c>
      <c r="AU211" s="21" t="s">
        <v>135</v>
      </c>
      <c r="AY211" s="21" t="s">
        <v>167</v>
      </c>
      <c r="BE211" s="150">
        <f>IF(U211="základní",N211,0)</f>
        <v>0</v>
      </c>
      <c r="BF211" s="150">
        <f>IF(U211="snížená",N211,0)</f>
        <v>0</v>
      </c>
      <c r="BG211" s="150">
        <f>IF(U211="zákl. přenesená",N211,0)</f>
        <v>0</v>
      </c>
      <c r="BH211" s="150">
        <f>IF(U211="sníž. přenesená",N211,0)</f>
        <v>0</v>
      </c>
      <c r="BI211" s="150">
        <f>IF(U211="nulová",N211,0)</f>
        <v>0</v>
      </c>
      <c r="BJ211" s="21" t="s">
        <v>21</v>
      </c>
      <c r="BK211" s="150">
        <f>ROUND(L211*K211,2)</f>
        <v>0</v>
      </c>
      <c r="BL211" s="21" t="s">
        <v>281</v>
      </c>
      <c r="BM211" s="21" t="s">
        <v>759</v>
      </c>
    </row>
    <row r="212" spans="2:51" s="11" customFormat="1" ht="22.5" customHeight="1">
      <c r="B212" s="159"/>
      <c r="C212" s="160"/>
      <c r="D212" s="160"/>
      <c r="E212" s="161" t="s">
        <v>5</v>
      </c>
      <c r="F212" s="308" t="s">
        <v>760</v>
      </c>
      <c r="G212" s="309"/>
      <c r="H212" s="309"/>
      <c r="I212" s="309"/>
      <c r="J212" s="160"/>
      <c r="K212" s="162">
        <v>43.365</v>
      </c>
      <c r="L212" s="160"/>
      <c r="M212" s="160"/>
      <c r="N212" s="160"/>
      <c r="O212" s="160"/>
      <c r="P212" s="160"/>
      <c r="Q212" s="160"/>
      <c r="R212" s="163"/>
      <c r="T212" s="164"/>
      <c r="U212" s="160"/>
      <c r="V212" s="160"/>
      <c r="W212" s="160"/>
      <c r="X212" s="160"/>
      <c r="Y212" s="160"/>
      <c r="Z212" s="160"/>
      <c r="AA212" s="165"/>
      <c r="AT212" s="166" t="s">
        <v>179</v>
      </c>
      <c r="AU212" s="166" t="s">
        <v>135</v>
      </c>
      <c r="AV212" s="11" t="s">
        <v>135</v>
      </c>
      <c r="AW212" s="11" t="s">
        <v>35</v>
      </c>
      <c r="AX212" s="11" t="s">
        <v>21</v>
      </c>
      <c r="AY212" s="166" t="s">
        <v>167</v>
      </c>
    </row>
    <row r="213" spans="2:65" s="1" customFormat="1" ht="22.5" customHeight="1">
      <c r="B213" s="141"/>
      <c r="C213" s="178" t="s">
        <v>623</v>
      </c>
      <c r="D213" s="178" t="s">
        <v>317</v>
      </c>
      <c r="E213" s="179" t="s">
        <v>761</v>
      </c>
      <c r="F213" s="313" t="s">
        <v>762</v>
      </c>
      <c r="G213" s="313"/>
      <c r="H213" s="313"/>
      <c r="I213" s="313"/>
      <c r="J213" s="180" t="s">
        <v>210</v>
      </c>
      <c r="K213" s="181">
        <v>0.01</v>
      </c>
      <c r="L213" s="314"/>
      <c r="M213" s="314"/>
      <c r="N213" s="314">
        <f>ROUND(L213*K213,2)</f>
        <v>0</v>
      </c>
      <c r="O213" s="294"/>
      <c r="P213" s="294"/>
      <c r="Q213" s="294"/>
      <c r="R213" s="146"/>
      <c r="T213" s="147" t="s">
        <v>5</v>
      </c>
      <c r="U213" s="44" t="s">
        <v>43</v>
      </c>
      <c r="V213" s="148">
        <v>0</v>
      </c>
      <c r="W213" s="148">
        <f>V213*K213</f>
        <v>0</v>
      </c>
      <c r="X213" s="148">
        <v>1</v>
      </c>
      <c r="Y213" s="148">
        <f>X213*K213</f>
        <v>0.01</v>
      </c>
      <c r="Z213" s="148">
        <v>0</v>
      </c>
      <c r="AA213" s="149">
        <f>Z213*K213</f>
        <v>0</v>
      </c>
      <c r="AR213" s="21" t="s">
        <v>477</v>
      </c>
      <c r="AT213" s="21" t="s">
        <v>317</v>
      </c>
      <c r="AU213" s="21" t="s">
        <v>135</v>
      </c>
      <c r="AY213" s="21" t="s">
        <v>167</v>
      </c>
      <c r="BE213" s="150">
        <f>IF(U213="základní",N213,0)</f>
        <v>0</v>
      </c>
      <c r="BF213" s="150">
        <f>IF(U213="snížená",N213,0)</f>
        <v>0</v>
      </c>
      <c r="BG213" s="150">
        <f>IF(U213="zákl. přenesená",N213,0)</f>
        <v>0</v>
      </c>
      <c r="BH213" s="150">
        <f>IF(U213="sníž. přenesená",N213,0)</f>
        <v>0</v>
      </c>
      <c r="BI213" s="150">
        <f>IF(U213="nulová",N213,0)</f>
        <v>0</v>
      </c>
      <c r="BJ213" s="21" t="s">
        <v>21</v>
      </c>
      <c r="BK213" s="150">
        <f>ROUND(L213*K213,2)</f>
        <v>0</v>
      </c>
      <c r="BL213" s="21" t="s">
        <v>281</v>
      </c>
      <c r="BM213" s="21" t="s">
        <v>763</v>
      </c>
    </row>
    <row r="214" spans="2:65" s="1" customFormat="1" ht="31.5" customHeight="1">
      <c r="B214" s="141"/>
      <c r="C214" s="142" t="s">
        <v>628</v>
      </c>
      <c r="D214" s="142" t="s">
        <v>168</v>
      </c>
      <c r="E214" s="143" t="s">
        <v>764</v>
      </c>
      <c r="F214" s="293" t="s">
        <v>765</v>
      </c>
      <c r="G214" s="293"/>
      <c r="H214" s="293"/>
      <c r="I214" s="293"/>
      <c r="J214" s="144" t="s">
        <v>199</v>
      </c>
      <c r="K214" s="145">
        <v>33.405</v>
      </c>
      <c r="L214" s="294"/>
      <c r="M214" s="294"/>
      <c r="N214" s="294">
        <f>ROUND(L214*K214,2)</f>
        <v>0</v>
      </c>
      <c r="O214" s="294"/>
      <c r="P214" s="294"/>
      <c r="Q214" s="294"/>
      <c r="R214" s="146"/>
      <c r="T214" s="147" t="s">
        <v>5</v>
      </c>
      <c r="U214" s="44" t="s">
        <v>43</v>
      </c>
      <c r="V214" s="148">
        <v>0.033</v>
      </c>
      <c r="W214" s="148">
        <f>V214*K214</f>
        <v>1.102365</v>
      </c>
      <c r="X214" s="148">
        <v>0</v>
      </c>
      <c r="Y214" s="148">
        <f>X214*K214</f>
        <v>0</v>
      </c>
      <c r="Z214" s="148">
        <v>0</v>
      </c>
      <c r="AA214" s="149">
        <f>Z214*K214</f>
        <v>0</v>
      </c>
      <c r="AR214" s="21" t="s">
        <v>281</v>
      </c>
      <c r="AT214" s="21" t="s">
        <v>168</v>
      </c>
      <c r="AU214" s="21" t="s">
        <v>135</v>
      </c>
      <c r="AY214" s="21" t="s">
        <v>167</v>
      </c>
      <c r="BE214" s="150">
        <f>IF(U214="základní",N214,0)</f>
        <v>0</v>
      </c>
      <c r="BF214" s="150">
        <f>IF(U214="snížená",N214,0)</f>
        <v>0</v>
      </c>
      <c r="BG214" s="150">
        <f>IF(U214="zákl. přenesená",N214,0)</f>
        <v>0</v>
      </c>
      <c r="BH214" s="150">
        <f>IF(U214="sníž. přenesená",N214,0)</f>
        <v>0</v>
      </c>
      <c r="BI214" s="150">
        <f>IF(U214="nulová",N214,0)</f>
        <v>0</v>
      </c>
      <c r="BJ214" s="21" t="s">
        <v>21</v>
      </c>
      <c r="BK214" s="150">
        <f>ROUND(L214*K214,2)</f>
        <v>0</v>
      </c>
      <c r="BL214" s="21" t="s">
        <v>281</v>
      </c>
      <c r="BM214" s="21" t="s">
        <v>766</v>
      </c>
    </row>
    <row r="215" spans="2:51" s="10" customFormat="1" ht="22.5" customHeight="1">
      <c r="B215" s="151"/>
      <c r="C215" s="152"/>
      <c r="D215" s="152"/>
      <c r="E215" s="153" t="s">
        <v>5</v>
      </c>
      <c r="F215" s="300" t="s">
        <v>767</v>
      </c>
      <c r="G215" s="301"/>
      <c r="H215" s="301"/>
      <c r="I215" s="301"/>
      <c r="J215" s="152"/>
      <c r="K215" s="154" t="s">
        <v>5</v>
      </c>
      <c r="L215" s="152"/>
      <c r="M215" s="152"/>
      <c r="N215" s="152"/>
      <c r="O215" s="152"/>
      <c r="P215" s="152"/>
      <c r="Q215" s="152"/>
      <c r="R215" s="155"/>
      <c r="T215" s="156"/>
      <c r="U215" s="152"/>
      <c r="V215" s="152"/>
      <c r="W215" s="152"/>
      <c r="X215" s="152"/>
      <c r="Y215" s="152"/>
      <c r="Z215" s="152"/>
      <c r="AA215" s="157"/>
      <c r="AT215" s="158" t="s">
        <v>179</v>
      </c>
      <c r="AU215" s="158" t="s">
        <v>135</v>
      </c>
      <c r="AV215" s="10" t="s">
        <v>21</v>
      </c>
      <c r="AW215" s="10" t="s">
        <v>35</v>
      </c>
      <c r="AX215" s="10" t="s">
        <v>78</v>
      </c>
      <c r="AY215" s="158" t="s">
        <v>167</v>
      </c>
    </row>
    <row r="216" spans="2:51" s="11" customFormat="1" ht="22.5" customHeight="1">
      <c r="B216" s="159"/>
      <c r="C216" s="160"/>
      <c r="D216" s="160"/>
      <c r="E216" s="161" t="s">
        <v>5</v>
      </c>
      <c r="F216" s="302" t="s">
        <v>768</v>
      </c>
      <c r="G216" s="303"/>
      <c r="H216" s="303"/>
      <c r="I216" s="303"/>
      <c r="J216" s="160"/>
      <c r="K216" s="162">
        <v>33.405</v>
      </c>
      <c r="L216" s="160"/>
      <c r="M216" s="160"/>
      <c r="N216" s="160"/>
      <c r="O216" s="160"/>
      <c r="P216" s="160"/>
      <c r="Q216" s="160"/>
      <c r="R216" s="163"/>
      <c r="T216" s="164"/>
      <c r="U216" s="160"/>
      <c r="V216" s="160"/>
      <c r="W216" s="160"/>
      <c r="X216" s="160"/>
      <c r="Y216" s="160"/>
      <c r="Z216" s="160"/>
      <c r="AA216" s="165"/>
      <c r="AT216" s="166" t="s">
        <v>179</v>
      </c>
      <c r="AU216" s="166" t="s">
        <v>135</v>
      </c>
      <c r="AV216" s="11" t="s">
        <v>135</v>
      </c>
      <c r="AW216" s="11" t="s">
        <v>35</v>
      </c>
      <c r="AX216" s="11" t="s">
        <v>21</v>
      </c>
      <c r="AY216" s="166" t="s">
        <v>167</v>
      </c>
    </row>
    <row r="217" spans="2:65" s="1" customFormat="1" ht="22.5" customHeight="1">
      <c r="B217" s="141"/>
      <c r="C217" s="178" t="s">
        <v>633</v>
      </c>
      <c r="D217" s="178" t="s">
        <v>317</v>
      </c>
      <c r="E217" s="179" t="s">
        <v>769</v>
      </c>
      <c r="F217" s="313" t="s">
        <v>770</v>
      </c>
      <c r="G217" s="313"/>
      <c r="H217" s="313"/>
      <c r="I217" s="313"/>
      <c r="J217" s="180" t="s">
        <v>199</v>
      </c>
      <c r="K217" s="181">
        <v>35</v>
      </c>
      <c r="L217" s="314"/>
      <c r="M217" s="314"/>
      <c r="N217" s="314">
        <f>ROUND(L217*K217,2)</f>
        <v>0</v>
      </c>
      <c r="O217" s="294"/>
      <c r="P217" s="294"/>
      <c r="Q217" s="294"/>
      <c r="R217" s="146"/>
      <c r="T217" s="147" t="s">
        <v>5</v>
      </c>
      <c r="U217" s="44" t="s">
        <v>43</v>
      </c>
      <c r="V217" s="148">
        <v>0</v>
      </c>
      <c r="W217" s="148">
        <f>V217*K217</f>
        <v>0</v>
      </c>
      <c r="X217" s="148">
        <v>0.00064</v>
      </c>
      <c r="Y217" s="148">
        <f>X217*K217</f>
        <v>0.022400000000000003</v>
      </c>
      <c r="Z217" s="148">
        <v>0</v>
      </c>
      <c r="AA217" s="149">
        <f>Z217*K217</f>
        <v>0</v>
      </c>
      <c r="AR217" s="21" t="s">
        <v>477</v>
      </c>
      <c r="AT217" s="21" t="s">
        <v>317</v>
      </c>
      <c r="AU217" s="21" t="s">
        <v>135</v>
      </c>
      <c r="AY217" s="21" t="s">
        <v>167</v>
      </c>
      <c r="BE217" s="150">
        <f>IF(U217="základní",N217,0)</f>
        <v>0</v>
      </c>
      <c r="BF217" s="150">
        <f>IF(U217="snížená",N217,0)</f>
        <v>0</v>
      </c>
      <c r="BG217" s="150">
        <f>IF(U217="zákl. přenesená",N217,0)</f>
        <v>0</v>
      </c>
      <c r="BH217" s="150">
        <f>IF(U217="sníž. přenesená",N217,0)</f>
        <v>0</v>
      </c>
      <c r="BI217" s="150">
        <f>IF(U217="nulová",N217,0)</f>
        <v>0</v>
      </c>
      <c r="BJ217" s="21" t="s">
        <v>21</v>
      </c>
      <c r="BK217" s="150">
        <f>ROUND(L217*K217,2)</f>
        <v>0</v>
      </c>
      <c r="BL217" s="21" t="s">
        <v>281</v>
      </c>
      <c r="BM217" s="21" t="s">
        <v>771</v>
      </c>
    </row>
    <row r="218" spans="2:65" s="1" customFormat="1" ht="31.5" customHeight="1">
      <c r="B218" s="141"/>
      <c r="C218" s="142" t="s">
        <v>638</v>
      </c>
      <c r="D218" s="142" t="s">
        <v>168</v>
      </c>
      <c r="E218" s="143" t="s">
        <v>772</v>
      </c>
      <c r="F218" s="293" t="s">
        <v>773</v>
      </c>
      <c r="G218" s="293"/>
      <c r="H218" s="293"/>
      <c r="I218" s="293"/>
      <c r="J218" s="144" t="s">
        <v>199</v>
      </c>
      <c r="K218" s="145">
        <v>43.365</v>
      </c>
      <c r="L218" s="294"/>
      <c r="M218" s="294"/>
      <c r="N218" s="294">
        <f>ROUND(L218*K218,2)</f>
        <v>0</v>
      </c>
      <c r="O218" s="294"/>
      <c r="P218" s="294"/>
      <c r="Q218" s="294"/>
      <c r="R218" s="146"/>
      <c r="T218" s="147" t="s">
        <v>5</v>
      </c>
      <c r="U218" s="44" t="s">
        <v>43</v>
      </c>
      <c r="V218" s="148">
        <v>0.222</v>
      </c>
      <c r="W218" s="148">
        <f>V218*K218</f>
        <v>9.627030000000001</v>
      </c>
      <c r="X218" s="148">
        <v>0.0004</v>
      </c>
      <c r="Y218" s="148">
        <f>X218*K218</f>
        <v>0.017346</v>
      </c>
      <c r="Z218" s="148">
        <v>0</v>
      </c>
      <c r="AA218" s="149">
        <f>Z218*K218</f>
        <v>0</v>
      </c>
      <c r="AR218" s="21" t="s">
        <v>281</v>
      </c>
      <c r="AT218" s="21" t="s">
        <v>168</v>
      </c>
      <c r="AU218" s="21" t="s">
        <v>135</v>
      </c>
      <c r="AY218" s="21" t="s">
        <v>167</v>
      </c>
      <c r="BE218" s="150">
        <f>IF(U218="základní",N218,0)</f>
        <v>0</v>
      </c>
      <c r="BF218" s="150">
        <f>IF(U218="snížená",N218,0)</f>
        <v>0</v>
      </c>
      <c r="BG218" s="150">
        <f>IF(U218="zákl. přenesená",N218,0)</f>
        <v>0</v>
      </c>
      <c r="BH218" s="150">
        <f>IF(U218="sníž. přenesená",N218,0)</f>
        <v>0</v>
      </c>
      <c r="BI218" s="150">
        <f>IF(U218="nulová",N218,0)</f>
        <v>0</v>
      </c>
      <c r="BJ218" s="21" t="s">
        <v>21</v>
      </c>
      <c r="BK218" s="150">
        <f>ROUND(L218*K218,2)</f>
        <v>0</v>
      </c>
      <c r="BL218" s="21" t="s">
        <v>281</v>
      </c>
      <c r="BM218" s="21" t="s">
        <v>774</v>
      </c>
    </row>
    <row r="219" spans="2:65" s="1" customFormat="1" ht="31.5" customHeight="1">
      <c r="B219" s="141"/>
      <c r="C219" s="178" t="s">
        <v>775</v>
      </c>
      <c r="D219" s="178" t="s">
        <v>317</v>
      </c>
      <c r="E219" s="179" t="s">
        <v>776</v>
      </c>
      <c r="F219" s="313" t="s">
        <v>777</v>
      </c>
      <c r="G219" s="313"/>
      <c r="H219" s="313"/>
      <c r="I219" s="313"/>
      <c r="J219" s="180" t="s">
        <v>199</v>
      </c>
      <c r="K219" s="181">
        <v>50</v>
      </c>
      <c r="L219" s="314"/>
      <c r="M219" s="314"/>
      <c r="N219" s="314">
        <f>ROUND(L219*K219,2)</f>
        <v>0</v>
      </c>
      <c r="O219" s="294"/>
      <c r="P219" s="294"/>
      <c r="Q219" s="294"/>
      <c r="R219" s="146"/>
      <c r="T219" s="147" t="s">
        <v>5</v>
      </c>
      <c r="U219" s="44" t="s">
        <v>43</v>
      </c>
      <c r="V219" s="148">
        <v>0</v>
      </c>
      <c r="W219" s="148">
        <f>V219*K219</f>
        <v>0</v>
      </c>
      <c r="X219" s="148">
        <v>0.0045</v>
      </c>
      <c r="Y219" s="148">
        <f>X219*K219</f>
        <v>0.22499999999999998</v>
      </c>
      <c r="Z219" s="148">
        <v>0</v>
      </c>
      <c r="AA219" s="149">
        <f>Z219*K219</f>
        <v>0</v>
      </c>
      <c r="AR219" s="21" t="s">
        <v>477</v>
      </c>
      <c r="AT219" s="21" t="s">
        <v>317</v>
      </c>
      <c r="AU219" s="21" t="s">
        <v>135</v>
      </c>
      <c r="AY219" s="21" t="s">
        <v>167</v>
      </c>
      <c r="BE219" s="150">
        <f>IF(U219="základní",N219,0)</f>
        <v>0</v>
      </c>
      <c r="BF219" s="150">
        <f>IF(U219="snížená",N219,0)</f>
        <v>0</v>
      </c>
      <c r="BG219" s="150">
        <f>IF(U219="zákl. přenesená",N219,0)</f>
        <v>0</v>
      </c>
      <c r="BH219" s="150">
        <f>IF(U219="sníž. přenesená",N219,0)</f>
        <v>0</v>
      </c>
      <c r="BI219" s="150">
        <f>IF(U219="nulová",N219,0)</f>
        <v>0</v>
      </c>
      <c r="BJ219" s="21" t="s">
        <v>21</v>
      </c>
      <c r="BK219" s="150">
        <f>ROUND(L219*K219,2)</f>
        <v>0</v>
      </c>
      <c r="BL219" s="21" t="s">
        <v>281</v>
      </c>
      <c r="BM219" s="21" t="s">
        <v>778</v>
      </c>
    </row>
    <row r="220" spans="2:65" s="1" customFormat="1" ht="31.5" customHeight="1">
      <c r="B220" s="141"/>
      <c r="C220" s="142" t="s">
        <v>779</v>
      </c>
      <c r="D220" s="142" t="s">
        <v>168</v>
      </c>
      <c r="E220" s="143" t="s">
        <v>780</v>
      </c>
      <c r="F220" s="293" t="s">
        <v>781</v>
      </c>
      <c r="G220" s="293"/>
      <c r="H220" s="293"/>
      <c r="I220" s="293"/>
      <c r="J220" s="144" t="s">
        <v>210</v>
      </c>
      <c r="K220" s="145">
        <v>0.275</v>
      </c>
      <c r="L220" s="294"/>
      <c r="M220" s="294"/>
      <c r="N220" s="294">
        <f>ROUND(L220*K220,2)</f>
        <v>0</v>
      </c>
      <c r="O220" s="294"/>
      <c r="P220" s="294"/>
      <c r="Q220" s="294"/>
      <c r="R220" s="146"/>
      <c r="T220" s="147" t="s">
        <v>5</v>
      </c>
      <c r="U220" s="44" t="s">
        <v>43</v>
      </c>
      <c r="V220" s="148">
        <v>1.567</v>
      </c>
      <c r="W220" s="148">
        <f>V220*K220</f>
        <v>0.430925</v>
      </c>
      <c r="X220" s="148">
        <v>0</v>
      </c>
      <c r="Y220" s="148">
        <f>X220*K220</f>
        <v>0</v>
      </c>
      <c r="Z220" s="148">
        <v>0</v>
      </c>
      <c r="AA220" s="149">
        <f>Z220*K220</f>
        <v>0</v>
      </c>
      <c r="AR220" s="21" t="s">
        <v>281</v>
      </c>
      <c r="AT220" s="21" t="s">
        <v>168</v>
      </c>
      <c r="AU220" s="21" t="s">
        <v>135</v>
      </c>
      <c r="AY220" s="21" t="s">
        <v>167</v>
      </c>
      <c r="BE220" s="150">
        <f>IF(U220="základní",N220,0)</f>
        <v>0</v>
      </c>
      <c r="BF220" s="150">
        <f>IF(U220="snížená",N220,0)</f>
        <v>0</v>
      </c>
      <c r="BG220" s="150">
        <f>IF(U220="zákl. přenesená",N220,0)</f>
        <v>0</v>
      </c>
      <c r="BH220" s="150">
        <f>IF(U220="sníž. přenesená",N220,0)</f>
        <v>0</v>
      </c>
      <c r="BI220" s="150">
        <f>IF(U220="nulová",N220,0)</f>
        <v>0</v>
      </c>
      <c r="BJ220" s="21" t="s">
        <v>21</v>
      </c>
      <c r="BK220" s="150">
        <f>ROUND(L220*K220,2)</f>
        <v>0</v>
      </c>
      <c r="BL220" s="21" t="s">
        <v>281</v>
      </c>
      <c r="BM220" s="21" t="s">
        <v>782</v>
      </c>
    </row>
    <row r="221" spans="2:63" s="9" customFormat="1" ht="29.85" customHeight="1">
      <c r="B221" s="130"/>
      <c r="C221" s="131"/>
      <c r="D221" s="140" t="s">
        <v>644</v>
      </c>
      <c r="E221" s="140"/>
      <c r="F221" s="140"/>
      <c r="G221" s="140"/>
      <c r="H221" s="140"/>
      <c r="I221" s="140"/>
      <c r="J221" s="140"/>
      <c r="K221" s="140"/>
      <c r="L221" s="140"/>
      <c r="M221" s="140"/>
      <c r="N221" s="310">
        <f>BK221</f>
        <v>0</v>
      </c>
      <c r="O221" s="311"/>
      <c r="P221" s="311"/>
      <c r="Q221" s="311"/>
      <c r="R221" s="133"/>
      <c r="T221" s="134"/>
      <c r="U221" s="131"/>
      <c r="V221" s="131"/>
      <c r="W221" s="135">
        <f>SUM(W222:W232)</f>
        <v>10.009575</v>
      </c>
      <c r="X221" s="131"/>
      <c r="Y221" s="135">
        <f>SUM(Y222:Y232)</f>
        <v>0.274246</v>
      </c>
      <c r="Z221" s="131"/>
      <c r="AA221" s="136">
        <f>SUM(AA222:AA232)</f>
        <v>0</v>
      </c>
      <c r="AR221" s="137" t="s">
        <v>135</v>
      </c>
      <c r="AT221" s="138" t="s">
        <v>77</v>
      </c>
      <c r="AU221" s="138" t="s">
        <v>21</v>
      </c>
      <c r="AY221" s="137" t="s">
        <v>167</v>
      </c>
      <c r="BK221" s="139">
        <f>SUM(BK222:BK232)</f>
        <v>0</v>
      </c>
    </row>
    <row r="222" spans="2:65" s="1" customFormat="1" ht="22.5" customHeight="1">
      <c r="B222" s="141"/>
      <c r="C222" s="142" t="s">
        <v>783</v>
      </c>
      <c r="D222" s="142" t="s">
        <v>168</v>
      </c>
      <c r="E222" s="143" t="s">
        <v>784</v>
      </c>
      <c r="F222" s="293" t="s">
        <v>785</v>
      </c>
      <c r="G222" s="293"/>
      <c r="H222" s="293"/>
      <c r="I222" s="293"/>
      <c r="J222" s="144" t="s">
        <v>199</v>
      </c>
      <c r="K222" s="145">
        <v>33.405</v>
      </c>
      <c r="L222" s="294"/>
      <c r="M222" s="294"/>
      <c r="N222" s="294">
        <f>ROUND(L222*K222,2)</f>
        <v>0</v>
      </c>
      <c r="O222" s="294"/>
      <c r="P222" s="294"/>
      <c r="Q222" s="294"/>
      <c r="R222" s="146"/>
      <c r="T222" s="147" t="s">
        <v>5</v>
      </c>
      <c r="U222" s="44" t="s">
        <v>43</v>
      </c>
      <c r="V222" s="148">
        <v>0.023</v>
      </c>
      <c r="W222" s="148">
        <f>V222*K222</f>
        <v>0.768315</v>
      </c>
      <c r="X222" s="148">
        <v>0</v>
      </c>
      <c r="Y222" s="148">
        <f>X222*K222</f>
        <v>0</v>
      </c>
      <c r="Z222" s="148">
        <v>0</v>
      </c>
      <c r="AA222" s="149">
        <f>Z222*K222</f>
        <v>0</v>
      </c>
      <c r="AR222" s="21" t="s">
        <v>281</v>
      </c>
      <c r="AT222" s="21" t="s">
        <v>168</v>
      </c>
      <c r="AU222" s="21" t="s">
        <v>135</v>
      </c>
      <c r="AY222" s="21" t="s">
        <v>167</v>
      </c>
      <c r="BE222" s="150">
        <f>IF(U222="základní",N222,0)</f>
        <v>0</v>
      </c>
      <c r="BF222" s="150">
        <f>IF(U222="snížená",N222,0)</f>
        <v>0</v>
      </c>
      <c r="BG222" s="150">
        <f>IF(U222="zákl. přenesená",N222,0)</f>
        <v>0</v>
      </c>
      <c r="BH222" s="150">
        <f>IF(U222="sníž. přenesená",N222,0)</f>
        <v>0</v>
      </c>
      <c r="BI222" s="150">
        <f>IF(U222="nulová",N222,0)</f>
        <v>0</v>
      </c>
      <c r="BJ222" s="21" t="s">
        <v>21</v>
      </c>
      <c r="BK222" s="150">
        <f>ROUND(L222*K222,2)</f>
        <v>0</v>
      </c>
      <c r="BL222" s="21" t="s">
        <v>281</v>
      </c>
      <c r="BM222" s="21" t="s">
        <v>786</v>
      </c>
    </row>
    <row r="223" spans="2:51" s="11" customFormat="1" ht="22.5" customHeight="1">
      <c r="B223" s="159"/>
      <c r="C223" s="160"/>
      <c r="D223" s="160"/>
      <c r="E223" s="161" t="s">
        <v>5</v>
      </c>
      <c r="F223" s="308" t="s">
        <v>768</v>
      </c>
      <c r="G223" s="309"/>
      <c r="H223" s="309"/>
      <c r="I223" s="309"/>
      <c r="J223" s="160"/>
      <c r="K223" s="162">
        <v>33.405</v>
      </c>
      <c r="L223" s="160"/>
      <c r="M223" s="160"/>
      <c r="N223" s="160"/>
      <c r="O223" s="160"/>
      <c r="P223" s="160"/>
      <c r="Q223" s="160"/>
      <c r="R223" s="163"/>
      <c r="T223" s="164"/>
      <c r="U223" s="160"/>
      <c r="V223" s="160"/>
      <c r="W223" s="160"/>
      <c r="X223" s="160"/>
      <c r="Y223" s="160"/>
      <c r="Z223" s="160"/>
      <c r="AA223" s="165"/>
      <c r="AT223" s="166" t="s">
        <v>179</v>
      </c>
      <c r="AU223" s="166" t="s">
        <v>135</v>
      </c>
      <c r="AV223" s="11" t="s">
        <v>135</v>
      </c>
      <c r="AW223" s="11" t="s">
        <v>35</v>
      </c>
      <c r="AX223" s="11" t="s">
        <v>21</v>
      </c>
      <c r="AY223" s="166" t="s">
        <v>167</v>
      </c>
    </row>
    <row r="224" spans="2:65" s="1" customFormat="1" ht="31.5" customHeight="1">
      <c r="B224" s="141"/>
      <c r="C224" s="142" t="s">
        <v>787</v>
      </c>
      <c r="D224" s="142" t="s">
        <v>168</v>
      </c>
      <c r="E224" s="143" t="s">
        <v>788</v>
      </c>
      <c r="F224" s="293" t="s">
        <v>789</v>
      </c>
      <c r="G224" s="293"/>
      <c r="H224" s="293"/>
      <c r="I224" s="293"/>
      <c r="J224" s="144" t="s">
        <v>199</v>
      </c>
      <c r="K224" s="145">
        <v>33.405</v>
      </c>
      <c r="L224" s="294"/>
      <c r="M224" s="294"/>
      <c r="N224" s="294">
        <f>ROUND(L224*K224,2)</f>
        <v>0</v>
      </c>
      <c r="O224" s="294"/>
      <c r="P224" s="294"/>
      <c r="Q224" s="294"/>
      <c r="R224" s="146"/>
      <c r="T224" s="147" t="s">
        <v>5</v>
      </c>
      <c r="U224" s="44" t="s">
        <v>43</v>
      </c>
      <c r="V224" s="148">
        <v>0.06</v>
      </c>
      <c r="W224" s="148">
        <f>V224*K224</f>
        <v>2.0043</v>
      </c>
      <c r="X224" s="148">
        <v>0</v>
      </c>
      <c r="Y224" s="148">
        <f>X224*K224</f>
        <v>0</v>
      </c>
      <c r="Z224" s="148">
        <v>0</v>
      </c>
      <c r="AA224" s="149">
        <f>Z224*K224</f>
        <v>0</v>
      </c>
      <c r="AR224" s="21" t="s">
        <v>281</v>
      </c>
      <c r="AT224" s="21" t="s">
        <v>168</v>
      </c>
      <c r="AU224" s="21" t="s">
        <v>135</v>
      </c>
      <c r="AY224" s="21" t="s">
        <v>167</v>
      </c>
      <c r="BE224" s="150">
        <f>IF(U224="základní",N224,0)</f>
        <v>0</v>
      </c>
      <c r="BF224" s="150">
        <f>IF(U224="snížená",N224,0)</f>
        <v>0</v>
      </c>
      <c r="BG224" s="150">
        <f>IF(U224="zákl. přenesená",N224,0)</f>
        <v>0</v>
      </c>
      <c r="BH224" s="150">
        <f>IF(U224="sníž. přenesená",N224,0)</f>
        <v>0</v>
      </c>
      <c r="BI224" s="150">
        <f>IF(U224="nulová",N224,0)</f>
        <v>0</v>
      </c>
      <c r="BJ224" s="21" t="s">
        <v>21</v>
      </c>
      <c r="BK224" s="150">
        <f>ROUND(L224*K224,2)</f>
        <v>0</v>
      </c>
      <c r="BL224" s="21" t="s">
        <v>281</v>
      </c>
      <c r="BM224" s="21" t="s">
        <v>790</v>
      </c>
    </row>
    <row r="225" spans="2:65" s="1" customFormat="1" ht="31.5" customHeight="1">
      <c r="B225" s="141"/>
      <c r="C225" s="178" t="s">
        <v>791</v>
      </c>
      <c r="D225" s="178" t="s">
        <v>317</v>
      </c>
      <c r="E225" s="179" t="s">
        <v>792</v>
      </c>
      <c r="F225" s="313" t="s">
        <v>793</v>
      </c>
      <c r="G225" s="313"/>
      <c r="H225" s="313"/>
      <c r="I225" s="313"/>
      <c r="J225" s="180" t="s">
        <v>199</v>
      </c>
      <c r="K225" s="181">
        <v>36</v>
      </c>
      <c r="L225" s="314"/>
      <c r="M225" s="314"/>
      <c r="N225" s="314">
        <f>ROUND(L225*K225,2)</f>
        <v>0</v>
      </c>
      <c r="O225" s="294"/>
      <c r="P225" s="294"/>
      <c r="Q225" s="294"/>
      <c r="R225" s="146"/>
      <c r="T225" s="147" t="s">
        <v>5</v>
      </c>
      <c r="U225" s="44" t="s">
        <v>43</v>
      </c>
      <c r="V225" s="148">
        <v>0</v>
      </c>
      <c r="W225" s="148">
        <f>V225*K225</f>
        <v>0</v>
      </c>
      <c r="X225" s="148">
        <v>0.0015</v>
      </c>
      <c r="Y225" s="148">
        <f>X225*K225</f>
        <v>0.054</v>
      </c>
      <c r="Z225" s="148">
        <v>0</v>
      </c>
      <c r="AA225" s="149">
        <f>Z225*K225</f>
        <v>0</v>
      </c>
      <c r="AR225" s="21" t="s">
        <v>477</v>
      </c>
      <c r="AT225" s="21" t="s">
        <v>317</v>
      </c>
      <c r="AU225" s="21" t="s">
        <v>135</v>
      </c>
      <c r="AY225" s="21" t="s">
        <v>167</v>
      </c>
      <c r="BE225" s="150">
        <f>IF(U225="základní",N225,0)</f>
        <v>0</v>
      </c>
      <c r="BF225" s="150">
        <f>IF(U225="snížená",N225,0)</f>
        <v>0</v>
      </c>
      <c r="BG225" s="150">
        <f>IF(U225="zákl. přenesená",N225,0)</f>
        <v>0</v>
      </c>
      <c r="BH225" s="150">
        <f>IF(U225="sníž. přenesená",N225,0)</f>
        <v>0</v>
      </c>
      <c r="BI225" s="150">
        <f>IF(U225="nulová",N225,0)</f>
        <v>0</v>
      </c>
      <c r="BJ225" s="21" t="s">
        <v>21</v>
      </c>
      <c r="BK225" s="150">
        <f>ROUND(L225*K225,2)</f>
        <v>0</v>
      </c>
      <c r="BL225" s="21" t="s">
        <v>281</v>
      </c>
      <c r="BM225" s="21" t="s">
        <v>794</v>
      </c>
    </row>
    <row r="226" spans="2:65" s="1" customFormat="1" ht="31.5" customHeight="1">
      <c r="B226" s="141"/>
      <c r="C226" s="142" t="s">
        <v>795</v>
      </c>
      <c r="D226" s="142" t="s">
        <v>168</v>
      </c>
      <c r="E226" s="143" t="s">
        <v>796</v>
      </c>
      <c r="F226" s="293" t="s">
        <v>797</v>
      </c>
      <c r="G226" s="293"/>
      <c r="H226" s="293"/>
      <c r="I226" s="293"/>
      <c r="J226" s="144" t="s">
        <v>199</v>
      </c>
      <c r="K226" s="145">
        <v>66.81</v>
      </c>
      <c r="L226" s="294"/>
      <c r="M226" s="294"/>
      <c r="N226" s="294">
        <f>ROUND(L226*K226,2)</f>
        <v>0</v>
      </c>
      <c r="O226" s="294"/>
      <c r="P226" s="294"/>
      <c r="Q226" s="294"/>
      <c r="R226" s="146"/>
      <c r="T226" s="147" t="s">
        <v>5</v>
      </c>
      <c r="U226" s="44" t="s">
        <v>43</v>
      </c>
      <c r="V226" s="148">
        <v>0.09</v>
      </c>
      <c r="W226" s="148">
        <f>V226*K226</f>
        <v>6.0129</v>
      </c>
      <c r="X226" s="148">
        <v>0</v>
      </c>
      <c r="Y226" s="148">
        <f>X226*K226</f>
        <v>0</v>
      </c>
      <c r="Z226" s="148">
        <v>0</v>
      </c>
      <c r="AA226" s="149">
        <f>Z226*K226</f>
        <v>0</v>
      </c>
      <c r="AR226" s="21" t="s">
        <v>281</v>
      </c>
      <c r="AT226" s="21" t="s">
        <v>168</v>
      </c>
      <c r="AU226" s="21" t="s">
        <v>135</v>
      </c>
      <c r="AY226" s="21" t="s">
        <v>167</v>
      </c>
      <c r="BE226" s="150">
        <f>IF(U226="základní",N226,0)</f>
        <v>0</v>
      </c>
      <c r="BF226" s="150">
        <f>IF(U226="snížená",N226,0)</f>
        <v>0</v>
      </c>
      <c r="BG226" s="150">
        <f>IF(U226="zákl. přenesená",N226,0)</f>
        <v>0</v>
      </c>
      <c r="BH226" s="150">
        <f>IF(U226="sníž. přenesená",N226,0)</f>
        <v>0</v>
      </c>
      <c r="BI226" s="150">
        <f>IF(U226="nulová",N226,0)</f>
        <v>0</v>
      </c>
      <c r="BJ226" s="21" t="s">
        <v>21</v>
      </c>
      <c r="BK226" s="150">
        <f>ROUND(L226*K226,2)</f>
        <v>0</v>
      </c>
      <c r="BL226" s="21" t="s">
        <v>281</v>
      </c>
      <c r="BM226" s="21" t="s">
        <v>798</v>
      </c>
    </row>
    <row r="227" spans="2:51" s="11" customFormat="1" ht="22.5" customHeight="1">
      <c r="B227" s="159"/>
      <c r="C227" s="160"/>
      <c r="D227" s="160"/>
      <c r="E227" s="161" t="s">
        <v>5</v>
      </c>
      <c r="F227" s="308" t="s">
        <v>799</v>
      </c>
      <c r="G227" s="309"/>
      <c r="H227" s="309"/>
      <c r="I227" s="309"/>
      <c r="J227" s="160"/>
      <c r="K227" s="162">
        <v>66.81</v>
      </c>
      <c r="L227" s="160"/>
      <c r="M227" s="160"/>
      <c r="N227" s="160"/>
      <c r="O227" s="160"/>
      <c r="P227" s="160"/>
      <c r="Q227" s="160"/>
      <c r="R227" s="163"/>
      <c r="T227" s="164"/>
      <c r="U227" s="160"/>
      <c r="V227" s="160"/>
      <c r="W227" s="160"/>
      <c r="X227" s="160"/>
      <c r="Y227" s="160"/>
      <c r="Z227" s="160"/>
      <c r="AA227" s="165"/>
      <c r="AT227" s="166" t="s">
        <v>179</v>
      </c>
      <c r="AU227" s="166" t="s">
        <v>135</v>
      </c>
      <c r="AV227" s="11" t="s">
        <v>135</v>
      </c>
      <c r="AW227" s="11" t="s">
        <v>35</v>
      </c>
      <c r="AX227" s="11" t="s">
        <v>21</v>
      </c>
      <c r="AY227" s="166" t="s">
        <v>167</v>
      </c>
    </row>
    <row r="228" spans="2:65" s="1" customFormat="1" ht="22.5" customHeight="1">
      <c r="B228" s="141"/>
      <c r="C228" s="178" t="s">
        <v>800</v>
      </c>
      <c r="D228" s="178" t="s">
        <v>317</v>
      </c>
      <c r="E228" s="179" t="s">
        <v>801</v>
      </c>
      <c r="F228" s="313" t="s">
        <v>802</v>
      </c>
      <c r="G228" s="313"/>
      <c r="H228" s="313"/>
      <c r="I228" s="313"/>
      <c r="J228" s="180" t="s">
        <v>199</v>
      </c>
      <c r="K228" s="181">
        <v>70</v>
      </c>
      <c r="L228" s="314"/>
      <c r="M228" s="314"/>
      <c r="N228" s="314">
        <f>ROUND(L228*K228,2)</f>
        <v>0</v>
      </c>
      <c r="O228" s="294"/>
      <c r="P228" s="294"/>
      <c r="Q228" s="294"/>
      <c r="R228" s="146"/>
      <c r="T228" s="147" t="s">
        <v>5</v>
      </c>
      <c r="U228" s="44" t="s">
        <v>43</v>
      </c>
      <c r="V228" s="148">
        <v>0</v>
      </c>
      <c r="W228" s="148">
        <f>V228*K228</f>
        <v>0</v>
      </c>
      <c r="X228" s="148">
        <v>0.0028</v>
      </c>
      <c r="Y228" s="148">
        <f>X228*K228</f>
        <v>0.196</v>
      </c>
      <c r="Z228" s="148">
        <v>0</v>
      </c>
      <c r="AA228" s="149">
        <f>Z228*K228</f>
        <v>0</v>
      </c>
      <c r="AR228" s="21" t="s">
        <v>477</v>
      </c>
      <c r="AT228" s="21" t="s">
        <v>317</v>
      </c>
      <c r="AU228" s="21" t="s">
        <v>135</v>
      </c>
      <c r="AY228" s="21" t="s">
        <v>167</v>
      </c>
      <c r="BE228" s="150">
        <f>IF(U228="základní",N228,0)</f>
        <v>0</v>
      </c>
      <c r="BF228" s="150">
        <f>IF(U228="snížená",N228,0)</f>
        <v>0</v>
      </c>
      <c r="BG228" s="150">
        <f>IF(U228="zákl. přenesená",N228,0)</f>
        <v>0</v>
      </c>
      <c r="BH228" s="150">
        <f>IF(U228="sníž. přenesená",N228,0)</f>
        <v>0</v>
      </c>
      <c r="BI228" s="150">
        <f>IF(U228="nulová",N228,0)</f>
        <v>0</v>
      </c>
      <c r="BJ228" s="21" t="s">
        <v>21</v>
      </c>
      <c r="BK228" s="150">
        <f>ROUND(L228*K228,2)</f>
        <v>0</v>
      </c>
      <c r="BL228" s="21" t="s">
        <v>281</v>
      </c>
      <c r="BM228" s="21" t="s">
        <v>803</v>
      </c>
    </row>
    <row r="229" spans="2:65" s="1" customFormat="1" ht="22.5" customHeight="1">
      <c r="B229" s="141"/>
      <c r="C229" s="142" t="s">
        <v>804</v>
      </c>
      <c r="D229" s="142" t="s">
        <v>168</v>
      </c>
      <c r="E229" s="143" t="s">
        <v>805</v>
      </c>
      <c r="F229" s="293" t="s">
        <v>806</v>
      </c>
      <c r="G229" s="293"/>
      <c r="H229" s="293"/>
      <c r="I229" s="293"/>
      <c r="J229" s="144" t="s">
        <v>199</v>
      </c>
      <c r="K229" s="145">
        <v>5.3</v>
      </c>
      <c r="L229" s="294"/>
      <c r="M229" s="294"/>
      <c r="N229" s="294">
        <f>ROUND(L229*K229,2)</f>
        <v>0</v>
      </c>
      <c r="O229" s="294"/>
      <c r="P229" s="294"/>
      <c r="Q229" s="294"/>
      <c r="R229" s="146"/>
      <c r="T229" s="147" t="s">
        <v>5</v>
      </c>
      <c r="U229" s="44" t="s">
        <v>43</v>
      </c>
      <c r="V229" s="148">
        <v>0.141</v>
      </c>
      <c r="W229" s="148">
        <f>V229*K229</f>
        <v>0.7472999999999999</v>
      </c>
      <c r="X229" s="148">
        <v>0.00032</v>
      </c>
      <c r="Y229" s="148">
        <f>X229*K229</f>
        <v>0.001696</v>
      </c>
      <c r="Z229" s="148">
        <v>0</v>
      </c>
      <c r="AA229" s="149">
        <f>Z229*K229</f>
        <v>0</v>
      </c>
      <c r="AR229" s="21" t="s">
        <v>281</v>
      </c>
      <c r="AT229" s="21" t="s">
        <v>168</v>
      </c>
      <c r="AU229" s="21" t="s">
        <v>135</v>
      </c>
      <c r="AY229" s="21" t="s">
        <v>167</v>
      </c>
      <c r="BE229" s="150">
        <f>IF(U229="základní",N229,0)</f>
        <v>0</v>
      </c>
      <c r="BF229" s="150">
        <f>IF(U229="snížená",N229,0)</f>
        <v>0</v>
      </c>
      <c r="BG229" s="150">
        <f>IF(U229="zákl. přenesená",N229,0)</f>
        <v>0</v>
      </c>
      <c r="BH229" s="150">
        <f>IF(U229="sníž. přenesená",N229,0)</f>
        <v>0</v>
      </c>
      <c r="BI229" s="150">
        <f>IF(U229="nulová",N229,0)</f>
        <v>0</v>
      </c>
      <c r="BJ229" s="21" t="s">
        <v>21</v>
      </c>
      <c r="BK229" s="150">
        <f>ROUND(L229*K229,2)</f>
        <v>0</v>
      </c>
      <c r="BL229" s="21" t="s">
        <v>281</v>
      </c>
      <c r="BM229" s="21" t="s">
        <v>807</v>
      </c>
    </row>
    <row r="230" spans="2:51" s="11" customFormat="1" ht="22.5" customHeight="1">
      <c r="B230" s="159"/>
      <c r="C230" s="160"/>
      <c r="D230" s="160"/>
      <c r="E230" s="161" t="s">
        <v>5</v>
      </c>
      <c r="F230" s="308" t="s">
        <v>808</v>
      </c>
      <c r="G230" s="309"/>
      <c r="H230" s="309"/>
      <c r="I230" s="309"/>
      <c r="J230" s="160"/>
      <c r="K230" s="162">
        <v>5.3</v>
      </c>
      <c r="L230" s="160"/>
      <c r="M230" s="160"/>
      <c r="N230" s="160"/>
      <c r="O230" s="160"/>
      <c r="P230" s="160"/>
      <c r="Q230" s="160"/>
      <c r="R230" s="163"/>
      <c r="T230" s="164"/>
      <c r="U230" s="160"/>
      <c r="V230" s="160"/>
      <c r="W230" s="160"/>
      <c r="X230" s="160"/>
      <c r="Y230" s="160"/>
      <c r="Z230" s="160"/>
      <c r="AA230" s="165"/>
      <c r="AT230" s="166" t="s">
        <v>179</v>
      </c>
      <c r="AU230" s="166" t="s">
        <v>135</v>
      </c>
      <c r="AV230" s="11" t="s">
        <v>135</v>
      </c>
      <c r="AW230" s="11" t="s">
        <v>35</v>
      </c>
      <c r="AX230" s="11" t="s">
        <v>21</v>
      </c>
      <c r="AY230" s="166" t="s">
        <v>167</v>
      </c>
    </row>
    <row r="231" spans="2:65" s="1" customFormat="1" ht="22.5" customHeight="1">
      <c r="B231" s="141"/>
      <c r="C231" s="178" t="s">
        <v>809</v>
      </c>
      <c r="D231" s="178" t="s">
        <v>317</v>
      </c>
      <c r="E231" s="179" t="s">
        <v>810</v>
      </c>
      <c r="F231" s="313" t="s">
        <v>811</v>
      </c>
      <c r="G231" s="313"/>
      <c r="H231" s="313"/>
      <c r="I231" s="313"/>
      <c r="J231" s="180" t="s">
        <v>199</v>
      </c>
      <c r="K231" s="181">
        <v>5.5</v>
      </c>
      <c r="L231" s="314"/>
      <c r="M231" s="314"/>
      <c r="N231" s="314">
        <f>ROUND(L231*K231,2)</f>
        <v>0</v>
      </c>
      <c r="O231" s="294"/>
      <c r="P231" s="294"/>
      <c r="Q231" s="294"/>
      <c r="R231" s="146"/>
      <c r="T231" s="147" t="s">
        <v>5</v>
      </c>
      <c r="U231" s="44" t="s">
        <v>43</v>
      </c>
      <c r="V231" s="148">
        <v>0</v>
      </c>
      <c r="W231" s="148">
        <f>V231*K231</f>
        <v>0</v>
      </c>
      <c r="X231" s="148">
        <v>0.0041</v>
      </c>
      <c r="Y231" s="148">
        <f>X231*K231</f>
        <v>0.02255</v>
      </c>
      <c r="Z231" s="148">
        <v>0</v>
      </c>
      <c r="AA231" s="149">
        <f>Z231*K231</f>
        <v>0</v>
      </c>
      <c r="AR231" s="21" t="s">
        <v>477</v>
      </c>
      <c r="AT231" s="21" t="s">
        <v>317</v>
      </c>
      <c r="AU231" s="21" t="s">
        <v>135</v>
      </c>
      <c r="AY231" s="21" t="s">
        <v>167</v>
      </c>
      <c r="BE231" s="150">
        <f>IF(U231="základní",N231,0)</f>
        <v>0</v>
      </c>
      <c r="BF231" s="150">
        <f>IF(U231="snížená",N231,0)</f>
        <v>0</v>
      </c>
      <c r="BG231" s="150">
        <f>IF(U231="zákl. přenesená",N231,0)</f>
        <v>0</v>
      </c>
      <c r="BH231" s="150">
        <f>IF(U231="sníž. přenesená",N231,0)</f>
        <v>0</v>
      </c>
      <c r="BI231" s="150">
        <f>IF(U231="nulová",N231,0)</f>
        <v>0</v>
      </c>
      <c r="BJ231" s="21" t="s">
        <v>21</v>
      </c>
      <c r="BK231" s="150">
        <f>ROUND(L231*K231,2)</f>
        <v>0</v>
      </c>
      <c r="BL231" s="21" t="s">
        <v>281</v>
      </c>
      <c r="BM231" s="21" t="s">
        <v>812</v>
      </c>
    </row>
    <row r="232" spans="2:65" s="1" customFormat="1" ht="31.5" customHeight="1">
      <c r="B232" s="141"/>
      <c r="C232" s="142" t="s">
        <v>813</v>
      </c>
      <c r="D232" s="142" t="s">
        <v>168</v>
      </c>
      <c r="E232" s="143" t="s">
        <v>814</v>
      </c>
      <c r="F232" s="293" t="s">
        <v>815</v>
      </c>
      <c r="G232" s="293"/>
      <c r="H232" s="293"/>
      <c r="I232" s="293"/>
      <c r="J232" s="144" t="s">
        <v>210</v>
      </c>
      <c r="K232" s="145">
        <v>0.274</v>
      </c>
      <c r="L232" s="294"/>
      <c r="M232" s="294"/>
      <c r="N232" s="294">
        <f>ROUND(L232*K232,2)</f>
        <v>0</v>
      </c>
      <c r="O232" s="294"/>
      <c r="P232" s="294"/>
      <c r="Q232" s="294"/>
      <c r="R232" s="146"/>
      <c r="T232" s="147" t="s">
        <v>5</v>
      </c>
      <c r="U232" s="44" t="s">
        <v>43</v>
      </c>
      <c r="V232" s="148">
        <v>1.74</v>
      </c>
      <c r="W232" s="148">
        <f>V232*K232</f>
        <v>0.47676</v>
      </c>
      <c r="X232" s="148">
        <v>0</v>
      </c>
      <c r="Y232" s="148">
        <f>X232*K232</f>
        <v>0</v>
      </c>
      <c r="Z232" s="148">
        <v>0</v>
      </c>
      <c r="AA232" s="149">
        <f>Z232*K232</f>
        <v>0</v>
      </c>
      <c r="AR232" s="21" t="s">
        <v>281</v>
      </c>
      <c r="AT232" s="21" t="s">
        <v>168</v>
      </c>
      <c r="AU232" s="21" t="s">
        <v>135</v>
      </c>
      <c r="AY232" s="21" t="s">
        <v>167</v>
      </c>
      <c r="BE232" s="150">
        <f>IF(U232="základní",N232,0)</f>
        <v>0</v>
      </c>
      <c r="BF232" s="150">
        <f>IF(U232="snížená",N232,0)</f>
        <v>0</v>
      </c>
      <c r="BG232" s="150">
        <f>IF(U232="zákl. přenesená",N232,0)</f>
        <v>0</v>
      </c>
      <c r="BH232" s="150">
        <f>IF(U232="sníž. přenesená",N232,0)</f>
        <v>0</v>
      </c>
      <c r="BI232" s="150">
        <f>IF(U232="nulová",N232,0)</f>
        <v>0</v>
      </c>
      <c r="BJ232" s="21" t="s">
        <v>21</v>
      </c>
      <c r="BK232" s="150">
        <f>ROUND(L232*K232,2)</f>
        <v>0</v>
      </c>
      <c r="BL232" s="21" t="s">
        <v>281</v>
      </c>
      <c r="BM232" s="21" t="s">
        <v>816</v>
      </c>
    </row>
    <row r="233" spans="2:63" s="9" customFormat="1" ht="29.85" customHeight="1">
      <c r="B233" s="130"/>
      <c r="C233" s="131"/>
      <c r="D233" s="140" t="s">
        <v>645</v>
      </c>
      <c r="E233" s="140"/>
      <c r="F233" s="140"/>
      <c r="G233" s="140"/>
      <c r="H233" s="140"/>
      <c r="I233" s="140"/>
      <c r="J233" s="140"/>
      <c r="K233" s="140"/>
      <c r="L233" s="140"/>
      <c r="M233" s="140"/>
      <c r="N233" s="310">
        <f>BK233</f>
        <v>0</v>
      </c>
      <c r="O233" s="311"/>
      <c r="P233" s="311"/>
      <c r="Q233" s="311"/>
      <c r="R233" s="133"/>
      <c r="T233" s="134"/>
      <c r="U233" s="131"/>
      <c r="V233" s="131"/>
      <c r="W233" s="135">
        <f>W234</f>
        <v>0.632</v>
      </c>
      <c r="X233" s="131"/>
      <c r="Y233" s="135">
        <f>Y234</f>
        <v>0.00168</v>
      </c>
      <c r="Z233" s="131"/>
      <c r="AA233" s="136">
        <f>AA234</f>
        <v>0</v>
      </c>
      <c r="AR233" s="137" t="s">
        <v>135</v>
      </c>
      <c r="AT233" s="138" t="s">
        <v>77</v>
      </c>
      <c r="AU233" s="138" t="s">
        <v>21</v>
      </c>
      <c r="AY233" s="137" t="s">
        <v>167</v>
      </c>
      <c r="BK233" s="139">
        <f>BK234</f>
        <v>0</v>
      </c>
    </row>
    <row r="234" spans="2:65" s="1" customFormat="1" ht="22.5" customHeight="1">
      <c r="B234" s="141"/>
      <c r="C234" s="142" t="s">
        <v>817</v>
      </c>
      <c r="D234" s="142" t="s">
        <v>168</v>
      </c>
      <c r="E234" s="143" t="s">
        <v>818</v>
      </c>
      <c r="F234" s="293" t="s">
        <v>819</v>
      </c>
      <c r="G234" s="293"/>
      <c r="H234" s="293"/>
      <c r="I234" s="293"/>
      <c r="J234" s="144" t="s">
        <v>171</v>
      </c>
      <c r="K234" s="145">
        <v>1</v>
      </c>
      <c r="L234" s="294"/>
      <c r="M234" s="294"/>
      <c r="N234" s="294">
        <f>ROUND(L234*K234,2)</f>
        <v>0</v>
      </c>
      <c r="O234" s="294"/>
      <c r="P234" s="294"/>
      <c r="Q234" s="294"/>
      <c r="R234" s="146"/>
      <c r="T234" s="147" t="s">
        <v>5</v>
      </c>
      <c r="U234" s="44" t="s">
        <v>43</v>
      </c>
      <c r="V234" s="148">
        <v>0.632</v>
      </c>
      <c r="W234" s="148">
        <f>V234*K234</f>
        <v>0.632</v>
      </c>
      <c r="X234" s="148">
        <v>0.00168</v>
      </c>
      <c r="Y234" s="148">
        <f>X234*K234</f>
        <v>0.00168</v>
      </c>
      <c r="Z234" s="148">
        <v>0</v>
      </c>
      <c r="AA234" s="149">
        <f>Z234*K234</f>
        <v>0</v>
      </c>
      <c r="AR234" s="21" t="s">
        <v>281</v>
      </c>
      <c r="AT234" s="21" t="s">
        <v>168</v>
      </c>
      <c r="AU234" s="21" t="s">
        <v>135</v>
      </c>
      <c r="AY234" s="21" t="s">
        <v>167</v>
      </c>
      <c r="BE234" s="150">
        <f>IF(U234="základní",N234,0)</f>
        <v>0</v>
      </c>
      <c r="BF234" s="150">
        <f>IF(U234="snížená",N234,0)</f>
        <v>0</v>
      </c>
      <c r="BG234" s="150">
        <f>IF(U234="zákl. přenesená",N234,0)</f>
        <v>0</v>
      </c>
      <c r="BH234" s="150">
        <f>IF(U234="sníž. přenesená",N234,0)</f>
        <v>0</v>
      </c>
      <c r="BI234" s="150">
        <f>IF(U234="nulová",N234,0)</f>
        <v>0</v>
      </c>
      <c r="BJ234" s="21" t="s">
        <v>21</v>
      </c>
      <c r="BK234" s="150">
        <f>ROUND(L234*K234,2)</f>
        <v>0</v>
      </c>
      <c r="BL234" s="21" t="s">
        <v>281</v>
      </c>
      <c r="BM234" s="21" t="s">
        <v>820</v>
      </c>
    </row>
    <row r="235" spans="2:63" s="9" customFormat="1" ht="29.85" customHeight="1">
      <c r="B235" s="130"/>
      <c r="C235" s="131"/>
      <c r="D235" s="140" t="s">
        <v>646</v>
      </c>
      <c r="E235" s="140"/>
      <c r="F235" s="140"/>
      <c r="G235" s="140"/>
      <c r="H235" s="140"/>
      <c r="I235" s="140"/>
      <c r="J235" s="140"/>
      <c r="K235" s="140"/>
      <c r="L235" s="140"/>
      <c r="M235" s="140"/>
      <c r="N235" s="310">
        <f>BK235</f>
        <v>0</v>
      </c>
      <c r="O235" s="311"/>
      <c r="P235" s="311"/>
      <c r="Q235" s="311"/>
      <c r="R235" s="133"/>
      <c r="T235" s="134"/>
      <c r="U235" s="131"/>
      <c r="V235" s="131"/>
      <c r="W235" s="135">
        <f>SUM(W236:W237)</f>
        <v>0.5</v>
      </c>
      <c r="X235" s="131"/>
      <c r="Y235" s="135">
        <f>SUM(Y236:Y237)</f>
        <v>0.00166</v>
      </c>
      <c r="Z235" s="131"/>
      <c r="AA235" s="136">
        <f>SUM(AA236:AA237)</f>
        <v>0</v>
      </c>
      <c r="AR235" s="137" t="s">
        <v>135</v>
      </c>
      <c r="AT235" s="138" t="s">
        <v>77</v>
      </c>
      <c r="AU235" s="138" t="s">
        <v>21</v>
      </c>
      <c r="AY235" s="137" t="s">
        <v>167</v>
      </c>
      <c r="BK235" s="139">
        <f>SUM(BK236:BK237)</f>
        <v>0</v>
      </c>
    </row>
    <row r="236" spans="2:65" s="1" customFormat="1" ht="22.5" customHeight="1">
      <c r="B236" s="141"/>
      <c r="C236" s="142" t="s">
        <v>821</v>
      </c>
      <c r="D236" s="142" t="s">
        <v>168</v>
      </c>
      <c r="E236" s="143" t="s">
        <v>822</v>
      </c>
      <c r="F236" s="293" t="s">
        <v>823</v>
      </c>
      <c r="G236" s="293"/>
      <c r="H236" s="293"/>
      <c r="I236" s="293"/>
      <c r="J236" s="144" t="s">
        <v>171</v>
      </c>
      <c r="K236" s="145">
        <v>1</v>
      </c>
      <c r="L236" s="294"/>
      <c r="M236" s="294"/>
      <c r="N236" s="294">
        <f>ROUND(L236*K236,2)</f>
        <v>0</v>
      </c>
      <c r="O236" s="294"/>
      <c r="P236" s="294"/>
      <c r="Q236" s="294"/>
      <c r="R236" s="146"/>
      <c r="T236" s="147" t="s">
        <v>5</v>
      </c>
      <c r="U236" s="44" t="s">
        <v>43</v>
      </c>
      <c r="V236" s="148">
        <v>0.25</v>
      </c>
      <c r="W236" s="148">
        <f>V236*K236</f>
        <v>0.25</v>
      </c>
      <c r="X236" s="148">
        <v>0.00083</v>
      </c>
      <c r="Y236" s="148">
        <f>X236*K236</f>
        <v>0.00083</v>
      </c>
      <c r="Z236" s="148">
        <v>0</v>
      </c>
      <c r="AA236" s="149">
        <f>Z236*K236</f>
        <v>0</v>
      </c>
      <c r="AR236" s="21" t="s">
        <v>281</v>
      </c>
      <c r="AT236" s="21" t="s">
        <v>168</v>
      </c>
      <c r="AU236" s="21" t="s">
        <v>135</v>
      </c>
      <c r="AY236" s="21" t="s">
        <v>167</v>
      </c>
      <c r="BE236" s="150">
        <f>IF(U236="základní",N236,0)</f>
        <v>0</v>
      </c>
      <c r="BF236" s="150">
        <f>IF(U236="snížená",N236,0)</f>
        <v>0</v>
      </c>
      <c r="BG236" s="150">
        <f>IF(U236="zákl. přenesená",N236,0)</f>
        <v>0</v>
      </c>
      <c r="BH236" s="150">
        <f>IF(U236="sníž. přenesená",N236,0)</f>
        <v>0</v>
      </c>
      <c r="BI236" s="150">
        <f>IF(U236="nulová",N236,0)</f>
        <v>0</v>
      </c>
      <c r="BJ236" s="21" t="s">
        <v>21</v>
      </c>
      <c r="BK236" s="150">
        <f>ROUND(L236*K236,2)</f>
        <v>0</v>
      </c>
      <c r="BL236" s="21" t="s">
        <v>281</v>
      </c>
      <c r="BM236" s="21" t="s">
        <v>824</v>
      </c>
    </row>
    <row r="237" spans="2:65" s="1" customFormat="1" ht="22.5" customHeight="1">
      <c r="B237" s="141"/>
      <c r="C237" s="142" t="s">
        <v>825</v>
      </c>
      <c r="D237" s="142" t="s">
        <v>168</v>
      </c>
      <c r="E237" s="143" t="s">
        <v>826</v>
      </c>
      <c r="F237" s="293" t="s">
        <v>827</v>
      </c>
      <c r="G237" s="293"/>
      <c r="H237" s="293"/>
      <c r="I237" s="293"/>
      <c r="J237" s="144" t="s">
        <v>171</v>
      </c>
      <c r="K237" s="145">
        <v>1</v>
      </c>
      <c r="L237" s="294"/>
      <c r="M237" s="294"/>
      <c r="N237" s="294">
        <f>ROUND(L237*K237,2)</f>
        <v>0</v>
      </c>
      <c r="O237" s="294"/>
      <c r="P237" s="294"/>
      <c r="Q237" s="294"/>
      <c r="R237" s="146"/>
      <c r="T237" s="147" t="s">
        <v>5</v>
      </c>
      <c r="U237" s="44" t="s">
        <v>43</v>
      </c>
      <c r="V237" s="148">
        <v>0.25</v>
      </c>
      <c r="W237" s="148">
        <f>V237*K237</f>
        <v>0.25</v>
      </c>
      <c r="X237" s="148">
        <v>0.00083</v>
      </c>
      <c r="Y237" s="148">
        <f>X237*K237</f>
        <v>0.00083</v>
      </c>
      <c r="Z237" s="148">
        <v>0</v>
      </c>
      <c r="AA237" s="149">
        <f>Z237*K237</f>
        <v>0</v>
      </c>
      <c r="AR237" s="21" t="s">
        <v>281</v>
      </c>
      <c r="AT237" s="21" t="s">
        <v>168</v>
      </c>
      <c r="AU237" s="21" t="s">
        <v>135</v>
      </c>
      <c r="AY237" s="21" t="s">
        <v>167</v>
      </c>
      <c r="BE237" s="150">
        <f>IF(U237="základní",N237,0)</f>
        <v>0</v>
      </c>
      <c r="BF237" s="150">
        <f>IF(U237="snížená",N237,0)</f>
        <v>0</v>
      </c>
      <c r="BG237" s="150">
        <f>IF(U237="zákl. přenesená",N237,0)</f>
        <v>0</v>
      </c>
      <c r="BH237" s="150">
        <f>IF(U237="sníž. přenesená",N237,0)</f>
        <v>0</v>
      </c>
      <c r="BI237" s="150">
        <f>IF(U237="nulová",N237,0)</f>
        <v>0</v>
      </c>
      <c r="BJ237" s="21" t="s">
        <v>21</v>
      </c>
      <c r="BK237" s="150">
        <f>ROUND(L237*K237,2)</f>
        <v>0</v>
      </c>
      <c r="BL237" s="21" t="s">
        <v>281</v>
      </c>
      <c r="BM237" s="21" t="s">
        <v>828</v>
      </c>
    </row>
    <row r="238" spans="2:63" s="9" customFormat="1" ht="29.85" customHeight="1">
      <c r="B238" s="130"/>
      <c r="C238" s="131"/>
      <c r="D238" s="140" t="s">
        <v>647</v>
      </c>
      <c r="E238" s="140"/>
      <c r="F238" s="140"/>
      <c r="G238" s="140"/>
      <c r="H238" s="140"/>
      <c r="I238" s="140"/>
      <c r="J238" s="140"/>
      <c r="K238" s="140"/>
      <c r="L238" s="140"/>
      <c r="M238" s="140"/>
      <c r="N238" s="310">
        <f>BK238</f>
        <v>0</v>
      </c>
      <c r="O238" s="311"/>
      <c r="P238" s="311"/>
      <c r="Q238" s="311"/>
      <c r="R238" s="133"/>
      <c r="T238" s="134"/>
      <c r="U238" s="131"/>
      <c r="V238" s="131"/>
      <c r="W238" s="135">
        <f>SUM(W239:W243)</f>
        <v>4.730122</v>
      </c>
      <c r="X238" s="131"/>
      <c r="Y238" s="135">
        <f>SUM(Y239:Y243)</f>
        <v>0.0656</v>
      </c>
      <c r="Z238" s="131"/>
      <c r="AA238" s="136">
        <f>SUM(AA239:AA243)</f>
        <v>0</v>
      </c>
      <c r="AR238" s="137" t="s">
        <v>135</v>
      </c>
      <c r="AT238" s="138" t="s">
        <v>77</v>
      </c>
      <c r="AU238" s="138" t="s">
        <v>21</v>
      </c>
      <c r="AY238" s="137" t="s">
        <v>167</v>
      </c>
      <c r="BK238" s="139">
        <f>SUM(BK239:BK243)</f>
        <v>0</v>
      </c>
    </row>
    <row r="239" spans="2:65" s="1" customFormat="1" ht="31.5" customHeight="1">
      <c r="B239" s="141"/>
      <c r="C239" s="142" t="s">
        <v>829</v>
      </c>
      <c r="D239" s="142" t="s">
        <v>168</v>
      </c>
      <c r="E239" s="143" t="s">
        <v>830</v>
      </c>
      <c r="F239" s="293" t="s">
        <v>831</v>
      </c>
      <c r="G239" s="293"/>
      <c r="H239" s="293"/>
      <c r="I239" s="293"/>
      <c r="J239" s="144" t="s">
        <v>171</v>
      </c>
      <c r="K239" s="145">
        <v>1</v>
      </c>
      <c r="L239" s="294"/>
      <c r="M239" s="294"/>
      <c r="N239" s="294">
        <f>ROUND(L239*K239,2)</f>
        <v>0</v>
      </c>
      <c r="O239" s="294"/>
      <c r="P239" s="294"/>
      <c r="Q239" s="294"/>
      <c r="R239" s="146"/>
      <c r="T239" s="147" t="s">
        <v>5</v>
      </c>
      <c r="U239" s="44" t="s">
        <v>43</v>
      </c>
      <c r="V239" s="148">
        <v>1.1</v>
      </c>
      <c r="W239" s="148">
        <f>V239*K239</f>
        <v>1.1</v>
      </c>
      <c r="X239" s="148">
        <v>0.02275</v>
      </c>
      <c r="Y239" s="148">
        <f>X239*K239</f>
        <v>0.02275</v>
      </c>
      <c r="Z239" s="148">
        <v>0</v>
      </c>
      <c r="AA239" s="149">
        <f>Z239*K239</f>
        <v>0</v>
      </c>
      <c r="AR239" s="21" t="s">
        <v>281</v>
      </c>
      <c r="AT239" s="21" t="s">
        <v>168</v>
      </c>
      <c r="AU239" s="21" t="s">
        <v>135</v>
      </c>
      <c r="AY239" s="21" t="s">
        <v>167</v>
      </c>
      <c r="BE239" s="150">
        <f>IF(U239="základní",N239,0)</f>
        <v>0</v>
      </c>
      <c r="BF239" s="150">
        <f>IF(U239="snížená",N239,0)</f>
        <v>0</v>
      </c>
      <c r="BG239" s="150">
        <f>IF(U239="zákl. přenesená",N239,0)</f>
        <v>0</v>
      </c>
      <c r="BH239" s="150">
        <f>IF(U239="sníž. přenesená",N239,0)</f>
        <v>0</v>
      </c>
      <c r="BI239" s="150">
        <f>IF(U239="nulová",N239,0)</f>
        <v>0</v>
      </c>
      <c r="BJ239" s="21" t="s">
        <v>21</v>
      </c>
      <c r="BK239" s="150">
        <f>ROUND(L239*K239,2)</f>
        <v>0</v>
      </c>
      <c r="BL239" s="21" t="s">
        <v>281</v>
      </c>
      <c r="BM239" s="21" t="s">
        <v>832</v>
      </c>
    </row>
    <row r="240" spans="2:65" s="1" customFormat="1" ht="31.5" customHeight="1">
      <c r="B240" s="141"/>
      <c r="C240" s="142" t="s">
        <v>833</v>
      </c>
      <c r="D240" s="142" t="s">
        <v>168</v>
      </c>
      <c r="E240" s="143" t="s">
        <v>834</v>
      </c>
      <c r="F240" s="293" t="s">
        <v>835</v>
      </c>
      <c r="G240" s="293"/>
      <c r="H240" s="293"/>
      <c r="I240" s="293"/>
      <c r="J240" s="144" t="s">
        <v>171</v>
      </c>
      <c r="K240" s="145">
        <v>1</v>
      </c>
      <c r="L240" s="294"/>
      <c r="M240" s="294"/>
      <c r="N240" s="294">
        <f>ROUND(L240*K240,2)</f>
        <v>0</v>
      </c>
      <c r="O240" s="294"/>
      <c r="P240" s="294"/>
      <c r="Q240" s="294"/>
      <c r="R240" s="146"/>
      <c r="T240" s="147" t="s">
        <v>5</v>
      </c>
      <c r="U240" s="44" t="s">
        <v>43</v>
      </c>
      <c r="V240" s="148">
        <v>1.1</v>
      </c>
      <c r="W240" s="148">
        <f>V240*K240</f>
        <v>1.1</v>
      </c>
      <c r="X240" s="148">
        <v>0.01676</v>
      </c>
      <c r="Y240" s="148">
        <f>X240*K240</f>
        <v>0.01676</v>
      </c>
      <c r="Z240" s="148">
        <v>0</v>
      </c>
      <c r="AA240" s="149">
        <f>Z240*K240</f>
        <v>0</v>
      </c>
      <c r="AR240" s="21" t="s">
        <v>281</v>
      </c>
      <c r="AT240" s="21" t="s">
        <v>168</v>
      </c>
      <c r="AU240" s="21" t="s">
        <v>135</v>
      </c>
      <c r="AY240" s="21" t="s">
        <v>167</v>
      </c>
      <c r="BE240" s="150">
        <f>IF(U240="základní",N240,0)</f>
        <v>0</v>
      </c>
      <c r="BF240" s="150">
        <f>IF(U240="snížená",N240,0)</f>
        <v>0</v>
      </c>
      <c r="BG240" s="150">
        <f>IF(U240="zákl. přenesená",N240,0)</f>
        <v>0</v>
      </c>
      <c r="BH240" s="150">
        <f>IF(U240="sníž. přenesená",N240,0)</f>
        <v>0</v>
      </c>
      <c r="BI240" s="150">
        <f>IF(U240="nulová",N240,0)</f>
        <v>0</v>
      </c>
      <c r="BJ240" s="21" t="s">
        <v>21</v>
      </c>
      <c r="BK240" s="150">
        <f>ROUND(L240*K240,2)</f>
        <v>0</v>
      </c>
      <c r="BL240" s="21" t="s">
        <v>281</v>
      </c>
      <c r="BM240" s="21" t="s">
        <v>836</v>
      </c>
    </row>
    <row r="241" spans="2:65" s="1" customFormat="1" ht="31.5" customHeight="1">
      <c r="B241" s="141"/>
      <c r="C241" s="142" t="s">
        <v>837</v>
      </c>
      <c r="D241" s="142" t="s">
        <v>168</v>
      </c>
      <c r="E241" s="143" t="s">
        <v>838</v>
      </c>
      <c r="F241" s="293" t="s">
        <v>839</v>
      </c>
      <c r="G241" s="293"/>
      <c r="H241" s="293"/>
      <c r="I241" s="293"/>
      <c r="J241" s="144" t="s">
        <v>216</v>
      </c>
      <c r="K241" s="145">
        <v>1</v>
      </c>
      <c r="L241" s="294"/>
      <c r="M241" s="294"/>
      <c r="N241" s="294">
        <f>ROUND(L241*K241,2)</f>
        <v>0</v>
      </c>
      <c r="O241" s="294"/>
      <c r="P241" s="294"/>
      <c r="Q241" s="294"/>
      <c r="R241" s="146"/>
      <c r="T241" s="147" t="s">
        <v>5</v>
      </c>
      <c r="U241" s="44" t="s">
        <v>43</v>
      </c>
      <c r="V241" s="148">
        <v>2.23</v>
      </c>
      <c r="W241" s="148">
        <f>V241*K241</f>
        <v>2.23</v>
      </c>
      <c r="X241" s="148">
        <v>0.02425</v>
      </c>
      <c r="Y241" s="148">
        <f>X241*K241</f>
        <v>0.02425</v>
      </c>
      <c r="Z241" s="148">
        <v>0</v>
      </c>
      <c r="AA241" s="149">
        <f>Z241*K241</f>
        <v>0</v>
      </c>
      <c r="AR241" s="21" t="s">
        <v>281</v>
      </c>
      <c r="AT241" s="21" t="s">
        <v>168</v>
      </c>
      <c r="AU241" s="21" t="s">
        <v>135</v>
      </c>
      <c r="AY241" s="21" t="s">
        <v>167</v>
      </c>
      <c r="BE241" s="150">
        <f>IF(U241="základní",N241,0)</f>
        <v>0</v>
      </c>
      <c r="BF241" s="150">
        <f>IF(U241="snížená",N241,0)</f>
        <v>0</v>
      </c>
      <c r="BG241" s="150">
        <f>IF(U241="zákl. přenesená",N241,0)</f>
        <v>0</v>
      </c>
      <c r="BH241" s="150">
        <f>IF(U241="sníž. přenesená",N241,0)</f>
        <v>0</v>
      </c>
      <c r="BI241" s="150">
        <f>IF(U241="nulová",N241,0)</f>
        <v>0</v>
      </c>
      <c r="BJ241" s="21" t="s">
        <v>21</v>
      </c>
      <c r="BK241" s="150">
        <f>ROUND(L241*K241,2)</f>
        <v>0</v>
      </c>
      <c r="BL241" s="21" t="s">
        <v>281</v>
      </c>
      <c r="BM241" s="21" t="s">
        <v>840</v>
      </c>
    </row>
    <row r="242" spans="2:65" s="1" customFormat="1" ht="22.5" customHeight="1">
      <c r="B242" s="141"/>
      <c r="C242" s="142" t="s">
        <v>841</v>
      </c>
      <c r="D242" s="142" t="s">
        <v>168</v>
      </c>
      <c r="E242" s="143" t="s">
        <v>842</v>
      </c>
      <c r="F242" s="293" t="s">
        <v>843</v>
      </c>
      <c r="G242" s="293"/>
      <c r="H242" s="293"/>
      <c r="I242" s="293"/>
      <c r="J242" s="144" t="s">
        <v>216</v>
      </c>
      <c r="K242" s="145">
        <v>1</v>
      </c>
      <c r="L242" s="294"/>
      <c r="M242" s="294"/>
      <c r="N242" s="294">
        <f>ROUND(L242*K242,2)</f>
        <v>0</v>
      </c>
      <c r="O242" s="294"/>
      <c r="P242" s="294"/>
      <c r="Q242" s="294"/>
      <c r="R242" s="146"/>
      <c r="T242" s="147" t="s">
        <v>5</v>
      </c>
      <c r="U242" s="44" t="s">
        <v>43</v>
      </c>
      <c r="V242" s="148">
        <v>0.2</v>
      </c>
      <c r="W242" s="148">
        <f>V242*K242</f>
        <v>0.2</v>
      </c>
      <c r="X242" s="148">
        <v>0.00184</v>
      </c>
      <c r="Y242" s="148">
        <f>X242*K242</f>
        <v>0.00184</v>
      </c>
      <c r="Z242" s="148">
        <v>0</v>
      </c>
      <c r="AA242" s="149">
        <f>Z242*K242</f>
        <v>0</v>
      </c>
      <c r="AR242" s="21" t="s">
        <v>281</v>
      </c>
      <c r="AT242" s="21" t="s">
        <v>168</v>
      </c>
      <c r="AU242" s="21" t="s">
        <v>135</v>
      </c>
      <c r="AY242" s="21" t="s">
        <v>167</v>
      </c>
      <c r="BE242" s="150">
        <f>IF(U242="základní",N242,0)</f>
        <v>0</v>
      </c>
      <c r="BF242" s="150">
        <f>IF(U242="snížená",N242,0)</f>
        <v>0</v>
      </c>
      <c r="BG242" s="150">
        <f>IF(U242="zákl. přenesená",N242,0)</f>
        <v>0</v>
      </c>
      <c r="BH242" s="150">
        <f>IF(U242="sníž. přenesená",N242,0)</f>
        <v>0</v>
      </c>
      <c r="BI242" s="150">
        <f>IF(U242="nulová",N242,0)</f>
        <v>0</v>
      </c>
      <c r="BJ242" s="21" t="s">
        <v>21</v>
      </c>
      <c r="BK242" s="150">
        <f>ROUND(L242*K242,2)</f>
        <v>0</v>
      </c>
      <c r="BL242" s="21" t="s">
        <v>281</v>
      </c>
      <c r="BM242" s="21" t="s">
        <v>844</v>
      </c>
    </row>
    <row r="243" spans="2:65" s="1" customFormat="1" ht="31.5" customHeight="1">
      <c r="B243" s="141"/>
      <c r="C243" s="142" t="s">
        <v>845</v>
      </c>
      <c r="D243" s="142" t="s">
        <v>168</v>
      </c>
      <c r="E243" s="143" t="s">
        <v>846</v>
      </c>
      <c r="F243" s="293" t="s">
        <v>847</v>
      </c>
      <c r="G243" s="293"/>
      <c r="H243" s="293"/>
      <c r="I243" s="293"/>
      <c r="J243" s="144" t="s">
        <v>210</v>
      </c>
      <c r="K243" s="145">
        <v>0.066</v>
      </c>
      <c r="L243" s="294"/>
      <c r="M243" s="294"/>
      <c r="N243" s="294">
        <f>ROUND(L243*K243,2)</f>
        <v>0</v>
      </c>
      <c r="O243" s="294"/>
      <c r="P243" s="294"/>
      <c r="Q243" s="294"/>
      <c r="R243" s="146"/>
      <c r="T243" s="147" t="s">
        <v>5</v>
      </c>
      <c r="U243" s="44" t="s">
        <v>43</v>
      </c>
      <c r="V243" s="148">
        <v>1.517</v>
      </c>
      <c r="W243" s="148">
        <f>V243*K243</f>
        <v>0.100122</v>
      </c>
      <c r="X243" s="148">
        <v>0</v>
      </c>
      <c r="Y243" s="148">
        <f>X243*K243</f>
        <v>0</v>
      </c>
      <c r="Z243" s="148">
        <v>0</v>
      </c>
      <c r="AA243" s="149">
        <f>Z243*K243</f>
        <v>0</v>
      </c>
      <c r="AR243" s="21" t="s">
        <v>281</v>
      </c>
      <c r="AT243" s="21" t="s">
        <v>168</v>
      </c>
      <c r="AU243" s="21" t="s">
        <v>135</v>
      </c>
      <c r="AY243" s="21" t="s">
        <v>167</v>
      </c>
      <c r="BE243" s="150">
        <f>IF(U243="základní",N243,0)</f>
        <v>0</v>
      </c>
      <c r="BF243" s="150">
        <f>IF(U243="snížená",N243,0)</f>
        <v>0</v>
      </c>
      <c r="BG243" s="150">
        <f>IF(U243="zákl. přenesená",N243,0)</f>
        <v>0</v>
      </c>
      <c r="BH243" s="150">
        <f>IF(U243="sníž. přenesená",N243,0)</f>
        <v>0</v>
      </c>
      <c r="BI243" s="150">
        <f>IF(U243="nulová",N243,0)</f>
        <v>0</v>
      </c>
      <c r="BJ243" s="21" t="s">
        <v>21</v>
      </c>
      <c r="BK243" s="150">
        <f>ROUND(L243*K243,2)</f>
        <v>0</v>
      </c>
      <c r="BL243" s="21" t="s">
        <v>281</v>
      </c>
      <c r="BM243" s="21" t="s">
        <v>848</v>
      </c>
    </row>
    <row r="244" spans="2:63" s="9" customFormat="1" ht="29.85" customHeight="1">
      <c r="B244" s="130"/>
      <c r="C244" s="131"/>
      <c r="D244" s="140" t="s">
        <v>648</v>
      </c>
      <c r="E244" s="140"/>
      <c r="F244" s="140"/>
      <c r="G244" s="140"/>
      <c r="H244" s="140"/>
      <c r="I244" s="140"/>
      <c r="J244" s="140"/>
      <c r="K244" s="140"/>
      <c r="L244" s="140"/>
      <c r="M244" s="140"/>
      <c r="N244" s="310">
        <f>BK244</f>
        <v>0</v>
      </c>
      <c r="O244" s="311"/>
      <c r="P244" s="311"/>
      <c r="Q244" s="311"/>
      <c r="R244" s="133"/>
      <c r="T244" s="134"/>
      <c r="U244" s="131"/>
      <c r="V244" s="131"/>
      <c r="W244" s="135">
        <f>SUM(W245:W255)</f>
        <v>87.01008000000002</v>
      </c>
      <c r="X244" s="131"/>
      <c r="Y244" s="135">
        <f>SUM(Y245:Y255)</f>
        <v>4.36917302</v>
      </c>
      <c r="Z244" s="131"/>
      <c r="AA244" s="136">
        <f>SUM(AA245:AA255)</f>
        <v>0</v>
      </c>
      <c r="AR244" s="137" t="s">
        <v>135</v>
      </c>
      <c r="AT244" s="138" t="s">
        <v>77</v>
      </c>
      <c r="AU244" s="138" t="s">
        <v>21</v>
      </c>
      <c r="AY244" s="137" t="s">
        <v>167</v>
      </c>
      <c r="BK244" s="139">
        <f>SUM(BK245:BK255)</f>
        <v>0</v>
      </c>
    </row>
    <row r="245" spans="2:65" s="1" customFormat="1" ht="22.5" customHeight="1">
      <c r="B245" s="141"/>
      <c r="C245" s="142" t="s">
        <v>849</v>
      </c>
      <c r="D245" s="142" t="s">
        <v>168</v>
      </c>
      <c r="E245" s="143" t="s">
        <v>850</v>
      </c>
      <c r="F245" s="293" t="s">
        <v>851</v>
      </c>
      <c r="G245" s="293"/>
      <c r="H245" s="293"/>
      <c r="I245" s="293"/>
      <c r="J245" s="144" t="s">
        <v>259</v>
      </c>
      <c r="K245" s="145">
        <v>134.4</v>
      </c>
      <c r="L245" s="294"/>
      <c r="M245" s="294"/>
      <c r="N245" s="294">
        <f>ROUND(L245*K245,2)</f>
        <v>0</v>
      </c>
      <c r="O245" s="294"/>
      <c r="P245" s="294"/>
      <c r="Q245" s="294"/>
      <c r="R245" s="146"/>
      <c r="T245" s="147" t="s">
        <v>5</v>
      </c>
      <c r="U245" s="44" t="s">
        <v>43</v>
      </c>
      <c r="V245" s="148">
        <v>0.557</v>
      </c>
      <c r="W245" s="148">
        <f>V245*K245</f>
        <v>74.86080000000001</v>
      </c>
      <c r="X245" s="148">
        <v>0.00079</v>
      </c>
      <c r="Y245" s="148">
        <f>X245*K245</f>
        <v>0.106176</v>
      </c>
      <c r="Z245" s="148">
        <v>0</v>
      </c>
      <c r="AA245" s="149">
        <f>Z245*K245</f>
        <v>0</v>
      </c>
      <c r="AR245" s="21" t="s">
        <v>281</v>
      </c>
      <c r="AT245" s="21" t="s">
        <v>168</v>
      </c>
      <c r="AU245" s="21" t="s">
        <v>135</v>
      </c>
      <c r="AY245" s="21" t="s">
        <v>167</v>
      </c>
      <c r="BE245" s="150">
        <f>IF(U245="základní",N245,0)</f>
        <v>0</v>
      </c>
      <c r="BF245" s="150">
        <f>IF(U245="snížená",N245,0)</f>
        <v>0</v>
      </c>
      <c r="BG245" s="150">
        <f>IF(U245="zákl. přenesená",N245,0)</f>
        <v>0</v>
      </c>
      <c r="BH245" s="150">
        <f>IF(U245="sníž. přenesená",N245,0)</f>
        <v>0</v>
      </c>
      <c r="BI245" s="150">
        <f>IF(U245="nulová",N245,0)</f>
        <v>0</v>
      </c>
      <c r="BJ245" s="21" t="s">
        <v>21</v>
      </c>
      <c r="BK245" s="150">
        <f>ROUND(L245*K245,2)</f>
        <v>0</v>
      </c>
      <c r="BL245" s="21" t="s">
        <v>281</v>
      </c>
      <c r="BM245" s="21" t="s">
        <v>852</v>
      </c>
    </row>
    <row r="246" spans="2:51" s="11" customFormat="1" ht="22.5" customHeight="1">
      <c r="B246" s="159"/>
      <c r="C246" s="160"/>
      <c r="D246" s="160"/>
      <c r="E246" s="161" t="s">
        <v>5</v>
      </c>
      <c r="F246" s="308" t="s">
        <v>853</v>
      </c>
      <c r="G246" s="309"/>
      <c r="H246" s="309"/>
      <c r="I246" s="309"/>
      <c r="J246" s="160"/>
      <c r="K246" s="162">
        <v>134.4</v>
      </c>
      <c r="L246" s="160"/>
      <c r="M246" s="160"/>
      <c r="N246" s="160"/>
      <c r="O246" s="160"/>
      <c r="P246" s="160"/>
      <c r="Q246" s="160"/>
      <c r="R246" s="163"/>
      <c r="T246" s="164"/>
      <c r="U246" s="160"/>
      <c r="V246" s="160"/>
      <c r="W246" s="160"/>
      <c r="X246" s="160"/>
      <c r="Y246" s="160"/>
      <c r="Z246" s="160"/>
      <c r="AA246" s="165"/>
      <c r="AT246" s="166" t="s">
        <v>179</v>
      </c>
      <c r="AU246" s="166" t="s">
        <v>135</v>
      </c>
      <c r="AV246" s="11" t="s">
        <v>135</v>
      </c>
      <c r="AW246" s="11" t="s">
        <v>35</v>
      </c>
      <c r="AX246" s="11" t="s">
        <v>21</v>
      </c>
      <c r="AY246" s="166" t="s">
        <v>167</v>
      </c>
    </row>
    <row r="247" spans="2:65" s="1" customFormat="1" ht="22.5" customHeight="1">
      <c r="B247" s="141"/>
      <c r="C247" s="178" t="s">
        <v>854</v>
      </c>
      <c r="D247" s="178" t="s">
        <v>317</v>
      </c>
      <c r="E247" s="179" t="s">
        <v>855</v>
      </c>
      <c r="F247" s="313" t="s">
        <v>856</v>
      </c>
      <c r="G247" s="313"/>
      <c r="H247" s="313"/>
      <c r="I247" s="313"/>
      <c r="J247" s="180" t="s">
        <v>176</v>
      </c>
      <c r="K247" s="181">
        <v>1.882</v>
      </c>
      <c r="L247" s="314"/>
      <c r="M247" s="314"/>
      <c r="N247" s="314">
        <f>ROUND(L247*K247,2)</f>
        <v>0</v>
      </c>
      <c r="O247" s="294"/>
      <c r="P247" s="294"/>
      <c r="Q247" s="294"/>
      <c r="R247" s="146"/>
      <c r="T247" s="147" t="s">
        <v>5</v>
      </c>
      <c r="U247" s="44" t="s">
        <v>43</v>
      </c>
      <c r="V247" s="148">
        <v>0</v>
      </c>
      <c r="W247" s="148">
        <f>V247*K247</f>
        <v>0</v>
      </c>
      <c r="X247" s="148">
        <v>0.55</v>
      </c>
      <c r="Y247" s="148">
        <f>X247*K247</f>
        <v>1.0351000000000001</v>
      </c>
      <c r="Z247" s="148">
        <v>0</v>
      </c>
      <c r="AA247" s="149">
        <f>Z247*K247</f>
        <v>0</v>
      </c>
      <c r="AR247" s="21" t="s">
        <v>477</v>
      </c>
      <c r="AT247" s="21" t="s">
        <v>317</v>
      </c>
      <c r="AU247" s="21" t="s">
        <v>135</v>
      </c>
      <c r="AY247" s="21" t="s">
        <v>167</v>
      </c>
      <c r="BE247" s="150">
        <f>IF(U247="základní",N247,0)</f>
        <v>0</v>
      </c>
      <c r="BF247" s="150">
        <f>IF(U247="snížená",N247,0)</f>
        <v>0</v>
      </c>
      <c r="BG247" s="150">
        <f>IF(U247="zákl. přenesená",N247,0)</f>
        <v>0</v>
      </c>
      <c r="BH247" s="150">
        <f>IF(U247="sníž. přenesená",N247,0)</f>
        <v>0</v>
      </c>
      <c r="BI247" s="150">
        <f>IF(U247="nulová",N247,0)</f>
        <v>0</v>
      </c>
      <c r="BJ247" s="21" t="s">
        <v>21</v>
      </c>
      <c r="BK247" s="150">
        <f>ROUND(L247*K247,2)</f>
        <v>0</v>
      </c>
      <c r="BL247" s="21" t="s">
        <v>281</v>
      </c>
      <c r="BM247" s="21" t="s">
        <v>857</v>
      </c>
    </row>
    <row r="248" spans="2:51" s="11" customFormat="1" ht="22.5" customHeight="1">
      <c r="B248" s="159"/>
      <c r="C248" s="160"/>
      <c r="D248" s="160"/>
      <c r="E248" s="161" t="s">
        <v>5</v>
      </c>
      <c r="F248" s="308" t="s">
        <v>858</v>
      </c>
      <c r="G248" s="309"/>
      <c r="H248" s="309"/>
      <c r="I248" s="309"/>
      <c r="J248" s="160"/>
      <c r="K248" s="162">
        <v>1.882</v>
      </c>
      <c r="L248" s="160"/>
      <c r="M248" s="160"/>
      <c r="N248" s="160"/>
      <c r="O248" s="160"/>
      <c r="P248" s="160"/>
      <c r="Q248" s="160"/>
      <c r="R248" s="163"/>
      <c r="T248" s="164"/>
      <c r="U248" s="160"/>
      <c r="V248" s="160"/>
      <c r="W248" s="160"/>
      <c r="X248" s="160"/>
      <c r="Y248" s="160"/>
      <c r="Z248" s="160"/>
      <c r="AA248" s="165"/>
      <c r="AT248" s="166" t="s">
        <v>179</v>
      </c>
      <c r="AU248" s="166" t="s">
        <v>135</v>
      </c>
      <c r="AV248" s="11" t="s">
        <v>135</v>
      </c>
      <c r="AW248" s="11" t="s">
        <v>35</v>
      </c>
      <c r="AX248" s="11" t="s">
        <v>21</v>
      </c>
      <c r="AY248" s="166" t="s">
        <v>167</v>
      </c>
    </row>
    <row r="249" spans="2:65" s="1" customFormat="1" ht="31.5" customHeight="1">
      <c r="B249" s="141"/>
      <c r="C249" s="142" t="s">
        <v>859</v>
      </c>
      <c r="D249" s="142" t="s">
        <v>168</v>
      </c>
      <c r="E249" s="143" t="s">
        <v>860</v>
      </c>
      <c r="F249" s="293" t="s">
        <v>861</v>
      </c>
      <c r="G249" s="293"/>
      <c r="H249" s="293"/>
      <c r="I249" s="293"/>
      <c r="J249" s="144" t="s">
        <v>199</v>
      </c>
      <c r="K249" s="145">
        <v>46.02</v>
      </c>
      <c r="L249" s="294"/>
      <c r="M249" s="294"/>
      <c r="N249" s="294">
        <f>ROUND(L249*K249,2)</f>
        <v>0</v>
      </c>
      <c r="O249" s="294"/>
      <c r="P249" s="294"/>
      <c r="Q249" s="294"/>
      <c r="R249" s="146"/>
      <c r="T249" s="147" t="s">
        <v>5</v>
      </c>
      <c r="U249" s="44" t="s">
        <v>43</v>
      </c>
      <c r="V249" s="148">
        <v>0.264</v>
      </c>
      <c r="W249" s="148">
        <f>V249*K249</f>
        <v>12.149280000000001</v>
      </c>
      <c r="X249" s="148">
        <v>0.008</v>
      </c>
      <c r="Y249" s="148">
        <f>X249*K249</f>
        <v>0.36816000000000004</v>
      </c>
      <c r="Z249" s="148">
        <v>0</v>
      </c>
      <c r="AA249" s="149">
        <f>Z249*K249</f>
        <v>0</v>
      </c>
      <c r="AR249" s="21" t="s">
        <v>281</v>
      </c>
      <c r="AT249" s="21" t="s">
        <v>168</v>
      </c>
      <c r="AU249" s="21" t="s">
        <v>135</v>
      </c>
      <c r="AY249" s="21" t="s">
        <v>167</v>
      </c>
      <c r="BE249" s="150">
        <f>IF(U249="základní",N249,0)</f>
        <v>0</v>
      </c>
      <c r="BF249" s="150">
        <f>IF(U249="snížená",N249,0)</f>
        <v>0</v>
      </c>
      <c r="BG249" s="150">
        <f>IF(U249="zákl. přenesená",N249,0)</f>
        <v>0</v>
      </c>
      <c r="BH249" s="150">
        <f>IF(U249="sníž. přenesená",N249,0)</f>
        <v>0</v>
      </c>
      <c r="BI249" s="150">
        <f>IF(U249="nulová",N249,0)</f>
        <v>0</v>
      </c>
      <c r="BJ249" s="21" t="s">
        <v>21</v>
      </c>
      <c r="BK249" s="150">
        <f>ROUND(L249*K249,2)</f>
        <v>0</v>
      </c>
      <c r="BL249" s="21" t="s">
        <v>281</v>
      </c>
      <c r="BM249" s="21" t="s">
        <v>862</v>
      </c>
    </row>
    <row r="250" spans="2:51" s="11" customFormat="1" ht="22.5" customHeight="1">
      <c r="B250" s="159"/>
      <c r="C250" s="160"/>
      <c r="D250" s="160"/>
      <c r="E250" s="161" t="s">
        <v>5</v>
      </c>
      <c r="F250" s="308" t="s">
        <v>863</v>
      </c>
      <c r="G250" s="309"/>
      <c r="H250" s="309"/>
      <c r="I250" s="309"/>
      <c r="J250" s="160"/>
      <c r="K250" s="162">
        <v>46.02</v>
      </c>
      <c r="L250" s="160"/>
      <c r="M250" s="160"/>
      <c r="N250" s="160"/>
      <c r="O250" s="160"/>
      <c r="P250" s="160"/>
      <c r="Q250" s="160"/>
      <c r="R250" s="163"/>
      <c r="T250" s="164"/>
      <c r="U250" s="160"/>
      <c r="V250" s="160"/>
      <c r="W250" s="160"/>
      <c r="X250" s="160"/>
      <c r="Y250" s="160"/>
      <c r="Z250" s="160"/>
      <c r="AA250" s="165"/>
      <c r="AT250" s="166" t="s">
        <v>179</v>
      </c>
      <c r="AU250" s="166" t="s">
        <v>135</v>
      </c>
      <c r="AV250" s="11" t="s">
        <v>135</v>
      </c>
      <c r="AW250" s="11" t="s">
        <v>35</v>
      </c>
      <c r="AX250" s="11" t="s">
        <v>21</v>
      </c>
      <c r="AY250" s="166" t="s">
        <v>167</v>
      </c>
    </row>
    <row r="251" spans="2:65" s="1" customFormat="1" ht="31.5" customHeight="1">
      <c r="B251" s="141"/>
      <c r="C251" s="142" t="s">
        <v>864</v>
      </c>
      <c r="D251" s="142" t="s">
        <v>168</v>
      </c>
      <c r="E251" s="143" t="s">
        <v>865</v>
      </c>
      <c r="F251" s="293" t="s">
        <v>866</v>
      </c>
      <c r="G251" s="293"/>
      <c r="H251" s="293"/>
      <c r="I251" s="293"/>
      <c r="J251" s="144" t="s">
        <v>176</v>
      </c>
      <c r="K251" s="145">
        <v>1.882</v>
      </c>
      <c r="L251" s="294"/>
      <c r="M251" s="294"/>
      <c r="N251" s="294">
        <f>ROUND(L251*K251,2)</f>
        <v>0</v>
      </c>
      <c r="O251" s="294"/>
      <c r="P251" s="294"/>
      <c r="Q251" s="294"/>
      <c r="R251" s="146"/>
      <c r="T251" s="147" t="s">
        <v>5</v>
      </c>
      <c r="U251" s="44" t="s">
        <v>43</v>
      </c>
      <c r="V251" s="148">
        <v>0</v>
      </c>
      <c r="W251" s="148">
        <f>V251*K251</f>
        <v>0</v>
      </c>
      <c r="X251" s="148">
        <v>0.02191</v>
      </c>
      <c r="Y251" s="148">
        <f>X251*K251</f>
        <v>0.04123461999999999</v>
      </c>
      <c r="Z251" s="148">
        <v>0</v>
      </c>
      <c r="AA251" s="149">
        <f>Z251*K251</f>
        <v>0</v>
      </c>
      <c r="AR251" s="21" t="s">
        <v>281</v>
      </c>
      <c r="AT251" s="21" t="s">
        <v>168</v>
      </c>
      <c r="AU251" s="21" t="s">
        <v>135</v>
      </c>
      <c r="AY251" s="21" t="s">
        <v>167</v>
      </c>
      <c r="BE251" s="150">
        <f>IF(U251="základní",N251,0)</f>
        <v>0</v>
      </c>
      <c r="BF251" s="150">
        <f>IF(U251="snížená",N251,0)</f>
        <v>0</v>
      </c>
      <c r="BG251" s="150">
        <f>IF(U251="zákl. přenesená",N251,0)</f>
        <v>0</v>
      </c>
      <c r="BH251" s="150">
        <f>IF(U251="sníž. přenesená",N251,0)</f>
        <v>0</v>
      </c>
      <c r="BI251" s="150">
        <f>IF(U251="nulová",N251,0)</f>
        <v>0</v>
      </c>
      <c r="BJ251" s="21" t="s">
        <v>21</v>
      </c>
      <c r="BK251" s="150">
        <f>ROUND(L251*K251,2)</f>
        <v>0</v>
      </c>
      <c r="BL251" s="21" t="s">
        <v>281</v>
      </c>
      <c r="BM251" s="21" t="s">
        <v>867</v>
      </c>
    </row>
    <row r="252" spans="2:65" s="1" customFormat="1" ht="44.25" customHeight="1">
      <c r="B252" s="141"/>
      <c r="C252" s="142" t="s">
        <v>868</v>
      </c>
      <c r="D252" s="142" t="s">
        <v>168</v>
      </c>
      <c r="E252" s="143" t="s">
        <v>869</v>
      </c>
      <c r="F252" s="293" t="s">
        <v>870</v>
      </c>
      <c r="G252" s="293"/>
      <c r="H252" s="293"/>
      <c r="I252" s="293"/>
      <c r="J252" s="144" t="s">
        <v>199</v>
      </c>
      <c r="K252" s="145">
        <v>64.32</v>
      </c>
      <c r="L252" s="294"/>
      <c r="M252" s="294"/>
      <c r="N252" s="294">
        <f>ROUND(L252*K252,2)</f>
        <v>0</v>
      </c>
      <c r="O252" s="294"/>
      <c r="P252" s="294"/>
      <c r="Q252" s="294"/>
      <c r="R252" s="146"/>
      <c r="T252" s="147" t="s">
        <v>5</v>
      </c>
      <c r="U252" s="44" t="s">
        <v>43</v>
      </c>
      <c r="V252" s="148">
        <v>0</v>
      </c>
      <c r="W252" s="148">
        <f>V252*K252</f>
        <v>0</v>
      </c>
      <c r="X252" s="148">
        <v>0.02191</v>
      </c>
      <c r="Y252" s="148">
        <f>X252*K252</f>
        <v>1.4092511999999997</v>
      </c>
      <c r="Z252" s="148">
        <v>0</v>
      </c>
      <c r="AA252" s="149">
        <f>Z252*K252</f>
        <v>0</v>
      </c>
      <c r="AR252" s="21" t="s">
        <v>281</v>
      </c>
      <c r="AT252" s="21" t="s">
        <v>168</v>
      </c>
      <c r="AU252" s="21" t="s">
        <v>135</v>
      </c>
      <c r="AY252" s="21" t="s">
        <v>167</v>
      </c>
      <c r="BE252" s="150">
        <f>IF(U252="základní",N252,0)</f>
        <v>0</v>
      </c>
      <c r="BF252" s="150">
        <f>IF(U252="snížená",N252,0)</f>
        <v>0</v>
      </c>
      <c r="BG252" s="150">
        <f>IF(U252="zákl. přenesená",N252,0)</f>
        <v>0</v>
      </c>
      <c r="BH252" s="150">
        <f>IF(U252="sníž. přenesená",N252,0)</f>
        <v>0</v>
      </c>
      <c r="BI252" s="150">
        <f>IF(U252="nulová",N252,0)</f>
        <v>0</v>
      </c>
      <c r="BJ252" s="21" t="s">
        <v>21</v>
      </c>
      <c r="BK252" s="150">
        <f>ROUND(L252*K252,2)</f>
        <v>0</v>
      </c>
      <c r="BL252" s="21" t="s">
        <v>281</v>
      </c>
      <c r="BM252" s="21" t="s">
        <v>871</v>
      </c>
    </row>
    <row r="253" spans="2:51" s="11" customFormat="1" ht="22.5" customHeight="1">
      <c r="B253" s="159"/>
      <c r="C253" s="160"/>
      <c r="D253" s="160"/>
      <c r="E253" s="161" t="s">
        <v>5</v>
      </c>
      <c r="F253" s="308" t="s">
        <v>872</v>
      </c>
      <c r="G253" s="309"/>
      <c r="H253" s="309"/>
      <c r="I253" s="309"/>
      <c r="J253" s="160"/>
      <c r="K253" s="162">
        <v>64.32</v>
      </c>
      <c r="L253" s="160"/>
      <c r="M253" s="160"/>
      <c r="N253" s="160"/>
      <c r="O253" s="160"/>
      <c r="P253" s="160"/>
      <c r="Q253" s="160"/>
      <c r="R253" s="163"/>
      <c r="T253" s="164"/>
      <c r="U253" s="160"/>
      <c r="V253" s="160"/>
      <c r="W253" s="160"/>
      <c r="X253" s="160"/>
      <c r="Y253" s="160"/>
      <c r="Z253" s="160"/>
      <c r="AA253" s="165"/>
      <c r="AT253" s="166" t="s">
        <v>179</v>
      </c>
      <c r="AU253" s="166" t="s">
        <v>135</v>
      </c>
      <c r="AV253" s="11" t="s">
        <v>135</v>
      </c>
      <c r="AW253" s="11" t="s">
        <v>35</v>
      </c>
      <c r="AX253" s="11" t="s">
        <v>21</v>
      </c>
      <c r="AY253" s="166" t="s">
        <v>167</v>
      </c>
    </row>
    <row r="254" spans="2:65" s="1" customFormat="1" ht="31.5" customHeight="1">
      <c r="B254" s="141"/>
      <c r="C254" s="142" t="s">
        <v>873</v>
      </c>
      <c r="D254" s="142" t="s">
        <v>168</v>
      </c>
      <c r="E254" s="143" t="s">
        <v>874</v>
      </c>
      <c r="F254" s="293" t="s">
        <v>875</v>
      </c>
      <c r="G254" s="293"/>
      <c r="H254" s="293"/>
      <c r="I254" s="293"/>
      <c r="J254" s="144" t="s">
        <v>199</v>
      </c>
      <c r="K254" s="145">
        <v>64.32</v>
      </c>
      <c r="L254" s="294"/>
      <c r="M254" s="294"/>
      <c r="N254" s="294">
        <f>ROUND(L254*K254,2)</f>
        <v>0</v>
      </c>
      <c r="O254" s="294"/>
      <c r="P254" s="294"/>
      <c r="Q254" s="294"/>
      <c r="R254" s="146"/>
      <c r="T254" s="147" t="s">
        <v>5</v>
      </c>
      <c r="U254" s="44" t="s">
        <v>43</v>
      </c>
      <c r="V254" s="148">
        <v>0</v>
      </c>
      <c r="W254" s="148">
        <f>V254*K254</f>
        <v>0</v>
      </c>
      <c r="X254" s="148">
        <v>0.02191</v>
      </c>
      <c r="Y254" s="148">
        <f>X254*K254</f>
        <v>1.4092511999999997</v>
      </c>
      <c r="Z254" s="148">
        <v>0</v>
      </c>
      <c r="AA254" s="149">
        <f>Z254*K254</f>
        <v>0</v>
      </c>
      <c r="AR254" s="21" t="s">
        <v>281</v>
      </c>
      <c r="AT254" s="21" t="s">
        <v>168</v>
      </c>
      <c r="AU254" s="21" t="s">
        <v>135</v>
      </c>
      <c r="AY254" s="21" t="s">
        <v>167</v>
      </c>
      <c r="BE254" s="150">
        <f>IF(U254="základní",N254,0)</f>
        <v>0</v>
      </c>
      <c r="BF254" s="150">
        <f>IF(U254="snížená",N254,0)</f>
        <v>0</v>
      </c>
      <c r="BG254" s="150">
        <f>IF(U254="zákl. přenesená",N254,0)</f>
        <v>0</v>
      </c>
      <c r="BH254" s="150">
        <f>IF(U254="sníž. přenesená",N254,0)</f>
        <v>0</v>
      </c>
      <c r="BI254" s="150">
        <f>IF(U254="nulová",N254,0)</f>
        <v>0</v>
      </c>
      <c r="BJ254" s="21" t="s">
        <v>21</v>
      </c>
      <c r="BK254" s="150">
        <f>ROUND(L254*K254,2)</f>
        <v>0</v>
      </c>
      <c r="BL254" s="21" t="s">
        <v>281</v>
      </c>
      <c r="BM254" s="21" t="s">
        <v>876</v>
      </c>
    </row>
    <row r="255" spans="2:65" s="1" customFormat="1" ht="31.5" customHeight="1">
      <c r="B255" s="141"/>
      <c r="C255" s="142" t="s">
        <v>877</v>
      </c>
      <c r="D255" s="142" t="s">
        <v>168</v>
      </c>
      <c r="E255" s="143" t="s">
        <v>878</v>
      </c>
      <c r="F255" s="293" t="s">
        <v>879</v>
      </c>
      <c r="G255" s="293"/>
      <c r="H255" s="293"/>
      <c r="I255" s="293"/>
      <c r="J255" s="144" t="s">
        <v>408</v>
      </c>
      <c r="K255" s="145">
        <v>2</v>
      </c>
      <c r="L255" s="294"/>
      <c r="M255" s="294"/>
      <c r="N255" s="294">
        <f>ROUND(L255*K255,2)</f>
        <v>0</v>
      </c>
      <c r="O255" s="294"/>
      <c r="P255" s="294"/>
      <c r="Q255" s="294"/>
      <c r="R255" s="146"/>
      <c r="T255" s="147" t="s">
        <v>5</v>
      </c>
      <c r="U255" s="44" t="s">
        <v>43</v>
      </c>
      <c r="V255" s="148">
        <v>0</v>
      </c>
      <c r="W255" s="148">
        <f>V255*K255</f>
        <v>0</v>
      </c>
      <c r="X255" s="148">
        <v>0</v>
      </c>
      <c r="Y255" s="148">
        <f>X255*K255</f>
        <v>0</v>
      </c>
      <c r="Z255" s="148">
        <v>0</v>
      </c>
      <c r="AA255" s="149">
        <f>Z255*K255</f>
        <v>0</v>
      </c>
      <c r="AR255" s="21" t="s">
        <v>281</v>
      </c>
      <c r="AT255" s="21" t="s">
        <v>168</v>
      </c>
      <c r="AU255" s="21" t="s">
        <v>135</v>
      </c>
      <c r="AY255" s="21" t="s">
        <v>167</v>
      </c>
      <c r="BE255" s="150">
        <f>IF(U255="základní",N255,0)</f>
        <v>0</v>
      </c>
      <c r="BF255" s="150">
        <f>IF(U255="snížená",N255,0)</f>
        <v>0</v>
      </c>
      <c r="BG255" s="150">
        <f>IF(U255="zákl. přenesená",N255,0)</f>
        <v>0</v>
      </c>
      <c r="BH255" s="150">
        <f>IF(U255="sníž. přenesená",N255,0)</f>
        <v>0</v>
      </c>
      <c r="BI255" s="150">
        <f>IF(U255="nulová",N255,0)</f>
        <v>0</v>
      </c>
      <c r="BJ255" s="21" t="s">
        <v>21</v>
      </c>
      <c r="BK255" s="150">
        <f>ROUND(L255*K255,2)</f>
        <v>0</v>
      </c>
      <c r="BL255" s="21" t="s">
        <v>281</v>
      </c>
      <c r="BM255" s="21" t="s">
        <v>880</v>
      </c>
    </row>
    <row r="256" spans="2:63" s="9" customFormat="1" ht="29.85" customHeight="1">
      <c r="B256" s="130"/>
      <c r="C256" s="131"/>
      <c r="D256" s="140" t="s">
        <v>649</v>
      </c>
      <c r="E256" s="140"/>
      <c r="F256" s="140"/>
      <c r="G256" s="140"/>
      <c r="H256" s="140"/>
      <c r="I256" s="140"/>
      <c r="J256" s="140"/>
      <c r="K256" s="140"/>
      <c r="L256" s="140"/>
      <c r="M256" s="140"/>
      <c r="N256" s="310">
        <f>BK256</f>
        <v>0</v>
      </c>
      <c r="O256" s="311"/>
      <c r="P256" s="311"/>
      <c r="Q256" s="311"/>
      <c r="R256" s="133"/>
      <c r="T256" s="134"/>
      <c r="U256" s="131"/>
      <c r="V256" s="131"/>
      <c r="W256" s="135">
        <f>SUM(W257:W260)</f>
        <v>69.61602</v>
      </c>
      <c r="X256" s="131"/>
      <c r="Y256" s="135">
        <f>SUM(Y257:Y260)</f>
        <v>0.9613959000000001</v>
      </c>
      <c r="Z256" s="131"/>
      <c r="AA256" s="136">
        <f>SUM(AA257:AA260)</f>
        <v>0</v>
      </c>
      <c r="AR256" s="137" t="s">
        <v>135</v>
      </c>
      <c r="AT256" s="138" t="s">
        <v>77</v>
      </c>
      <c r="AU256" s="138" t="s">
        <v>21</v>
      </c>
      <c r="AY256" s="137" t="s">
        <v>167</v>
      </c>
      <c r="BK256" s="139">
        <f>SUM(BK257:BK260)</f>
        <v>0</v>
      </c>
    </row>
    <row r="257" spans="2:65" s="1" customFormat="1" ht="44.25" customHeight="1">
      <c r="B257" s="141"/>
      <c r="C257" s="142" t="s">
        <v>585</v>
      </c>
      <c r="D257" s="142" t="s">
        <v>168</v>
      </c>
      <c r="E257" s="143" t="s">
        <v>881</v>
      </c>
      <c r="F257" s="293" t="s">
        <v>882</v>
      </c>
      <c r="G257" s="293"/>
      <c r="H257" s="293"/>
      <c r="I257" s="293"/>
      <c r="J257" s="144" t="s">
        <v>199</v>
      </c>
      <c r="K257" s="145">
        <v>33.405</v>
      </c>
      <c r="L257" s="294"/>
      <c r="M257" s="294"/>
      <c r="N257" s="294">
        <f>ROUND(L257*K257,2)</f>
        <v>0</v>
      </c>
      <c r="O257" s="294"/>
      <c r="P257" s="294"/>
      <c r="Q257" s="294"/>
      <c r="R257" s="146"/>
      <c r="T257" s="147" t="s">
        <v>5</v>
      </c>
      <c r="U257" s="44" t="s">
        <v>43</v>
      </c>
      <c r="V257" s="148">
        <v>1.042</v>
      </c>
      <c r="W257" s="148">
        <f>V257*K257</f>
        <v>34.80801</v>
      </c>
      <c r="X257" s="148">
        <v>0.01439</v>
      </c>
      <c r="Y257" s="148">
        <f>X257*K257</f>
        <v>0.48069795000000004</v>
      </c>
      <c r="Z257" s="148">
        <v>0</v>
      </c>
      <c r="AA257" s="149">
        <f>Z257*K257</f>
        <v>0</v>
      </c>
      <c r="AR257" s="21" t="s">
        <v>281</v>
      </c>
      <c r="AT257" s="21" t="s">
        <v>168</v>
      </c>
      <c r="AU257" s="21" t="s">
        <v>135</v>
      </c>
      <c r="AY257" s="21" t="s">
        <v>167</v>
      </c>
      <c r="BE257" s="150">
        <f>IF(U257="základní",N257,0)</f>
        <v>0</v>
      </c>
      <c r="BF257" s="150">
        <f>IF(U257="snížená",N257,0)</f>
        <v>0</v>
      </c>
      <c r="BG257" s="150">
        <f>IF(U257="zákl. přenesená",N257,0)</f>
        <v>0</v>
      </c>
      <c r="BH257" s="150">
        <f>IF(U257="sníž. přenesená",N257,0)</f>
        <v>0</v>
      </c>
      <c r="BI257" s="150">
        <f>IF(U257="nulová",N257,0)</f>
        <v>0</v>
      </c>
      <c r="BJ257" s="21" t="s">
        <v>21</v>
      </c>
      <c r="BK257" s="150">
        <f>ROUND(L257*K257,2)</f>
        <v>0</v>
      </c>
      <c r="BL257" s="21" t="s">
        <v>281</v>
      </c>
      <c r="BM257" s="21" t="s">
        <v>883</v>
      </c>
    </row>
    <row r="258" spans="2:51" s="11" customFormat="1" ht="22.5" customHeight="1">
      <c r="B258" s="159"/>
      <c r="C258" s="160"/>
      <c r="D258" s="160"/>
      <c r="E258" s="161" t="s">
        <v>5</v>
      </c>
      <c r="F258" s="308" t="s">
        <v>768</v>
      </c>
      <c r="G258" s="309"/>
      <c r="H258" s="309"/>
      <c r="I258" s="309"/>
      <c r="J258" s="160"/>
      <c r="K258" s="162">
        <v>33.405</v>
      </c>
      <c r="L258" s="160"/>
      <c r="M258" s="160"/>
      <c r="N258" s="160"/>
      <c r="O258" s="160"/>
      <c r="P258" s="160"/>
      <c r="Q258" s="160"/>
      <c r="R258" s="163"/>
      <c r="T258" s="164"/>
      <c r="U258" s="160"/>
      <c r="V258" s="160"/>
      <c r="W258" s="160"/>
      <c r="X258" s="160"/>
      <c r="Y258" s="160"/>
      <c r="Z258" s="160"/>
      <c r="AA258" s="165"/>
      <c r="AT258" s="166" t="s">
        <v>179</v>
      </c>
      <c r="AU258" s="166" t="s">
        <v>135</v>
      </c>
      <c r="AV258" s="11" t="s">
        <v>135</v>
      </c>
      <c r="AW258" s="11" t="s">
        <v>35</v>
      </c>
      <c r="AX258" s="11" t="s">
        <v>21</v>
      </c>
      <c r="AY258" s="166" t="s">
        <v>167</v>
      </c>
    </row>
    <row r="259" spans="2:65" s="1" customFormat="1" ht="22.5" customHeight="1">
      <c r="B259" s="141"/>
      <c r="C259" s="142" t="s">
        <v>884</v>
      </c>
      <c r="D259" s="142" t="s">
        <v>168</v>
      </c>
      <c r="E259" s="143" t="s">
        <v>885</v>
      </c>
      <c r="F259" s="293" t="s">
        <v>886</v>
      </c>
      <c r="G259" s="293"/>
      <c r="H259" s="293"/>
      <c r="I259" s="293"/>
      <c r="J259" s="144" t="s">
        <v>199</v>
      </c>
      <c r="K259" s="145">
        <v>33.405</v>
      </c>
      <c r="L259" s="294"/>
      <c r="M259" s="294"/>
      <c r="N259" s="294">
        <f>ROUND(L259*K259,2)</f>
        <v>0</v>
      </c>
      <c r="O259" s="294"/>
      <c r="P259" s="294"/>
      <c r="Q259" s="294"/>
      <c r="R259" s="146"/>
      <c r="T259" s="147" t="s">
        <v>5</v>
      </c>
      <c r="U259" s="44" t="s">
        <v>43</v>
      </c>
      <c r="V259" s="148">
        <v>1.042</v>
      </c>
      <c r="W259" s="148">
        <f>V259*K259</f>
        <v>34.80801</v>
      </c>
      <c r="X259" s="148">
        <v>0.01439</v>
      </c>
      <c r="Y259" s="148">
        <f>X259*K259</f>
        <v>0.48069795000000004</v>
      </c>
      <c r="Z259" s="148">
        <v>0</v>
      </c>
      <c r="AA259" s="149">
        <f>Z259*K259</f>
        <v>0</v>
      </c>
      <c r="AR259" s="21" t="s">
        <v>281</v>
      </c>
      <c r="AT259" s="21" t="s">
        <v>168</v>
      </c>
      <c r="AU259" s="21" t="s">
        <v>135</v>
      </c>
      <c r="AY259" s="21" t="s">
        <v>167</v>
      </c>
      <c r="BE259" s="150">
        <f>IF(U259="základní",N259,0)</f>
        <v>0</v>
      </c>
      <c r="BF259" s="150">
        <f>IF(U259="snížená",N259,0)</f>
        <v>0</v>
      </c>
      <c r="BG259" s="150">
        <f>IF(U259="zákl. přenesená",N259,0)</f>
        <v>0</v>
      </c>
      <c r="BH259" s="150">
        <f>IF(U259="sníž. přenesená",N259,0)</f>
        <v>0</v>
      </c>
      <c r="BI259" s="150">
        <f>IF(U259="nulová",N259,0)</f>
        <v>0</v>
      </c>
      <c r="BJ259" s="21" t="s">
        <v>21</v>
      </c>
      <c r="BK259" s="150">
        <f>ROUND(L259*K259,2)</f>
        <v>0</v>
      </c>
      <c r="BL259" s="21" t="s">
        <v>281</v>
      </c>
      <c r="BM259" s="21" t="s">
        <v>887</v>
      </c>
    </row>
    <row r="260" spans="2:65" s="1" customFormat="1" ht="31.5" customHeight="1">
      <c r="B260" s="141"/>
      <c r="C260" s="142" t="s">
        <v>888</v>
      </c>
      <c r="D260" s="142" t="s">
        <v>168</v>
      </c>
      <c r="E260" s="143" t="s">
        <v>889</v>
      </c>
      <c r="F260" s="293" t="s">
        <v>890</v>
      </c>
      <c r="G260" s="293"/>
      <c r="H260" s="293"/>
      <c r="I260" s="293"/>
      <c r="J260" s="144" t="s">
        <v>408</v>
      </c>
      <c r="K260" s="145">
        <v>5</v>
      </c>
      <c r="L260" s="294"/>
      <c r="M260" s="294"/>
      <c r="N260" s="294">
        <f>ROUND(L260*K260,2)</f>
        <v>0</v>
      </c>
      <c r="O260" s="294"/>
      <c r="P260" s="294"/>
      <c r="Q260" s="294"/>
      <c r="R260" s="146"/>
      <c r="T260" s="147" t="s">
        <v>5</v>
      </c>
      <c r="U260" s="44" t="s">
        <v>43</v>
      </c>
      <c r="V260" s="148">
        <v>0</v>
      </c>
      <c r="W260" s="148">
        <f>V260*K260</f>
        <v>0</v>
      </c>
      <c r="X260" s="148">
        <v>0</v>
      </c>
      <c r="Y260" s="148">
        <f>X260*K260</f>
        <v>0</v>
      </c>
      <c r="Z260" s="148">
        <v>0</v>
      </c>
      <c r="AA260" s="149">
        <f>Z260*K260</f>
        <v>0</v>
      </c>
      <c r="AR260" s="21" t="s">
        <v>281</v>
      </c>
      <c r="AT260" s="21" t="s">
        <v>168</v>
      </c>
      <c r="AU260" s="21" t="s">
        <v>135</v>
      </c>
      <c r="AY260" s="21" t="s">
        <v>167</v>
      </c>
      <c r="BE260" s="150">
        <f>IF(U260="základní",N260,0)</f>
        <v>0</v>
      </c>
      <c r="BF260" s="150">
        <f>IF(U260="snížená",N260,0)</f>
        <v>0</v>
      </c>
      <c r="BG260" s="150">
        <f>IF(U260="zákl. přenesená",N260,0)</f>
        <v>0</v>
      </c>
      <c r="BH260" s="150">
        <f>IF(U260="sníž. přenesená",N260,0)</f>
        <v>0</v>
      </c>
      <c r="BI260" s="150">
        <f>IF(U260="nulová",N260,0)</f>
        <v>0</v>
      </c>
      <c r="BJ260" s="21" t="s">
        <v>21</v>
      </c>
      <c r="BK260" s="150">
        <f>ROUND(L260*K260,2)</f>
        <v>0</v>
      </c>
      <c r="BL260" s="21" t="s">
        <v>281</v>
      </c>
      <c r="BM260" s="21" t="s">
        <v>891</v>
      </c>
    </row>
    <row r="261" spans="2:63" s="9" customFormat="1" ht="29.85" customHeight="1">
      <c r="B261" s="130"/>
      <c r="C261" s="131"/>
      <c r="D261" s="140" t="s">
        <v>412</v>
      </c>
      <c r="E261" s="140"/>
      <c r="F261" s="140"/>
      <c r="G261" s="140"/>
      <c r="H261" s="140"/>
      <c r="I261" s="140"/>
      <c r="J261" s="140"/>
      <c r="K261" s="140"/>
      <c r="L261" s="140"/>
      <c r="M261" s="140"/>
      <c r="N261" s="310">
        <f>BK261</f>
        <v>0</v>
      </c>
      <c r="O261" s="311"/>
      <c r="P261" s="311"/>
      <c r="Q261" s="311"/>
      <c r="R261" s="133"/>
      <c r="T261" s="134"/>
      <c r="U261" s="131"/>
      <c r="V261" s="131"/>
      <c r="W261" s="135">
        <f>SUM(W262:W272)</f>
        <v>11.574000000000002</v>
      </c>
      <c r="X261" s="131"/>
      <c r="Y261" s="135">
        <f>SUM(Y262:Y272)</f>
        <v>0.09748399999999999</v>
      </c>
      <c r="Z261" s="131"/>
      <c r="AA261" s="136">
        <f>SUM(AA262:AA272)</f>
        <v>0</v>
      </c>
      <c r="AR261" s="137" t="s">
        <v>135</v>
      </c>
      <c r="AT261" s="138" t="s">
        <v>77</v>
      </c>
      <c r="AU261" s="138" t="s">
        <v>21</v>
      </c>
      <c r="AY261" s="137" t="s">
        <v>167</v>
      </c>
      <c r="BK261" s="139">
        <f>SUM(BK262:BK272)</f>
        <v>0</v>
      </c>
    </row>
    <row r="262" spans="2:65" s="1" customFormat="1" ht="31.5" customHeight="1">
      <c r="B262" s="141"/>
      <c r="C262" s="142" t="s">
        <v>892</v>
      </c>
      <c r="D262" s="142" t="s">
        <v>168</v>
      </c>
      <c r="E262" s="143" t="s">
        <v>893</v>
      </c>
      <c r="F262" s="293" t="s">
        <v>894</v>
      </c>
      <c r="G262" s="293"/>
      <c r="H262" s="293"/>
      <c r="I262" s="293"/>
      <c r="J262" s="144" t="s">
        <v>259</v>
      </c>
      <c r="K262" s="145">
        <v>25.8</v>
      </c>
      <c r="L262" s="294"/>
      <c r="M262" s="294"/>
      <c r="N262" s="294">
        <f>ROUND(L262*K262,2)</f>
        <v>0</v>
      </c>
      <c r="O262" s="294"/>
      <c r="P262" s="294"/>
      <c r="Q262" s="294"/>
      <c r="R262" s="146"/>
      <c r="T262" s="147" t="s">
        <v>5</v>
      </c>
      <c r="U262" s="44" t="s">
        <v>43</v>
      </c>
      <c r="V262" s="148">
        <v>0.166</v>
      </c>
      <c r="W262" s="148">
        <f>V262*K262</f>
        <v>4.2828</v>
      </c>
      <c r="X262" s="148">
        <v>0.00203</v>
      </c>
      <c r="Y262" s="148">
        <f>X262*K262</f>
        <v>0.052374000000000004</v>
      </c>
      <c r="Z262" s="148">
        <v>0</v>
      </c>
      <c r="AA262" s="149">
        <f>Z262*K262</f>
        <v>0</v>
      </c>
      <c r="AR262" s="21" t="s">
        <v>281</v>
      </c>
      <c r="AT262" s="21" t="s">
        <v>168</v>
      </c>
      <c r="AU262" s="21" t="s">
        <v>135</v>
      </c>
      <c r="AY262" s="21" t="s">
        <v>167</v>
      </c>
      <c r="BE262" s="150">
        <f>IF(U262="základní",N262,0)</f>
        <v>0</v>
      </c>
      <c r="BF262" s="150">
        <f>IF(U262="snížená",N262,0)</f>
        <v>0</v>
      </c>
      <c r="BG262" s="150">
        <f>IF(U262="zákl. přenesená",N262,0)</f>
        <v>0</v>
      </c>
      <c r="BH262" s="150">
        <f>IF(U262="sníž. přenesená",N262,0)</f>
        <v>0</v>
      </c>
      <c r="BI262" s="150">
        <f>IF(U262="nulová",N262,0)</f>
        <v>0</v>
      </c>
      <c r="BJ262" s="21" t="s">
        <v>21</v>
      </c>
      <c r="BK262" s="150">
        <f>ROUND(L262*K262,2)</f>
        <v>0</v>
      </c>
      <c r="BL262" s="21" t="s">
        <v>281</v>
      </c>
      <c r="BM262" s="21" t="s">
        <v>895</v>
      </c>
    </row>
    <row r="263" spans="2:51" s="11" customFormat="1" ht="22.5" customHeight="1">
      <c r="B263" s="159"/>
      <c r="C263" s="160"/>
      <c r="D263" s="160"/>
      <c r="E263" s="161" t="s">
        <v>5</v>
      </c>
      <c r="F263" s="308" t="s">
        <v>896</v>
      </c>
      <c r="G263" s="309"/>
      <c r="H263" s="309"/>
      <c r="I263" s="309"/>
      <c r="J263" s="160"/>
      <c r="K263" s="162">
        <v>15.6</v>
      </c>
      <c r="L263" s="160"/>
      <c r="M263" s="160"/>
      <c r="N263" s="160"/>
      <c r="O263" s="160"/>
      <c r="P263" s="160"/>
      <c r="Q263" s="160"/>
      <c r="R263" s="163"/>
      <c r="T263" s="164"/>
      <c r="U263" s="160"/>
      <c r="V263" s="160"/>
      <c r="W263" s="160"/>
      <c r="X263" s="160"/>
      <c r="Y263" s="160"/>
      <c r="Z263" s="160"/>
      <c r="AA263" s="165"/>
      <c r="AT263" s="166" t="s">
        <v>179</v>
      </c>
      <c r="AU263" s="166" t="s">
        <v>135</v>
      </c>
      <c r="AV263" s="11" t="s">
        <v>135</v>
      </c>
      <c r="AW263" s="11" t="s">
        <v>35</v>
      </c>
      <c r="AX263" s="11" t="s">
        <v>78</v>
      </c>
      <c r="AY263" s="166" t="s">
        <v>167</v>
      </c>
    </row>
    <row r="264" spans="2:51" s="11" customFormat="1" ht="22.5" customHeight="1">
      <c r="B264" s="159"/>
      <c r="C264" s="160"/>
      <c r="D264" s="160"/>
      <c r="E264" s="161" t="s">
        <v>5</v>
      </c>
      <c r="F264" s="302" t="s">
        <v>897</v>
      </c>
      <c r="G264" s="303"/>
      <c r="H264" s="303"/>
      <c r="I264" s="303"/>
      <c r="J264" s="160"/>
      <c r="K264" s="162">
        <v>10.2</v>
      </c>
      <c r="L264" s="160"/>
      <c r="M264" s="160"/>
      <c r="N264" s="160"/>
      <c r="O264" s="160"/>
      <c r="P264" s="160"/>
      <c r="Q264" s="160"/>
      <c r="R264" s="163"/>
      <c r="T264" s="164"/>
      <c r="U264" s="160"/>
      <c r="V264" s="160"/>
      <c r="W264" s="160"/>
      <c r="X264" s="160"/>
      <c r="Y264" s="160"/>
      <c r="Z264" s="160"/>
      <c r="AA264" s="165"/>
      <c r="AT264" s="166" t="s">
        <v>179</v>
      </c>
      <c r="AU264" s="166" t="s">
        <v>135</v>
      </c>
      <c r="AV264" s="11" t="s">
        <v>135</v>
      </c>
      <c r="AW264" s="11" t="s">
        <v>35</v>
      </c>
      <c r="AX264" s="11" t="s">
        <v>78</v>
      </c>
      <c r="AY264" s="166" t="s">
        <v>167</v>
      </c>
    </row>
    <row r="265" spans="2:51" s="12" customFormat="1" ht="22.5" customHeight="1">
      <c r="B265" s="167"/>
      <c r="C265" s="168"/>
      <c r="D265" s="168"/>
      <c r="E265" s="169" t="s">
        <v>5</v>
      </c>
      <c r="F265" s="306" t="s">
        <v>183</v>
      </c>
      <c r="G265" s="307"/>
      <c r="H265" s="307"/>
      <c r="I265" s="307"/>
      <c r="J265" s="168"/>
      <c r="K265" s="170">
        <v>25.8</v>
      </c>
      <c r="L265" s="168"/>
      <c r="M265" s="168"/>
      <c r="N265" s="168"/>
      <c r="O265" s="168"/>
      <c r="P265" s="168"/>
      <c r="Q265" s="168"/>
      <c r="R265" s="171"/>
      <c r="T265" s="172"/>
      <c r="U265" s="168"/>
      <c r="V265" s="168"/>
      <c r="W265" s="168"/>
      <c r="X265" s="168"/>
      <c r="Y265" s="168"/>
      <c r="Z265" s="168"/>
      <c r="AA265" s="173"/>
      <c r="AT265" s="174" t="s">
        <v>179</v>
      </c>
      <c r="AU265" s="174" t="s">
        <v>135</v>
      </c>
      <c r="AV265" s="12" t="s">
        <v>172</v>
      </c>
      <c r="AW265" s="12" t="s">
        <v>35</v>
      </c>
      <c r="AX265" s="12" t="s">
        <v>21</v>
      </c>
      <c r="AY265" s="174" t="s">
        <v>167</v>
      </c>
    </row>
    <row r="266" spans="2:65" s="1" customFormat="1" ht="31.5" customHeight="1">
      <c r="B266" s="141"/>
      <c r="C266" s="142" t="s">
        <v>898</v>
      </c>
      <c r="D266" s="142" t="s">
        <v>168</v>
      </c>
      <c r="E266" s="143" t="s">
        <v>899</v>
      </c>
      <c r="F266" s="293" t="s">
        <v>900</v>
      </c>
      <c r="G266" s="293"/>
      <c r="H266" s="293"/>
      <c r="I266" s="293"/>
      <c r="J266" s="144" t="s">
        <v>259</v>
      </c>
      <c r="K266" s="145">
        <v>10.2</v>
      </c>
      <c r="L266" s="294"/>
      <c r="M266" s="294"/>
      <c r="N266" s="294">
        <f>ROUND(L266*K266,2)</f>
        <v>0</v>
      </c>
      <c r="O266" s="294"/>
      <c r="P266" s="294"/>
      <c r="Q266" s="294"/>
      <c r="R266" s="146"/>
      <c r="T266" s="147" t="s">
        <v>5</v>
      </c>
      <c r="U266" s="44" t="s">
        <v>43</v>
      </c>
      <c r="V266" s="148">
        <v>0.368</v>
      </c>
      <c r="W266" s="148">
        <f>V266*K266</f>
        <v>3.7535999999999996</v>
      </c>
      <c r="X266" s="148">
        <v>0.00229</v>
      </c>
      <c r="Y266" s="148">
        <f>X266*K266</f>
        <v>0.023357999999999997</v>
      </c>
      <c r="Z266" s="148">
        <v>0</v>
      </c>
      <c r="AA266" s="149">
        <f>Z266*K266</f>
        <v>0</v>
      </c>
      <c r="AR266" s="21" t="s">
        <v>281</v>
      </c>
      <c r="AT266" s="21" t="s">
        <v>168</v>
      </c>
      <c r="AU266" s="21" t="s">
        <v>135</v>
      </c>
      <c r="AY266" s="21" t="s">
        <v>167</v>
      </c>
      <c r="BE266" s="150">
        <f>IF(U266="základní",N266,0)</f>
        <v>0</v>
      </c>
      <c r="BF266" s="150">
        <f>IF(U266="snížená",N266,0)</f>
        <v>0</v>
      </c>
      <c r="BG266" s="150">
        <f>IF(U266="zákl. přenesená",N266,0)</f>
        <v>0</v>
      </c>
      <c r="BH266" s="150">
        <f>IF(U266="sníž. přenesená",N266,0)</f>
        <v>0</v>
      </c>
      <c r="BI266" s="150">
        <f>IF(U266="nulová",N266,0)</f>
        <v>0</v>
      </c>
      <c r="BJ266" s="21" t="s">
        <v>21</v>
      </c>
      <c r="BK266" s="150">
        <f>ROUND(L266*K266,2)</f>
        <v>0</v>
      </c>
      <c r="BL266" s="21" t="s">
        <v>281</v>
      </c>
      <c r="BM266" s="21" t="s">
        <v>901</v>
      </c>
    </row>
    <row r="267" spans="2:51" s="11" customFormat="1" ht="22.5" customHeight="1">
      <c r="B267" s="159"/>
      <c r="C267" s="160"/>
      <c r="D267" s="160"/>
      <c r="E267" s="161" t="s">
        <v>5</v>
      </c>
      <c r="F267" s="308" t="s">
        <v>897</v>
      </c>
      <c r="G267" s="309"/>
      <c r="H267" s="309"/>
      <c r="I267" s="309"/>
      <c r="J267" s="160"/>
      <c r="K267" s="162">
        <v>10.2</v>
      </c>
      <c r="L267" s="160"/>
      <c r="M267" s="160"/>
      <c r="N267" s="160"/>
      <c r="O267" s="160"/>
      <c r="P267" s="160"/>
      <c r="Q267" s="160"/>
      <c r="R267" s="163"/>
      <c r="T267" s="164"/>
      <c r="U267" s="160"/>
      <c r="V267" s="160"/>
      <c r="W267" s="160"/>
      <c r="X267" s="160"/>
      <c r="Y267" s="160"/>
      <c r="Z267" s="160"/>
      <c r="AA267" s="165"/>
      <c r="AT267" s="166" t="s">
        <v>179</v>
      </c>
      <c r="AU267" s="166" t="s">
        <v>135</v>
      </c>
      <c r="AV267" s="11" t="s">
        <v>135</v>
      </c>
      <c r="AW267" s="11" t="s">
        <v>35</v>
      </c>
      <c r="AX267" s="11" t="s">
        <v>21</v>
      </c>
      <c r="AY267" s="166" t="s">
        <v>167</v>
      </c>
    </row>
    <row r="268" spans="2:65" s="1" customFormat="1" ht="31.5" customHeight="1">
      <c r="B268" s="141"/>
      <c r="C268" s="142" t="s">
        <v>902</v>
      </c>
      <c r="D268" s="142" t="s">
        <v>168</v>
      </c>
      <c r="E268" s="143" t="s">
        <v>903</v>
      </c>
      <c r="F268" s="293" t="s">
        <v>904</v>
      </c>
      <c r="G268" s="293"/>
      <c r="H268" s="293"/>
      <c r="I268" s="293"/>
      <c r="J268" s="144" t="s">
        <v>259</v>
      </c>
      <c r="K268" s="145">
        <v>2.4</v>
      </c>
      <c r="L268" s="294"/>
      <c r="M268" s="294"/>
      <c r="N268" s="294">
        <f>ROUND(L268*K268,2)</f>
        <v>0</v>
      </c>
      <c r="O268" s="294"/>
      <c r="P268" s="294"/>
      <c r="Q268" s="294"/>
      <c r="R268" s="146"/>
      <c r="T268" s="147" t="s">
        <v>5</v>
      </c>
      <c r="U268" s="44" t="s">
        <v>43</v>
      </c>
      <c r="V268" s="148">
        <v>0.227</v>
      </c>
      <c r="W268" s="148">
        <f>V268*K268</f>
        <v>0.5448</v>
      </c>
      <c r="X268" s="148">
        <v>0.00104</v>
      </c>
      <c r="Y268" s="148">
        <f>X268*K268</f>
        <v>0.0024959999999999995</v>
      </c>
      <c r="Z268" s="148">
        <v>0</v>
      </c>
      <c r="AA268" s="149">
        <f>Z268*K268</f>
        <v>0</v>
      </c>
      <c r="AR268" s="21" t="s">
        <v>281</v>
      </c>
      <c r="AT268" s="21" t="s">
        <v>168</v>
      </c>
      <c r="AU268" s="21" t="s">
        <v>135</v>
      </c>
      <c r="AY268" s="21" t="s">
        <v>167</v>
      </c>
      <c r="BE268" s="150">
        <f>IF(U268="základní",N268,0)</f>
        <v>0</v>
      </c>
      <c r="BF268" s="150">
        <f>IF(U268="snížená",N268,0)</f>
        <v>0</v>
      </c>
      <c r="BG268" s="150">
        <f>IF(U268="zákl. přenesená",N268,0)</f>
        <v>0</v>
      </c>
      <c r="BH268" s="150">
        <f>IF(U268="sníž. přenesená",N268,0)</f>
        <v>0</v>
      </c>
      <c r="BI268" s="150">
        <f>IF(U268="nulová",N268,0)</f>
        <v>0</v>
      </c>
      <c r="BJ268" s="21" t="s">
        <v>21</v>
      </c>
      <c r="BK268" s="150">
        <f>ROUND(L268*K268,2)</f>
        <v>0</v>
      </c>
      <c r="BL268" s="21" t="s">
        <v>281</v>
      </c>
      <c r="BM268" s="21" t="s">
        <v>905</v>
      </c>
    </row>
    <row r="269" spans="2:51" s="11" customFormat="1" ht="22.5" customHeight="1">
      <c r="B269" s="159"/>
      <c r="C269" s="160"/>
      <c r="D269" s="160"/>
      <c r="E269" s="161" t="s">
        <v>5</v>
      </c>
      <c r="F269" s="308" t="s">
        <v>906</v>
      </c>
      <c r="G269" s="309"/>
      <c r="H269" s="309"/>
      <c r="I269" s="309"/>
      <c r="J269" s="160"/>
      <c r="K269" s="162">
        <v>2.4</v>
      </c>
      <c r="L269" s="160"/>
      <c r="M269" s="160"/>
      <c r="N269" s="160"/>
      <c r="O269" s="160"/>
      <c r="P269" s="160"/>
      <c r="Q269" s="160"/>
      <c r="R269" s="163"/>
      <c r="T269" s="164"/>
      <c r="U269" s="160"/>
      <c r="V269" s="160"/>
      <c r="W269" s="160"/>
      <c r="X269" s="160"/>
      <c r="Y269" s="160"/>
      <c r="Z269" s="160"/>
      <c r="AA269" s="165"/>
      <c r="AT269" s="166" t="s">
        <v>179</v>
      </c>
      <c r="AU269" s="166" t="s">
        <v>135</v>
      </c>
      <c r="AV269" s="11" t="s">
        <v>135</v>
      </c>
      <c r="AW269" s="11" t="s">
        <v>35</v>
      </c>
      <c r="AX269" s="11" t="s">
        <v>21</v>
      </c>
      <c r="AY269" s="166" t="s">
        <v>167</v>
      </c>
    </row>
    <row r="270" spans="2:65" s="1" customFormat="1" ht="31.5" customHeight="1">
      <c r="B270" s="141"/>
      <c r="C270" s="142" t="s">
        <v>907</v>
      </c>
      <c r="D270" s="142" t="s">
        <v>168</v>
      </c>
      <c r="E270" s="143" t="s">
        <v>908</v>
      </c>
      <c r="F270" s="293" t="s">
        <v>909</v>
      </c>
      <c r="G270" s="293"/>
      <c r="H270" s="293"/>
      <c r="I270" s="293"/>
      <c r="J270" s="144" t="s">
        <v>259</v>
      </c>
      <c r="K270" s="145">
        <v>5.8</v>
      </c>
      <c r="L270" s="294"/>
      <c r="M270" s="294"/>
      <c r="N270" s="294">
        <f>ROUND(L270*K270,2)</f>
        <v>0</v>
      </c>
      <c r="O270" s="294"/>
      <c r="P270" s="294"/>
      <c r="Q270" s="294"/>
      <c r="R270" s="146"/>
      <c r="T270" s="147" t="s">
        <v>5</v>
      </c>
      <c r="U270" s="44" t="s">
        <v>43</v>
      </c>
      <c r="V270" s="148">
        <v>0.516</v>
      </c>
      <c r="W270" s="148">
        <f>V270*K270</f>
        <v>2.9928</v>
      </c>
      <c r="X270" s="148">
        <v>0.00332</v>
      </c>
      <c r="Y270" s="148">
        <f>X270*K270</f>
        <v>0.019256</v>
      </c>
      <c r="Z270" s="148">
        <v>0</v>
      </c>
      <c r="AA270" s="149">
        <f>Z270*K270</f>
        <v>0</v>
      </c>
      <c r="AR270" s="21" t="s">
        <v>281</v>
      </c>
      <c r="AT270" s="21" t="s">
        <v>168</v>
      </c>
      <c r="AU270" s="21" t="s">
        <v>135</v>
      </c>
      <c r="AY270" s="21" t="s">
        <v>167</v>
      </c>
      <c r="BE270" s="150">
        <f>IF(U270="základní",N270,0)</f>
        <v>0</v>
      </c>
      <c r="BF270" s="150">
        <f>IF(U270="snížená",N270,0)</f>
        <v>0</v>
      </c>
      <c r="BG270" s="150">
        <f>IF(U270="zákl. přenesená",N270,0)</f>
        <v>0</v>
      </c>
      <c r="BH270" s="150">
        <f>IF(U270="sníž. přenesená",N270,0)</f>
        <v>0</v>
      </c>
      <c r="BI270" s="150">
        <f>IF(U270="nulová",N270,0)</f>
        <v>0</v>
      </c>
      <c r="BJ270" s="21" t="s">
        <v>21</v>
      </c>
      <c r="BK270" s="150">
        <f>ROUND(L270*K270,2)</f>
        <v>0</v>
      </c>
      <c r="BL270" s="21" t="s">
        <v>281</v>
      </c>
      <c r="BM270" s="21" t="s">
        <v>910</v>
      </c>
    </row>
    <row r="271" spans="2:51" s="11" customFormat="1" ht="22.5" customHeight="1">
      <c r="B271" s="159"/>
      <c r="C271" s="160"/>
      <c r="D271" s="160"/>
      <c r="E271" s="161" t="s">
        <v>5</v>
      </c>
      <c r="F271" s="308" t="s">
        <v>911</v>
      </c>
      <c r="G271" s="309"/>
      <c r="H271" s="309"/>
      <c r="I271" s="309"/>
      <c r="J271" s="160"/>
      <c r="K271" s="162">
        <v>5.8</v>
      </c>
      <c r="L271" s="160"/>
      <c r="M271" s="160"/>
      <c r="N271" s="160"/>
      <c r="O271" s="160"/>
      <c r="P271" s="160"/>
      <c r="Q271" s="160"/>
      <c r="R271" s="163"/>
      <c r="T271" s="164"/>
      <c r="U271" s="160"/>
      <c r="V271" s="160"/>
      <c r="W271" s="160"/>
      <c r="X271" s="160"/>
      <c r="Y271" s="160"/>
      <c r="Z271" s="160"/>
      <c r="AA271" s="165"/>
      <c r="AT271" s="166" t="s">
        <v>179</v>
      </c>
      <c r="AU271" s="166" t="s">
        <v>135</v>
      </c>
      <c r="AV271" s="11" t="s">
        <v>135</v>
      </c>
      <c r="AW271" s="11" t="s">
        <v>35</v>
      </c>
      <c r="AX271" s="11" t="s">
        <v>21</v>
      </c>
      <c r="AY271" s="166" t="s">
        <v>167</v>
      </c>
    </row>
    <row r="272" spans="2:65" s="1" customFormat="1" ht="31.5" customHeight="1">
      <c r="B272" s="141"/>
      <c r="C272" s="142" t="s">
        <v>912</v>
      </c>
      <c r="D272" s="142" t="s">
        <v>168</v>
      </c>
      <c r="E272" s="143" t="s">
        <v>913</v>
      </c>
      <c r="F272" s="293" t="s">
        <v>914</v>
      </c>
      <c r="G272" s="293"/>
      <c r="H272" s="293"/>
      <c r="I272" s="293"/>
      <c r="J272" s="144" t="s">
        <v>408</v>
      </c>
      <c r="K272" s="145">
        <v>1.52</v>
      </c>
      <c r="L272" s="294"/>
      <c r="M272" s="294"/>
      <c r="N272" s="294">
        <f>ROUND(L272*K272,2)</f>
        <v>0</v>
      </c>
      <c r="O272" s="294"/>
      <c r="P272" s="294"/>
      <c r="Q272" s="294"/>
      <c r="R272" s="146"/>
      <c r="T272" s="147" t="s">
        <v>5</v>
      </c>
      <c r="U272" s="44" t="s">
        <v>43</v>
      </c>
      <c r="V272" s="148">
        <v>0</v>
      </c>
      <c r="W272" s="148">
        <f>V272*K272</f>
        <v>0</v>
      </c>
      <c r="X272" s="148">
        <v>0</v>
      </c>
      <c r="Y272" s="148">
        <f>X272*K272</f>
        <v>0</v>
      </c>
      <c r="Z272" s="148">
        <v>0</v>
      </c>
      <c r="AA272" s="149">
        <f>Z272*K272</f>
        <v>0</v>
      </c>
      <c r="AR272" s="21" t="s">
        <v>281</v>
      </c>
      <c r="AT272" s="21" t="s">
        <v>168</v>
      </c>
      <c r="AU272" s="21" t="s">
        <v>135</v>
      </c>
      <c r="AY272" s="21" t="s">
        <v>167</v>
      </c>
      <c r="BE272" s="150">
        <f>IF(U272="základní",N272,0)</f>
        <v>0</v>
      </c>
      <c r="BF272" s="150">
        <f>IF(U272="snížená",N272,0)</f>
        <v>0</v>
      </c>
      <c r="BG272" s="150">
        <f>IF(U272="zákl. přenesená",N272,0)</f>
        <v>0</v>
      </c>
      <c r="BH272" s="150">
        <f>IF(U272="sníž. přenesená",N272,0)</f>
        <v>0</v>
      </c>
      <c r="BI272" s="150">
        <f>IF(U272="nulová",N272,0)</f>
        <v>0</v>
      </c>
      <c r="BJ272" s="21" t="s">
        <v>21</v>
      </c>
      <c r="BK272" s="150">
        <f>ROUND(L272*K272,2)</f>
        <v>0</v>
      </c>
      <c r="BL272" s="21" t="s">
        <v>281</v>
      </c>
      <c r="BM272" s="21" t="s">
        <v>915</v>
      </c>
    </row>
    <row r="273" spans="2:63" s="9" customFormat="1" ht="29.85" customHeight="1">
      <c r="B273" s="130"/>
      <c r="C273" s="131"/>
      <c r="D273" s="140" t="s">
        <v>650</v>
      </c>
      <c r="E273" s="140"/>
      <c r="F273" s="140"/>
      <c r="G273" s="140"/>
      <c r="H273" s="140"/>
      <c r="I273" s="140"/>
      <c r="J273" s="140"/>
      <c r="K273" s="140"/>
      <c r="L273" s="140"/>
      <c r="M273" s="140"/>
      <c r="N273" s="310">
        <f>BK273</f>
        <v>0</v>
      </c>
      <c r="O273" s="311"/>
      <c r="P273" s="311"/>
      <c r="Q273" s="311"/>
      <c r="R273" s="133"/>
      <c r="T273" s="134"/>
      <c r="U273" s="131"/>
      <c r="V273" s="131"/>
      <c r="W273" s="135">
        <f>SUM(W274:W280)</f>
        <v>36.6726</v>
      </c>
      <c r="X273" s="131"/>
      <c r="Y273" s="135">
        <f>SUM(Y274:Y280)</f>
        <v>0.49836</v>
      </c>
      <c r="Z273" s="131"/>
      <c r="AA273" s="136">
        <f>SUM(AA274:AA280)</f>
        <v>0</v>
      </c>
      <c r="AR273" s="137" t="s">
        <v>135</v>
      </c>
      <c r="AT273" s="138" t="s">
        <v>77</v>
      </c>
      <c r="AU273" s="138" t="s">
        <v>21</v>
      </c>
      <c r="AY273" s="137" t="s">
        <v>167</v>
      </c>
      <c r="BK273" s="139">
        <f>SUM(BK274:BK280)</f>
        <v>0</v>
      </c>
    </row>
    <row r="274" spans="2:65" s="1" customFormat="1" ht="31.5" customHeight="1">
      <c r="B274" s="141"/>
      <c r="C274" s="142" t="s">
        <v>916</v>
      </c>
      <c r="D274" s="142" t="s">
        <v>168</v>
      </c>
      <c r="E274" s="143" t="s">
        <v>917</v>
      </c>
      <c r="F274" s="293" t="s">
        <v>918</v>
      </c>
      <c r="G274" s="293"/>
      <c r="H274" s="293"/>
      <c r="I274" s="293"/>
      <c r="J274" s="144" t="s">
        <v>199</v>
      </c>
      <c r="K274" s="145">
        <v>47</v>
      </c>
      <c r="L274" s="294"/>
      <c r="M274" s="294"/>
      <c r="N274" s="294">
        <f aca="true" t="shared" si="0" ref="N274:N280">ROUND(L274*K274,2)</f>
        <v>0</v>
      </c>
      <c r="O274" s="294"/>
      <c r="P274" s="294"/>
      <c r="Q274" s="294"/>
      <c r="R274" s="146"/>
      <c r="T274" s="147" t="s">
        <v>5</v>
      </c>
      <c r="U274" s="44" t="s">
        <v>43</v>
      </c>
      <c r="V274" s="148">
        <v>0.558</v>
      </c>
      <c r="W274" s="148">
        <f aca="true" t="shared" si="1" ref="W274:W280">V274*K274</f>
        <v>26.226000000000003</v>
      </c>
      <c r="X274" s="148">
        <v>0</v>
      </c>
      <c r="Y274" s="148">
        <f aca="true" t="shared" si="2" ref="Y274:Y280">X274*K274</f>
        <v>0</v>
      </c>
      <c r="Z274" s="148">
        <v>0</v>
      </c>
      <c r="AA274" s="149">
        <f aca="true" t="shared" si="3" ref="AA274:AA280">Z274*K274</f>
        <v>0</v>
      </c>
      <c r="AR274" s="21" t="s">
        <v>281</v>
      </c>
      <c r="AT274" s="21" t="s">
        <v>168</v>
      </c>
      <c r="AU274" s="21" t="s">
        <v>135</v>
      </c>
      <c r="AY274" s="21" t="s">
        <v>167</v>
      </c>
      <c r="BE274" s="150">
        <f aca="true" t="shared" si="4" ref="BE274:BE280">IF(U274="základní",N274,0)</f>
        <v>0</v>
      </c>
      <c r="BF274" s="150">
        <f aca="true" t="shared" si="5" ref="BF274:BF280">IF(U274="snížená",N274,0)</f>
        <v>0</v>
      </c>
      <c r="BG274" s="150">
        <f aca="true" t="shared" si="6" ref="BG274:BG280">IF(U274="zákl. přenesená",N274,0)</f>
        <v>0</v>
      </c>
      <c r="BH274" s="150">
        <f aca="true" t="shared" si="7" ref="BH274:BH280">IF(U274="sníž. přenesená",N274,0)</f>
        <v>0</v>
      </c>
      <c r="BI274" s="150">
        <f aca="true" t="shared" si="8" ref="BI274:BI280">IF(U274="nulová",N274,0)</f>
        <v>0</v>
      </c>
      <c r="BJ274" s="21" t="s">
        <v>21</v>
      </c>
      <c r="BK274" s="150">
        <f aca="true" t="shared" si="9" ref="BK274:BK280">ROUND(L274*K274,2)</f>
        <v>0</v>
      </c>
      <c r="BL274" s="21" t="s">
        <v>281</v>
      </c>
      <c r="BM274" s="21" t="s">
        <v>919</v>
      </c>
    </row>
    <row r="275" spans="2:65" s="1" customFormat="1" ht="22.5" customHeight="1">
      <c r="B275" s="141"/>
      <c r="C275" s="178" t="s">
        <v>920</v>
      </c>
      <c r="D275" s="178" t="s">
        <v>317</v>
      </c>
      <c r="E275" s="179" t="s">
        <v>921</v>
      </c>
      <c r="F275" s="313" t="s">
        <v>922</v>
      </c>
      <c r="G275" s="313"/>
      <c r="H275" s="313"/>
      <c r="I275" s="313"/>
      <c r="J275" s="180" t="s">
        <v>199</v>
      </c>
      <c r="K275" s="181">
        <v>50</v>
      </c>
      <c r="L275" s="314"/>
      <c r="M275" s="314"/>
      <c r="N275" s="314">
        <f t="shared" si="0"/>
        <v>0</v>
      </c>
      <c r="O275" s="294"/>
      <c r="P275" s="294"/>
      <c r="Q275" s="294"/>
      <c r="R275" s="146"/>
      <c r="T275" s="147" t="s">
        <v>5</v>
      </c>
      <c r="U275" s="44" t="s">
        <v>43</v>
      </c>
      <c r="V275" s="148">
        <v>0</v>
      </c>
      <c r="W275" s="148">
        <f t="shared" si="1"/>
        <v>0</v>
      </c>
      <c r="X275" s="148">
        <v>0.0095</v>
      </c>
      <c r="Y275" s="148">
        <f t="shared" si="2"/>
        <v>0.475</v>
      </c>
      <c r="Z275" s="148">
        <v>0</v>
      </c>
      <c r="AA275" s="149">
        <f t="shared" si="3"/>
        <v>0</v>
      </c>
      <c r="AR275" s="21" t="s">
        <v>477</v>
      </c>
      <c r="AT275" s="21" t="s">
        <v>317</v>
      </c>
      <c r="AU275" s="21" t="s">
        <v>135</v>
      </c>
      <c r="AY275" s="21" t="s">
        <v>167</v>
      </c>
      <c r="BE275" s="150">
        <f t="shared" si="4"/>
        <v>0</v>
      </c>
      <c r="BF275" s="150">
        <f t="shared" si="5"/>
        <v>0</v>
      </c>
      <c r="BG275" s="150">
        <f t="shared" si="6"/>
        <v>0</v>
      </c>
      <c r="BH275" s="150">
        <f t="shared" si="7"/>
        <v>0</v>
      </c>
      <c r="BI275" s="150">
        <f t="shared" si="8"/>
        <v>0</v>
      </c>
      <c r="BJ275" s="21" t="s">
        <v>21</v>
      </c>
      <c r="BK275" s="150">
        <f t="shared" si="9"/>
        <v>0</v>
      </c>
      <c r="BL275" s="21" t="s">
        <v>281</v>
      </c>
      <c r="BM275" s="21" t="s">
        <v>923</v>
      </c>
    </row>
    <row r="276" spans="2:65" s="1" customFormat="1" ht="31.5" customHeight="1">
      <c r="B276" s="141"/>
      <c r="C276" s="142" t="s">
        <v>924</v>
      </c>
      <c r="D276" s="142" t="s">
        <v>168</v>
      </c>
      <c r="E276" s="143" t="s">
        <v>925</v>
      </c>
      <c r="F276" s="293" t="s">
        <v>926</v>
      </c>
      <c r="G276" s="293"/>
      <c r="H276" s="293"/>
      <c r="I276" s="293"/>
      <c r="J276" s="144" t="s">
        <v>259</v>
      </c>
      <c r="K276" s="145">
        <v>10.2</v>
      </c>
      <c r="L276" s="294"/>
      <c r="M276" s="294"/>
      <c r="N276" s="294">
        <f t="shared" si="0"/>
        <v>0</v>
      </c>
      <c r="O276" s="294"/>
      <c r="P276" s="294"/>
      <c r="Q276" s="294"/>
      <c r="R276" s="146"/>
      <c r="T276" s="147" t="s">
        <v>5</v>
      </c>
      <c r="U276" s="44" t="s">
        <v>43</v>
      </c>
      <c r="V276" s="148">
        <v>0.333</v>
      </c>
      <c r="W276" s="148">
        <f t="shared" si="1"/>
        <v>3.3966</v>
      </c>
      <c r="X276" s="148">
        <v>0</v>
      </c>
      <c r="Y276" s="148">
        <f t="shared" si="2"/>
        <v>0</v>
      </c>
      <c r="Z276" s="148">
        <v>0</v>
      </c>
      <c r="AA276" s="149">
        <f t="shared" si="3"/>
        <v>0</v>
      </c>
      <c r="AR276" s="21" t="s">
        <v>281</v>
      </c>
      <c r="AT276" s="21" t="s">
        <v>168</v>
      </c>
      <c r="AU276" s="21" t="s">
        <v>135</v>
      </c>
      <c r="AY276" s="21" t="s">
        <v>167</v>
      </c>
      <c r="BE276" s="150">
        <f t="shared" si="4"/>
        <v>0</v>
      </c>
      <c r="BF276" s="150">
        <f t="shared" si="5"/>
        <v>0</v>
      </c>
      <c r="BG276" s="150">
        <f t="shared" si="6"/>
        <v>0</v>
      </c>
      <c r="BH276" s="150">
        <f t="shared" si="7"/>
        <v>0</v>
      </c>
      <c r="BI276" s="150">
        <f t="shared" si="8"/>
        <v>0</v>
      </c>
      <c r="BJ276" s="21" t="s">
        <v>21</v>
      </c>
      <c r="BK276" s="150">
        <f t="shared" si="9"/>
        <v>0</v>
      </c>
      <c r="BL276" s="21" t="s">
        <v>281</v>
      </c>
      <c r="BM276" s="21" t="s">
        <v>927</v>
      </c>
    </row>
    <row r="277" spans="2:65" s="1" customFormat="1" ht="31.5" customHeight="1">
      <c r="B277" s="141"/>
      <c r="C277" s="142" t="s">
        <v>261</v>
      </c>
      <c r="D277" s="142" t="s">
        <v>168</v>
      </c>
      <c r="E277" s="143" t="s">
        <v>928</v>
      </c>
      <c r="F277" s="293" t="s">
        <v>929</v>
      </c>
      <c r="G277" s="293"/>
      <c r="H277" s="293"/>
      <c r="I277" s="293"/>
      <c r="J277" s="144" t="s">
        <v>199</v>
      </c>
      <c r="K277" s="145">
        <v>47</v>
      </c>
      <c r="L277" s="294"/>
      <c r="M277" s="294"/>
      <c r="N277" s="294">
        <f t="shared" si="0"/>
        <v>0</v>
      </c>
      <c r="O277" s="294"/>
      <c r="P277" s="294"/>
      <c r="Q277" s="294"/>
      <c r="R277" s="146"/>
      <c r="T277" s="147" t="s">
        <v>5</v>
      </c>
      <c r="U277" s="44" t="s">
        <v>43</v>
      </c>
      <c r="V277" s="148">
        <v>0.1</v>
      </c>
      <c r="W277" s="148">
        <f t="shared" si="1"/>
        <v>4.7</v>
      </c>
      <c r="X277" s="148">
        <v>1E-05</v>
      </c>
      <c r="Y277" s="148">
        <f t="shared" si="2"/>
        <v>0.00047000000000000004</v>
      </c>
      <c r="Z277" s="148">
        <v>0</v>
      </c>
      <c r="AA277" s="149">
        <f t="shared" si="3"/>
        <v>0</v>
      </c>
      <c r="AR277" s="21" t="s">
        <v>281</v>
      </c>
      <c r="AT277" s="21" t="s">
        <v>168</v>
      </c>
      <c r="AU277" s="21" t="s">
        <v>135</v>
      </c>
      <c r="AY277" s="21" t="s">
        <v>167</v>
      </c>
      <c r="BE277" s="150">
        <f t="shared" si="4"/>
        <v>0</v>
      </c>
      <c r="BF277" s="150">
        <f t="shared" si="5"/>
        <v>0</v>
      </c>
      <c r="BG277" s="150">
        <f t="shared" si="6"/>
        <v>0</v>
      </c>
      <c r="BH277" s="150">
        <f t="shared" si="7"/>
        <v>0</v>
      </c>
      <c r="BI277" s="150">
        <f t="shared" si="8"/>
        <v>0</v>
      </c>
      <c r="BJ277" s="21" t="s">
        <v>21</v>
      </c>
      <c r="BK277" s="150">
        <f t="shared" si="9"/>
        <v>0</v>
      </c>
      <c r="BL277" s="21" t="s">
        <v>281</v>
      </c>
      <c r="BM277" s="21" t="s">
        <v>930</v>
      </c>
    </row>
    <row r="278" spans="2:65" s="1" customFormat="1" ht="31.5" customHeight="1">
      <c r="B278" s="141"/>
      <c r="C278" s="178" t="s">
        <v>931</v>
      </c>
      <c r="D278" s="178" t="s">
        <v>317</v>
      </c>
      <c r="E278" s="179" t="s">
        <v>932</v>
      </c>
      <c r="F278" s="313" t="s">
        <v>933</v>
      </c>
      <c r="G278" s="313"/>
      <c r="H278" s="313"/>
      <c r="I278" s="313"/>
      <c r="J278" s="180" t="s">
        <v>199</v>
      </c>
      <c r="K278" s="181">
        <v>50</v>
      </c>
      <c r="L278" s="314"/>
      <c r="M278" s="314"/>
      <c r="N278" s="314">
        <f t="shared" si="0"/>
        <v>0</v>
      </c>
      <c r="O278" s="294"/>
      <c r="P278" s="294"/>
      <c r="Q278" s="294"/>
      <c r="R278" s="146"/>
      <c r="T278" s="147" t="s">
        <v>5</v>
      </c>
      <c r="U278" s="44" t="s">
        <v>43</v>
      </c>
      <c r="V278" s="148">
        <v>0</v>
      </c>
      <c r="W278" s="148">
        <f t="shared" si="1"/>
        <v>0</v>
      </c>
      <c r="X278" s="148">
        <v>0.00011</v>
      </c>
      <c r="Y278" s="148">
        <f t="shared" si="2"/>
        <v>0.0055000000000000005</v>
      </c>
      <c r="Z278" s="148">
        <v>0</v>
      </c>
      <c r="AA278" s="149">
        <f t="shared" si="3"/>
        <v>0</v>
      </c>
      <c r="AR278" s="21" t="s">
        <v>477</v>
      </c>
      <c r="AT278" s="21" t="s">
        <v>317</v>
      </c>
      <c r="AU278" s="21" t="s">
        <v>135</v>
      </c>
      <c r="AY278" s="21" t="s">
        <v>167</v>
      </c>
      <c r="BE278" s="150">
        <f t="shared" si="4"/>
        <v>0</v>
      </c>
      <c r="BF278" s="150">
        <f t="shared" si="5"/>
        <v>0</v>
      </c>
      <c r="BG278" s="150">
        <f t="shared" si="6"/>
        <v>0</v>
      </c>
      <c r="BH278" s="150">
        <f t="shared" si="7"/>
        <v>0</v>
      </c>
      <c r="BI278" s="150">
        <f t="shared" si="8"/>
        <v>0</v>
      </c>
      <c r="BJ278" s="21" t="s">
        <v>21</v>
      </c>
      <c r="BK278" s="150">
        <f t="shared" si="9"/>
        <v>0</v>
      </c>
      <c r="BL278" s="21" t="s">
        <v>281</v>
      </c>
      <c r="BM278" s="21" t="s">
        <v>934</v>
      </c>
    </row>
    <row r="279" spans="2:65" s="1" customFormat="1" ht="22.5" customHeight="1">
      <c r="B279" s="141"/>
      <c r="C279" s="142" t="s">
        <v>935</v>
      </c>
      <c r="D279" s="142" t="s">
        <v>168</v>
      </c>
      <c r="E279" s="143" t="s">
        <v>936</v>
      </c>
      <c r="F279" s="293" t="s">
        <v>937</v>
      </c>
      <c r="G279" s="293"/>
      <c r="H279" s="293"/>
      <c r="I279" s="293"/>
      <c r="J279" s="144" t="s">
        <v>199</v>
      </c>
      <c r="K279" s="145">
        <v>47</v>
      </c>
      <c r="L279" s="294"/>
      <c r="M279" s="294"/>
      <c r="N279" s="294">
        <f t="shared" si="0"/>
        <v>0</v>
      </c>
      <c r="O279" s="294"/>
      <c r="P279" s="294"/>
      <c r="Q279" s="294"/>
      <c r="R279" s="146"/>
      <c r="T279" s="147" t="s">
        <v>5</v>
      </c>
      <c r="U279" s="44" t="s">
        <v>43</v>
      </c>
      <c r="V279" s="148">
        <v>0.05</v>
      </c>
      <c r="W279" s="148">
        <f t="shared" si="1"/>
        <v>2.35</v>
      </c>
      <c r="X279" s="148">
        <v>0.00037</v>
      </c>
      <c r="Y279" s="148">
        <f t="shared" si="2"/>
        <v>0.01739</v>
      </c>
      <c r="Z279" s="148">
        <v>0</v>
      </c>
      <c r="AA279" s="149">
        <f t="shared" si="3"/>
        <v>0</v>
      </c>
      <c r="AR279" s="21" t="s">
        <v>281</v>
      </c>
      <c r="AT279" s="21" t="s">
        <v>168</v>
      </c>
      <c r="AU279" s="21" t="s">
        <v>135</v>
      </c>
      <c r="AY279" s="21" t="s">
        <v>167</v>
      </c>
      <c r="BE279" s="150">
        <f t="shared" si="4"/>
        <v>0</v>
      </c>
      <c r="BF279" s="150">
        <f t="shared" si="5"/>
        <v>0</v>
      </c>
      <c r="BG279" s="150">
        <f t="shared" si="6"/>
        <v>0</v>
      </c>
      <c r="BH279" s="150">
        <f t="shared" si="7"/>
        <v>0</v>
      </c>
      <c r="BI279" s="150">
        <f t="shared" si="8"/>
        <v>0</v>
      </c>
      <c r="BJ279" s="21" t="s">
        <v>21</v>
      </c>
      <c r="BK279" s="150">
        <f t="shared" si="9"/>
        <v>0</v>
      </c>
      <c r="BL279" s="21" t="s">
        <v>281</v>
      </c>
      <c r="BM279" s="21" t="s">
        <v>938</v>
      </c>
    </row>
    <row r="280" spans="2:65" s="1" customFormat="1" ht="31.5" customHeight="1">
      <c r="B280" s="141"/>
      <c r="C280" s="142" t="s">
        <v>939</v>
      </c>
      <c r="D280" s="142" t="s">
        <v>168</v>
      </c>
      <c r="E280" s="143" t="s">
        <v>940</v>
      </c>
      <c r="F280" s="293" t="s">
        <v>941</v>
      </c>
      <c r="G280" s="293"/>
      <c r="H280" s="293"/>
      <c r="I280" s="293"/>
      <c r="J280" s="144" t="s">
        <v>408</v>
      </c>
      <c r="K280" s="145">
        <v>4.84</v>
      </c>
      <c r="L280" s="294"/>
      <c r="M280" s="294"/>
      <c r="N280" s="294">
        <f t="shared" si="0"/>
        <v>0</v>
      </c>
      <c r="O280" s="294"/>
      <c r="P280" s="294"/>
      <c r="Q280" s="294"/>
      <c r="R280" s="146"/>
      <c r="T280" s="147" t="s">
        <v>5</v>
      </c>
      <c r="U280" s="44" t="s">
        <v>43</v>
      </c>
      <c r="V280" s="148">
        <v>0</v>
      </c>
      <c r="W280" s="148">
        <f t="shared" si="1"/>
        <v>0</v>
      </c>
      <c r="X280" s="148">
        <v>0</v>
      </c>
      <c r="Y280" s="148">
        <f t="shared" si="2"/>
        <v>0</v>
      </c>
      <c r="Z280" s="148">
        <v>0</v>
      </c>
      <c r="AA280" s="149">
        <f t="shared" si="3"/>
        <v>0</v>
      </c>
      <c r="AR280" s="21" t="s">
        <v>281</v>
      </c>
      <c r="AT280" s="21" t="s">
        <v>168</v>
      </c>
      <c r="AU280" s="21" t="s">
        <v>135</v>
      </c>
      <c r="AY280" s="21" t="s">
        <v>167</v>
      </c>
      <c r="BE280" s="150">
        <f t="shared" si="4"/>
        <v>0</v>
      </c>
      <c r="BF280" s="150">
        <f t="shared" si="5"/>
        <v>0</v>
      </c>
      <c r="BG280" s="150">
        <f t="shared" si="6"/>
        <v>0</v>
      </c>
      <c r="BH280" s="150">
        <f t="shared" si="7"/>
        <v>0</v>
      </c>
      <c r="BI280" s="150">
        <f t="shared" si="8"/>
        <v>0</v>
      </c>
      <c r="BJ280" s="21" t="s">
        <v>21</v>
      </c>
      <c r="BK280" s="150">
        <f t="shared" si="9"/>
        <v>0</v>
      </c>
      <c r="BL280" s="21" t="s">
        <v>281</v>
      </c>
      <c r="BM280" s="21" t="s">
        <v>942</v>
      </c>
    </row>
    <row r="281" spans="2:63" s="9" customFormat="1" ht="29.85" customHeight="1">
      <c r="B281" s="130"/>
      <c r="C281" s="131"/>
      <c r="D281" s="140" t="s">
        <v>651</v>
      </c>
      <c r="E281" s="140"/>
      <c r="F281" s="140"/>
      <c r="G281" s="140"/>
      <c r="H281" s="140"/>
      <c r="I281" s="140"/>
      <c r="J281" s="140"/>
      <c r="K281" s="140"/>
      <c r="L281" s="140"/>
      <c r="M281" s="140"/>
      <c r="N281" s="310">
        <f>BK281</f>
        <v>0</v>
      </c>
      <c r="O281" s="311"/>
      <c r="P281" s="311"/>
      <c r="Q281" s="311"/>
      <c r="R281" s="133"/>
      <c r="T281" s="134"/>
      <c r="U281" s="131"/>
      <c r="V281" s="131"/>
      <c r="W281" s="135">
        <f>SUM(W282:W287)</f>
        <v>5.271</v>
      </c>
      <c r="X281" s="131"/>
      <c r="Y281" s="135">
        <f>SUM(Y282:Y287)</f>
        <v>0.00119</v>
      </c>
      <c r="Z281" s="131"/>
      <c r="AA281" s="136">
        <f>SUM(AA282:AA287)</f>
        <v>0</v>
      </c>
      <c r="AR281" s="137" t="s">
        <v>135</v>
      </c>
      <c r="AT281" s="138" t="s">
        <v>77</v>
      </c>
      <c r="AU281" s="138" t="s">
        <v>21</v>
      </c>
      <c r="AY281" s="137" t="s">
        <v>167</v>
      </c>
      <c r="BK281" s="139">
        <f>SUM(BK282:BK287)</f>
        <v>0</v>
      </c>
    </row>
    <row r="282" spans="2:65" s="1" customFormat="1" ht="44.25" customHeight="1">
      <c r="B282" s="141"/>
      <c r="C282" s="142" t="s">
        <v>943</v>
      </c>
      <c r="D282" s="142" t="s">
        <v>168</v>
      </c>
      <c r="E282" s="143" t="s">
        <v>944</v>
      </c>
      <c r="F282" s="293" t="s">
        <v>945</v>
      </c>
      <c r="G282" s="293"/>
      <c r="H282" s="293"/>
      <c r="I282" s="293"/>
      <c r="J282" s="144" t="s">
        <v>595</v>
      </c>
      <c r="K282" s="145">
        <v>1</v>
      </c>
      <c r="L282" s="294"/>
      <c r="M282" s="294"/>
      <c r="N282" s="294">
        <f aca="true" t="shared" si="10" ref="N282:N287">ROUND(L282*K282,2)</f>
        <v>0</v>
      </c>
      <c r="O282" s="294"/>
      <c r="P282" s="294"/>
      <c r="Q282" s="294"/>
      <c r="R282" s="146"/>
      <c r="T282" s="147" t="s">
        <v>5</v>
      </c>
      <c r="U282" s="44" t="s">
        <v>43</v>
      </c>
      <c r="V282" s="148">
        <v>0.753</v>
      </c>
      <c r="W282" s="148">
        <f aca="true" t="shared" si="11" ref="W282:W287">V282*K282</f>
        <v>0.753</v>
      </c>
      <c r="X282" s="148">
        <v>0.00017</v>
      </c>
      <c r="Y282" s="148">
        <f aca="true" t="shared" si="12" ref="Y282:Y287">X282*K282</f>
        <v>0.00017</v>
      </c>
      <c r="Z282" s="148">
        <v>0</v>
      </c>
      <c r="AA282" s="149">
        <f aca="true" t="shared" si="13" ref="AA282:AA287">Z282*K282</f>
        <v>0</v>
      </c>
      <c r="AR282" s="21" t="s">
        <v>281</v>
      </c>
      <c r="AT282" s="21" t="s">
        <v>168</v>
      </c>
      <c r="AU282" s="21" t="s">
        <v>135</v>
      </c>
      <c r="AY282" s="21" t="s">
        <v>167</v>
      </c>
      <c r="BE282" s="150">
        <f aca="true" t="shared" si="14" ref="BE282:BE287">IF(U282="základní",N282,0)</f>
        <v>0</v>
      </c>
      <c r="BF282" s="150">
        <f aca="true" t="shared" si="15" ref="BF282:BF287">IF(U282="snížená",N282,0)</f>
        <v>0</v>
      </c>
      <c r="BG282" s="150">
        <f aca="true" t="shared" si="16" ref="BG282:BG287">IF(U282="zákl. přenesená",N282,0)</f>
        <v>0</v>
      </c>
      <c r="BH282" s="150">
        <f aca="true" t="shared" si="17" ref="BH282:BH287">IF(U282="sníž. přenesená",N282,0)</f>
        <v>0</v>
      </c>
      <c r="BI282" s="150">
        <f aca="true" t="shared" si="18" ref="BI282:BI287">IF(U282="nulová",N282,0)</f>
        <v>0</v>
      </c>
      <c r="BJ282" s="21" t="s">
        <v>21</v>
      </c>
      <c r="BK282" s="150">
        <f aca="true" t="shared" si="19" ref="BK282:BK287">ROUND(L282*K282,2)</f>
        <v>0</v>
      </c>
      <c r="BL282" s="21" t="s">
        <v>281</v>
      </c>
      <c r="BM282" s="21" t="s">
        <v>946</v>
      </c>
    </row>
    <row r="283" spans="2:65" s="1" customFormat="1" ht="31.5" customHeight="1">
      <c r="B283" s="141"/>
      <c r="C283" s="142" t="s">
        <v>947</v>
      </c>
      <c r="D283" s="142" t="s">
        <v>168</v>
      </c>
      <c r="E283" s="143" t="s">
        <v>948</v>
      </c>
      <c r="F283" s="293" t="s">
        <v>949</v>
      </c>
      <c r="G283" s="293"/>
      <c r="H283" s="293"/>
      <c r="I283" s="293"/>
      <c r="J283" s="144" t="s">
        <v>595</v>
      </c>
      <c r="K283" s="145">
        <v>2</v>
      </c>
      <c r="L283" s="294"/>
      <c r="M283" s="294"/>
      <c r="N283" s="294">
        <f t="shared" si="10"/>
        <v>0</v>
      </c>
      <c r="O283" s="294"/>
      <c r="P283" s="294"/>
      <c r="Q283" s="294"/>
      <c r="R283" s="146"/>
      <c r="T283" s="147" t="s">
        <v>5</v>
      </c>
      <c r="U283" s="44" t="s">
        <v>43</v>
      </c>
      <c r="V283" s="148">
        <v>0.753</v>
      </c>
      <c r="W283" s="148">
        <f t="shared" si="11"/>
        <v>1.506</v>
      </c>
      <c r="X283" s="148">
        <v>0.00017</v>
      </c>
      <c r="Y283" s="148">
        <f t="shared" si="12"/>
        <v>0.00034</v>
      </c>
      <c r="Z283" s="148">
        <v>0</v>
      </c>
      <c r="AA283" s="149">
        <f t="shared" si="13"/>
        <v>0</v>
      </c>
      <c r="AR283" s="21" t="s">
        <v>281</v>
      </c>
      <c r="AT283" s="21" t="s">
        <v>168</v>
      </c>
      <c r="AU283" s="21" t="s">
        <v>135</v>
      </c>
      <c r="AY283" s="21" t="s">
        <v>167</v>
      </c>
      <c r="BE283" s="150">
        <f t="shared" si="14"/>
        <v>0</v>
      </c>
      <c r="BF283" s="150">
        <f t="shared" si="15"/>
        <v>0</v>
      </c>
      <c r="BG283" s="150">
        <f t="shared" si="16"/>
        <v>0</v>
      </c>
      <c r="BH283" s="150">
        <f t="shared" si="17"/>
        <v>0</v>
      </c>
      <c r="BI283" s="150">
        <f t="shared" si="18"/>
        <v>0</v>
      </c>
      <c r="BJ283" s="21" t="s">
        <v>21</v>
      </c>
      <c r="BK283" s="150">
        <f t="shared" si="19"/>
        <v>0</v>
      </c>
      <c r="BL283" s="21" t="s">
        <v>281</v>
      </c>
      <c r="BM283" s="21" t="s">
        <v>950</v>
      </c>
    </row>
    <row r="284" spans="2:65" s="1" customFormat="1" ht="31.5" customHeight="1">
      <c r="B284" s="141"/>
      <c r="C284" s="142" t="s">
        <v>951</v>
      </c>
      <c r="D284" s="142" t="s">
        <v>168</v>
      </c>
      <c r="E284" s="143" t="s">
        <v>952</v>
      </c>
      <c r="F284" s="293" t="s">
        <v>953</v>
      </c>
      <c r="G284" s="293"/>
      <c r="H284" s="293"/>
      <c r="I284" s="293"/>
      <c r="J284" s="144" t="s">
        <v>595</v>
      </c>
      <c r="K284" s="145">
        <v>1</v>
      </c>
      <c r="L284" s="294"/>
      <c r="M284" s="294"/>
      <c r="N284" s="294">
        <f t="shared" si="10"/>
        <v>0</v>
      </c>
      <c r="O284" s="294"/>
      <c r="P284" s="294"/>
      <c r="Q284" s="294"/>
      <c r="R284" s="146"/>
      <c r="T284" s="147" t="s">
        <v>5</v>
      </c>
      <c r="U284" s="44" t="s">
        <v>43</v>
      </c>
      <c r="V284" s="148">
        <v>0.753</v>
      </c>
      <c r="W284" s="148">
        <f t="shared" si="11"/>
        <v>0.753</v>
      </c>
      <c r="X284" s="148">
        <v>0.00017</v>
      </c>
      <c r="Y284" s="148">
        <f t="shared" si="12"/>
        <v>0.00017</v>
      </c>
      <c r="Z284" s="148">
        <v>0</v>
      </c>
      <c r="AA284" s="149">
        <f t="shared" si="13"/>
        <v>0</v>
      </c>
      <c r="AR284" s="21" t="s">
        <v>281</v>
      </c>
      <c r="AT284" s="21" t="s">
        <v>168</v>
      </c>
      <c r="AU284" s="21" t="s">
        <v>135</v>
      </c>
      <c r="AY284" s="21" t="s">
        <v>167</v>
      </c>
      <c r="BE284" s="150">
        <f t="shared" si="14"/>
        <v>0</v>
      </c>
      <c r="BF284" s="150">
        <f t="shared" si="15"/>
        <v>0</v>
      </c>
      <c r="BG284" s="150">
        <f t="shared" si="16"/>
        <v>0</v>
      </c>
      <c r="BH284" s="150">
        <f t="shared" si="17"/>
        <v>0</v>
      </c>
      <c r="BI284" s="150">
        <f t="shared" si="18"/>
        <v>0</v>
      </c>
      <c r="BJ284" s="21" t="s">
        <v>21</v>
      </c>
      <c r="BK284" s="150">
        <f t="shared" si="19"/>
        <v>0</v>
      </c>
      <c r="BL284" s="21" t="s">
        <v>281</v>
      </c>
      <c r="BM284" s="21" t="s">
        <v>954</v>
      </c>
    </row>
    <row r="285" spans="2:65" s="1" customFormat="1" ht="31.5" customHeight="1">
      <c r="B285" s="141"/>
      <c r="C285" s="142" t="s">
        <v>955</v>
      </c>
      <c r="D285" s="142" t="s">
        <v>168</v>
      </c>
      <c r="E285" s="143" t="s">
        <v>956</v>
      </c>
      <c r="F285" s="293" t="s">
        <v>957</v>
      </c>
      <c r="G285" s="293"/>
      <c r="H285" s="293"/>
      <c r="I285" s="293"/>
      <c r="J285" s="144" t="s">
        <v>595</v>
      </c>
      <c r="K285" s="145">
        <v>2</v>
      </c>
      <c r="L285" s="294"/>
      <c r="M285" s="294"/>
      <c r="N285" s="294">
        <f t="shared" si="10"/>
        <v>0</v>
      </c>
      <c r="O285" s="294"/>
      <c r="P285" s="294"/>
      <c r="Q285" s="294"/>
      <c r="R285" s="146"/>
      <c r="T285" s="147" t="s">
        <v>5</v>
      </c>
      <c r="U285" s="44" t="s">
        <v>43</v>
      </c>
      <c r="V285" s="148">
        <v>0.753</v>
      </c>
      <c r="W285" s="148">
        <f t="shared" si="11"/>
        <v>1.506</v>
      </c>
      <c r="X285" s="148">
        <v>0.00017</v>
      </c>
      <c r="Y285" s="148">
        <f t="shared" si="12"/>
        <v>0.00034</v>
      </c>
      <c r="Z285" s="148">
        <v>0</v>
      </c>
      <c r="AA285" s="149">
        <f t="shared" si="13"/>
        <v>0</v>
      </c>
      <c r="AR285" s="21" t="s">
        <v>281</v>
      </c>
      <c r="AT285" s="21" t="s">
        <v>168</v>
      </c>
      <c r="AU285" s="21" t="s">
        <v>135</v>
      </c>
      <c r="AY285" s="21" t="s">
        <v>167</v>
      </c>
      <c r="BE285" s="150">
        <f t="shared" si="14"/>
        <v>0</v>
      </c>
      <c r="BF285" s="150">
        <f t="shared" si="15"/>
        <v>0</v>
      </c>
      <c r="BG285" s="150">
        <f t="shared" si="16"/>
        <v>0</v>
      </c>
      <c r="BH285" s="150">
        <f t="shared" si="17"/>
        <v>0</v>
      </c>
      <c r="BI285" s="150">
        <f t="shared" si="18"/>
        <v>0</v>
      </c>
      <c r="BJ285" s="21" t="s">
        <v>21</v>
      </c>
      <c r="BK285" s="150">
        <f t="shared" si="19"/>
        <v>0</v>
      </c>
      <c r="BL285" s="21" t="s">
        <v>281</v>
      </c>
      <c r="BM285" s="21" t="s">
        <v>958</v>
      </c>
    </row>
    <row r="286" spans="2:65" s="1" customFormat="1" ht="31.5" customHeight="1">
      <c r="B286" s="141"/>
      <c r="C286" s="142" t="s">
        <v>959</v>
      </c>
      <c r="D286" s="142" t="s">
        <v>168</v>
      </c>
      <c r="E286" s="143" t="s">
        <v>960</v>
      </c>
      <c r="F286" s="293" t="s">
        <v>961</v>
      </c>
      <c r="G286" s="293"/>
      <c r="H286" s="293"/>
      <c r="I286" s="293"/>
      <c r="J286" s="144" t="s">
        <v>595</v>
      </c>
      <c r="K286" s="145">
        <v>1</v>
      </c>
      <c r="L286" s="294"/>
      <c r="M286" s="294"/>
      <c r="N286" s="294">
        <f t="shared" si="10"/>
        <v>0</v>
      </c>
      <c r="O286" s="294"/>
      <c r="P286" s="294"/>
      <c r="Q286" s="294"/>
      <c r="R286" s="146"/>
      <c r="T286" s="147" t="s">
        <v>5</v>
      </c>
      <c r="U286" s="44" t="s">
        <v>43</v>
      </c>
      <c r="V286" s="148">
        <v>0.753</v>
      </c>
      <c r="W286" s="148">
        <f t="shared" si="11"/>
        <v>0.753</v>
      </c>
      <c r="X286" s="148">
        <v>0.00017</v>
      </c>
      <c r="Y286" s="148">
        <f t="shared" si="12"/>
        <v>0.00017</v>
      </c>
      <c r="Z286" s="148">
        <v>0</v>
      </c>
      <c r="AA286" s="149">
        <f t="shared" si="13"/>
        <v>0</v>
      </c>
      <c r="AR286" s="21" t="s">
        <v>281</v>
      </c>
      <c r="AT286" s="21" t="s">
        <v>168</v>
      </c>
      <c r="AU286" s="21" t="s">
        <v>135</v>
      </c>
      <c r="AY286" s="21" t="s">
        <v>167</v>
      </c>
      <c r="BE286" s="150">
        <f t="shared" si="14"/>
        <v>0</v>
      </c>
      <c r="BF286" s="150">
        <f t="shared" si="15"/>
        <v>0</v>
      </c>
      <c r="BG286" s="150">
        <f t="shared" si="16"/>
        <v>0</v>
      </c>
      <c r="BH286" s="150">
        <f t="shared" si="17"/>
        <v>0</v>
      </c>
      <c r="BI286" s="150">
        <f t="shared" si="18"/>
        <v>0</v>
      </c>
      <c r="BJ286" s="21" t="s">
        <v>21</v>
      </c>
      <c r="BK286" s="150">
        <f t="shared" si="19"/>
        <v>0</v>
      </c>
      <c r="BL286" s="21" t="s">
        <v>281</v>
      </c>
      <c r="BM286" s="21" t="s">
        <v>962</v>
      </c>
    </row>
    <row r="287" spans="2:65" s="1" customFormat="1" ht="31.5" customHeight="1">
      <c r="B287" s="141"/>
      <c r="C287" s="142" t="s">
        <v>963</v>
      </c>
      <c r="D287" s="142" t="s">
        <v>168</v>
      </c>
      <c r="E287" s="143" t="s">
        <v>964</v>
      </c>
      <c r="F287" s="293" t="s">
        <v>965</v>
      </c>
      <c r="G287" s="293"/>
      <c r="H287" s="293"/>
      <c r="I287" s="293"/>
      <c r="J287" s="144" t="s">
        <v>408</v>
      </c>
      <c r="K287" s="145">
        <v>1</v>
      </c>
      <c r="L287" s="294"/>
      <c r="M287" s="294"/>
      <c r="N287" s="294">
        <f t="shared" si="10"/>
        <v>0</v>
      </c>
      <c r="O287" s="294"/>
      <c r="P287" s="294"/>
      <c r="Q287" s="294"/>
      <c r="R287" s="146"/>
      <c r="T287" s="147" t="s">
        <v>5</v>
      </c>
      <c r="U287" s="44" t="s">
        <v>43</v>
      </c>
      <c r="V287" s="148">
        <v>0</v>
      </c>
      <c r="W287" s="148">
        <f t="shared" si="11"/>
        <v>0</v>
      </c>
      <c r="X287" s="148">
        <v>0</v>
      </c>
      <c r="Y287" s="148">
        <f t="shared" si="12"/>
        <v>0</v>
      </c>
      <c r="Z287" s="148">
        <v>0</v>
      </c>
      <c r="AA287" s="149">
        <f t="shared" si="13"/>
        <v>0</v>
      </c>
      <c r="AR287" s="21" t="s">
        <v>281</v>
      </c>
      <c r="AT287" s="21" t="s">
        <v>168</v>
      </c>
      <c r="AU287" s="21" t="s">
        <v>135</v>
      </c>
      <c r="AY287" s="21" t="s">
        <v>167</v>
      </c>
      <c r="BE287" s="150">
        <f t="shared" si="14"/>
        <v>0</v>
      </c>
      <c r="BF287" s="150">
        <f t="shared" si="15"/>
        <v>0</v>
      </c>
      <c r="BG287" s="150">
        <f t="shared" si="16"/>
        <v>0</v>
      </c>
      <c r="BH287" s="150">
        <f t="shared" si="17"/>
        <v>0</v>
      </c>
      <c r="BI287" s="150">
        <f t="shared" si="18"/>
        <v>0</v>
      </c>
      <c r="BJ287" s="21" t="s">
        <v>21</v>
      </c>
      <c r="BK287" s="150">
        <f t="shared" si="19"/>
        <v>0</v>
      </c>
      <c r="BL287" s="21" t="s">
        <v>281</v>
      </c>
      <c r="BM287" s="21" t="s">
        <v>966</v>
      </c>
    </row>
    <row r="288" spans="2:63" s="9" customFormat="1" ht="29.85" customHeight="1">
      <c r="B288" s="130"/>
      <c r="C288" s="131"/>
      <c r="D288" s="140" t="s">
        <v>388</v>
      </c>
      <c r="E288" s="140"/>
      <c r="F288" s="140"/>
      <c r="G288" s="140"/>
      <c r="H288" s="140"/>
      <c r="I288" s="140"/>
      <c r="J288" s="140"/>
      <c r="K288" s="140"/>
      <c r="L288" s="140"/>
      <c r="M288" s="140"/>
      <c r="N288" s="310">
        <f>BK288</f>
        <v>0</v>
      </c>
      <c r="O288" s="311"/>
      <c r="P288" s="311"/>
      <c r="Q288" s="311"/>
      <c r="R288" s="133"/>
      <c r="T288" s="134"/>
      <c r="U288" s="131"/>
      <c r="V288" s="131"/>
      <c r="W288" s="135">
        <f>SUM(W289:W292)</f>
        <v>2.796</v>
      </c>
      <c r="X288" s="131"/>
      <c r="Y288" s="135">
        <f>SUM(Y289:Y292)</f>
        <v>0.0006</v>
      </c>
      <c r="Z288" s="131"/>
      <c r="AA288" s="136">
        <f>SUM(AA289:AA292)</f>
        <v>0</v>
      </c>
      <c r="AR288" s="137" t="s">
        <v>135</v>
      </c>
      <c r="AT288" s="138" t="s">
        <v>77</v>
      </c>
      <c r="AU288" s="138" t="s">
        <v>21</v>
      </c>
      <c r="AY288" s="137" t="s">
        <v>167</v>
      </c>
      <c r="BK288" s="139">
        <f>SUM(BK289:BK292)</f>
        <v>0</v>
      </c>
    </row>
    <row r="289" spans="2:65" s="1" customFormat="1" ht="31.5" customHeight="1">
      <c r="B289" s="141"/>
      <c r="C289" s="142" t="s">
        <v>967</v>
      </c>
      <c r="D289" s="142" t="s">
        <v>168</v>
      </c>
      <c r="E289" s="143" t="s">
        <v>968</v>
      </c>
      <c r="F289" s="293" t="s">
        <v>969</v>
      </c>
      <c r="G289" s="293"/>
      <c r="H289" s="293"/>
      <c r="I289" s="293"/>
      <c r="J289" s="144" t="s">
        <v>595</v>
      </c>
      <c r="K289" s="145">
        <v>2</v>
      </c>
      <c r="L289" s="294"/>
      <c r="M289" s="294"/>
      <c r="N289" s="294">
        <f>ROUND(L289*K289,2)</f>
        <v>0</v>
      </c>
      <c r="O289" s="294"/>
      <c r="P289" s="294"/>
      <c r="Q289" s="294"/>
      <c r="R289" s="146"/>
      <c r="T289" s="147" t="s">
        <v>5</v>
      </c>
      <c r="U289" s="44" t="s">
        <v>43</v>
      </c>
      <c r="V289" s="148">
        <v>0.699</v>
      </c>
      <c r="W289" s="148">
        <f>V289*K289</f>
        <v>1.398</v>
      </c>
      <c r="X289" s="148">
        <v>0.00015</v>
      </c>
      <c r="Y289" s="148">
        <f>X289*K289</f>
        <v>0.0003</v>
      </c>
      <c r="Z289" s="148">
        <v>0</v>
      </c>
      <c r="AA289" s="149">
        <f>Z289*K289</f>
        <v>0</v>
      </c>
      <c r="AR289" s="21" t="s">
        <v>281</v>
      </c>
      <c r="AT289" s="21" t="s">
        <v>168</v>
      </c>
      <c r="AU289" s="21" t="s">
        <v>135</v>
      </c>
      <c r="AY289" s="21" t="s">
        <v>167</v>
      </c>
      <c r="BE289" s="150">
        <f>IF(U289="základní",N289,0)</f>
        <v>0</v>
      </c>
      <c r="BF289" s="150">
        <f>IF(U289="snížená",N289,0)</f>
        <v>0</v>
      </c>
      <c r="BG289" s="150">
        <f>IF(U289="zákl. přenesená",N289,0)</f>
        <v>0</v>
      </c>
      <c r="BH289" s="150">
        <f>IF(U289="sníž. přenesená",N289,0)</f>
        <v>0</v>
      </c>
      <c r="BI289" s="150">
        <f>IF(U289="nulová",N289,0)</f>
        <v>0</v>
      </c>
      <c r="BJ289" s="21" t="s">
        <v>21</v>
      </c>
      <c r="BK289" s="150">
        <f>ROUND(L289*K289,2)</f>
        <v>0</v>
      </c>
      <c r="BL289" s="21" t="s">
        <v>281</v>
      </c>
      <c r="BM289" s="21" t="s">
        <v>970</v>
      </c>
    </row>
    <row r="290" spans="2:65" s="1" customFormat="1" ht="31.5" customHeight="1">
      <c r="B290" s="141"/>
      <c r="C290" s="142" t="s">
        <v>971</v>
      </c>
      <c r="D290" s="142" t="s">
        <v>168</v>
      </c>
      <c r="E290" s="143" t="s">
        <v>972</v>
      </c>
      <c r="F290" s="293" t="s">
        <v>973</v>
      </c>
      <c r="G290" s="293"/>
      <c r="H290" s="293"/>
      <c r="I290" s="293"/>
      <c r="J290" s="144" t="s">
        <v>595</v>
      </c>
      <c r="K290" s="145">
        <v>1</v>
      </c>
      <c r="L290" s="294"/>
      <c r="M290" s="294"/>
      <c r="N290" s="294">
        <f>ROUND(L290*K290,2)</f>
        <v>0</v>
      </c>
      <c r="O290" s="294"/>
      <c r="P290" s="294"/>
      <c r="Q290" s="294"/>
      <c r="R290" s="146"/>
      <c r="T290" s="147" t="s">
        <v>5</v>
      </c>
      <c r="U290" s="44" t="s">
        <v>43</v>
      </c>
      <c r="V290" s="148">
        <v>0.699</v>
      </c>
      <c r="W290" s="148">
        <f>V290*K290</f>
        <v>0.699</v>
      </c>
      <c r="X290" s="148">
        <v>0.00015</v>
      </c>
      <c r="Y290" s="148">
        <f>X290*K290</f>
        <v>0.00015</v>
      </c>
      <c r="Z290" s="148">
        <v>0</v>
      </c>
      <c r="AA290" s="149">
        <f>Z290*K290</f>
        <v>0</v>
      </c>
      <c r="AR290" s="21" t="s">
        <v>281</v>
      </c>
      <c r="AT290" s="21" t="s">
        <v>168</v>
      </c>
      <c r="AU290" s="21" t="s">
        <v>135</v>
      </c>
      <c r="AY290" s="21" t="s">
        <v>167</v>
      </c>
      <c r="BE290" s="150">
        <f>IF(U290="základní",N290,0)</f>
        <v>0</v>
      </c>
      <c r="BF290" s="150">
        <f>IF(U290="snížená",N290,0)</f>
        <v>0</v>
      </c>
      <c r="BG290" s="150">
        <f>IF(U290="zákl. přenesená",N290,0)</f>
        <v>0</v>
      </c>
      <c r="BH290" s="150">
        <f>IF(U290="sníž. přenesená",N290,0)</f>
        <v>0</v>
      </c>
      <c r="BI290" s="150">
        <f>IF(U290="nulová",N290,0)</f>
        <v>0</v>
      </c>
      <c r="BJ290" s="21" t="s">
        <v>21</v>
      </c>
      <c r="BK290" s="150">
        <f>ROUND(L290*K290,2)</f>
        <v>0</v>
      </c>
      <c r="BL290" s="21" t="s">
        <v>281</v>
      </c>
      <c r="BM290" s="21" t="s">
        <v>974</v>
      </c>
    </row>
    <row r="291" spans="2:65" s="1" customFormat="1" ht="22.5" customHeight="1">
      <c r="B291" s="141"/>
      <c r="C291" s="142" t="s">
        <v>975</v>
      </c>
      <c r="D291" s="142" t="s">
        <v>168</v>
      </c>
      <c r="E291" s="143" t="s">
        <v>976</v>
      </c>
      <c r="F291" s="293" t="s">
        <v>977</v>
      </c>
      <c r="G291" s="293"/>
      <c r="H291" s="293"/>
      <c r="I291" s="293"/>
      <c r="J291" s="144" t="s">
        <v>595</v>
      </c>
      <c r="K291" s="145">
        <v>1</v>
      </c>
      <c r="L291" s="294"/>
      <c r="M291" s="294"/>
      <c r="N291" s="294">
        <f>ROUND(L291*K291,2)</f>
        <v>0</v>
      </c>
      <c r="O291" s="294"/>
      <c r="P291" s="294"/>
      <c r="Q291" s="294"/>
      <c r="R291" s="146"/>
      <c r="T291" s="147" t="s">
        <v>5</v>
      </c>
      <c r="U291" s="44" t="s">
        <v>43</v>
      </c>
      <c r="V291" s="148">
        <v>0.699</v>
      </c>
      <c r="W291" s="148">
        <f>V291*K291</f>
        <v>0.699</v>
      </c>
      <c r="X291" s="148">
        <v>0.00015</v>
      </c>
      <c r="Y291" s="148">
        <f>X291*K291</f>
        <v>0.00015</v>
      </c>
      <c r="Z291" s="148">
        <v>0</v>
      </c>
      <c r="AA291" s="149">
        <f>Z291*K291</f>
        <v>0</v>
      </c>
      <c r="AR291" s="21" t="s">
        <v>281</v>
      </c>
      <c r="AT291" s="21" t="s">
        <v>168</v>
      </c>
      <c r="AU291" s="21" t="s">
        <v>135</v>
      </c>
      <c r="AY291" s="21" t="s">
        <v>167</v>
      </c>
      <c r="BE291" s="150">
        <f>IF(U291="základní",N291,0)</f>
        <v>0</v>
      </c>
      <c r="BF291" s="150">
        <f>IF(U291="snížená",N291,0)</f>
        <v>0</v>
      </c>
      <c r="BG291" s="150">
        <f>IF(U291="zákl. přenesená",N291,0)</f>
        <v>0</v>
      </c>
      <c r="BH291" s="150">
        <f>IF(U291="sníž. přenesená",N291,0)</f>
        <v>0</v>
      </c>
      <c r="BI291" s="150">
        <f>IF(U291="nulová",N291,0)</f>
        <v>0</v>
      </c>
      <c r="BJ291" s="21" t="s">
        <v>21</v>
      </c>
      <c r="BK291" s="150">
        <f>ROUND(L291*K291,2)</f>
        <v>0</v>
      </c>
      <c r="BL291" s="21" t="s">
        <v>281</v>
      </c>
      <c r="BM291" s="21" t="s">
        <v>978</v>
      </c>
    </row>
    <row r="292" spans="2:65" s="1" customFormat="1" ht="31.5" customHeight="1">
      <c r="B292" s="141"/>
      <c r="C292" s="142" t="s">
        <v>979</v>
      </c>
      <c r="D292" s="142" t="s">
        <v>168</v>
      </c>
      <c r="E292" s="143" t="s">
        <v>406</v>
      </c>
      <c r="F292" s="293" t="s">
        <v>407</v>
      </c>
      <c r="G292" s="293"/>
      <c r="H292" s="293"/>
      <c r="I292" s="293"/>
      <c r="J292" s="144" t="s">
        <v>408</v>
      </c>
      <c r="K292" s="145">
        <v>1.35</v>
      </c>
      <c r="L292" s="294"/>
      <c r="M292" s="294"/>
      <c r="N292" s="294">
        <f>ROUND(L292*K292,2)</f>
        <v>0</v>
      </c>
      <c r="O292" s="294"/>
      <c r="P292" s="294"/>
      <c r="Q292" s="294"/>
      <c r="R292" s="146"/>
      <c r="T292" s="147" t="s">
        <v>5</v>
      </c>
      <c r="U292" s="44" t="s">
        <v>43</v>
      </c>
      <c r="V292" s="148">
        <v>0</v>
      </c>
      <c r="W292" s="148">
        <f>V292*K292</f>
        <v>0</v>
      </c>
      <c r="X292" s="148">
        <v>0</v>
      </c>
      <c r="Y292" s="148">
        <f>X292*K292</f>
        <v>0</v>
      </c>
      <c r="Z292" s="148">
        <v>0</v>
      </c>
      <c r="AA292" s="149">
        <f>Z292*K292</f>
        <v>0</v>
      </c>
      <c r="AR292" s="21" t="s">
        <v>281</v>
      </c>
      <c r="AT292" s="21" t="s">
        <v>168</v>
      </c>
      <c r="AU292" s="21" t="s">
        <v>135</v>
      </c>
      <c r="AY292" s="21" t="s">
        <v>167</v>
      </c>
      <c r="BE292" s="150">
        <f>IF(U292="základní",N292,0)</f>
        <v>0</v>
      </c>
      <c r="BF292" s="150">
        <f>IF(U292="snížená",N292,0)</f>
        <v>0</v>
      </c>
      <c r="BG292" s="150">
        <f>IF(U292="zákl. přenesená",N292,0)</f>
        <v>0</v>
      </c>
      <c r="BH292" s="150">
        <f>IF(U292="sníž. přenesená",N292,0)</f>
        <v>0</v>
      </c>
      <c r="BI292" s="150">
        <f>IF(U292="nulová",N292,0)</f>
        <v>0</v>
      </c>
      <c r="BJ292" s="21" t="s">
        <v>21</v>
      </c>
      <c r="BK292" s="150">
        <f>ROUND(L292*K292,2)</f>
        <v>0</v>
      </c>
      <c r="BL292" s="21" t="s">
        <v>281</v>
      </c>
      <c r="BM292" s="21" t="s">
        <v>409</v>
      </c>
    </row>
    <row r="293" spans="2:63" s="9" customFormat="1" ht="29.85" customHeight="1">
      <c r="B293" s="130"/>
      <c r="C293" s="131"/>
      <c r="D293" s="140" t="s">
        <v>652</v>
      </c>
      <c r="E293" s="140"/>
      <c r="F293" s="140"/>
      <c r="G293" s="140"/>
      <c r="H293" s="140"/>
      <c r="I293" s="140"/>
      <c r="J293" s="140"/>
      <c r="K293" s="140"/>
      <c r="L293" s="140"/>
      <c r="M293" s="140"/>
      <c r="N293" s="310">
        <f>BK293</f>
        <v>0</v>
      </c>
      <c r="O293" s="311"/>
      <c r="P293" s="311"/>
      <c r="Q293" s="311"/>
      <c r="R293" s="133"/>
      <c r="T293" s="134"/>
      <c r="U293" s="131"/>
      <c r="V293" s="131"/>
      <c r="W293" s="135">
        <f>SUM(W294:W304)</f>
        <v>29.600319999999996</v>
      </c>
      <c r="X293" s="131"/>
      <c r="Y293" s="135">
        <f>SUM(Y294:Y304)</f>
        <v>1.6527104</v>
      </c>
      <c r="Z293" s="131"/>
      <c r="AA293" s="136">
        <f>SUM(AA294:AA304)</f>
        <v>0</v>
      </c>
      <c r="AR293" s="137" t="s">
        <v>135</v>
      </c>
      <c r="AT293" s="138" t="s">
        <v>77</v>
      </c>
      <c r="AU293" s="138" t="s">
        <v>21</v>
      </c>
      <c r="AY293" s="137" t="s">
        <v>167</v>
      </c>
      <c r="BK293" s="139">
        <f>SUM(BK294:BK304)</f>
        <v>0</v>
      </c>
    </row>
    <row r="294" spans="2:65" s="1" customFormat="1" ht="31.5" customHeight="1">
      <c r="B294" s="141"/>
      <c r="C294" s="142" t="s">
        <v>980</v>
      </c>
      <c r="D294" s="142" t="s">
        <v>168</v>
      </c>
      <c r="E294" s="143" t="s">
        <v>981</v>
      </c>
      <c r="F294" s="293" t="s">
        <v>982</v>
      </c>
      <c r="G294" s="293"/>
      <c r="H294" s="293"/>
      <c r="I294" s="293"/>
      <c r="J294" s="144" t="s">
        <v>259</v>
      </c>
      <c r="K294" s="145">
        <v>26.6</v>
      </c>
      <c r="L294" s="294"/>
      <c r="M294" s="294"/>
      <c r="N294" s="294">
        <f>ROUND(L294*K294,2)</f>
        <v>0</v>
      </c>
      <c r="O294" s="294"/>
      <c r="P294" s="294"/>
      <c r="Q294" s="294"/>
      <c r="R294" s="146"/>
      <c r="T294" s="147" t="s">
        <v>5</v>
      </c>
      <c r="U294" s="44" t="s">
        <v>43</v>
      </c>
      <c r="V294" s="148">
        <v>0.349</v>
      </c>
      <c r="W294" s="148">
        <f>V294*K294</f>
        <v>9.2834</v>
      </c>
      <c r="X294" s="148">
        <v>0.00562</v>
      </c>
      <c r="Y294" s="148">
        <f>X294*K294</f>
        <v>0.149492</v>
      </c>
      <c r="Z294" s="148">
        <v>0</v>
      </c>
      <c r="AA294" s="149">
        <f>Z294*K294</f>
        <v>0</v>
      </c>
      <c r="AR294" s="21" t="s">
        <v>281</v>
      </c>
      <c r="AT294" s="21" t="s">
        <v>168</v>
      </c>
      <c r="AU294" s="21" t="s">
        <v>135</v>
      </c>
      <c r="AY294" s="21" t="s">
        <v>167</v>
      </c>
      <c r="BE294" s="150">
        <f>IF(U294="základní",N294,0)</f>
        <v>0</v>
      </c>
      <c r="BF294" s="150">
        <f>IF(U294="snížená",N294,0)</f>
        <v>0</v>
      </c>
      <c r="BG294" s="150">
        <f>IF(U294="zákl. přenesená",N294,0)</f>
        <v>0</v>
      </c>
      <c r="BH294" s="150">
        <f>IF(U294="sníž. přenesená",N294,0)</f>
        <v>0</v>
      </c>
      <c r="BI294" s="150">
        <f>IF(U294="nulová",N294,0)</f>
        <v>0</v>
      </c>
      <c r="BJ294" s="21" t="s">
        <v>21</v>
      </c>
      <c r="BK294" s="150">
        <f>ROUND(L294*K294,2)</f>
        <v>0</v>
      </c>
      <c r="BL294" s="21" t="s">
        <v>281</v>
      </c>
      <c r="BM294" s="21" t="s">
        <v>983</v>
      </c>
    </row>
    <row r="295" spans="2:51" s="11" customFormat="1" ht="22.5" customHeight="1">
      <c r="B295" s="159"/>
      <c r="C295" s="160"/>
      <c r="D295" s="160"/>
      <c r="E295" s="161" t="s">
        <v>5</v>
      </c>
      <c r="F295" s="308" t="s">
        <v>984</v>
      </c>
      <c r="G295" s="309"/>
      <c r="H295" s="309"/>
      <c r="I295" s="309"/>
      <c r="J295" s="160"/>
      <c r="K295" s="162">
        <v>16.5</v>
      </c>
      <c r="L295" s="160"/>
      <c r="M295" s="160"/>
      <c r="N295" s="160"/>
      <c r="O295" s="160"/>
      <c r="P295" s="160"/>
      <c r="Q295" s="160"/>
      <c r="R295" s="163"/>
      <c r="T295" s="164"/>
      <c r="U295" s="160"/>
      <c r="V295" s="160"/>
      <c r="W295" s="160"/>
      <c r="X295" s="160"/>
      <c r="Y295" s="160"/>
      <c r="Z295" s="160"/>
      <c r="AA295" s="165"/>
      <c r="AT295" s="166" t="s">
        <v>179</v>
      </c>
      <c r="AU295" s="166" t="s">
        <v>135</v>
      </c>
      <c r="AV295" s="11" t="s">
        <v>135</v>
      </c>
      <c r="AW295" s="11" t="s">
        <v>35</v>
      </c>
      <c r="AX295" s="11" t="s">
        <v>78</v>
      </c>
      <c r="AY295" s="166" t="s">
        <v>167</v>
      </c>
    </row>
    <row r="296" spans="2:51" s="11" customFormat="1" ht="22.5" customHeight="1">
      <c r="B296" s="159"/>
      <c r="C296" s="160"/>
      <c r="D296" s="160"/>
      <c r="E296" s="161" t="s">
        <v>5</v>
      </c>
      <c r="F296" s="302" t="s">
        <v>985</v>
      </c>
      <c r="G296" s="303"/>
      <c r="H296" s="303"/>
      <c r="I296" s="303"/>
      <c r="J296" s="160"/>
      <c r="K296" s="162">
        <v>3.4</v>
      </c>
      <c r="L296" s="160"/>
      <c r="M296" s="160"/>
      <c r="N296" s="160"/>
      <c r="O296" s="160"/>
      <c r="P296" s="160"/>
      <c r="Q296" s="160"/>
      <c r="R296" s="163"/>
      <c r="T296" s="164"/>
      <c r="U296" s="160"/>
      <c r="V296" s="160"/>
      <c r="W296" s="160"/>
      <c r="X296" s="160"/>
      <c r="Y296" s="160"/>
      <c r="Z296" s="160"/>
      <c r="AA296" s="165"/>
      <c r="AT296" s="166" t="s">
        <v>179</v>
      </c>
      <c r="AU296" s="166" t="s">
        <v>135</v>
      </c>
      <c r="AV296" s="11" t="s">
        <v>135</v>
      </c>
      <c r="AW296" s="11" t="s">
        <v>35</v>
      </c>
      <c r="AX296" s="11" t="s">
        <v>78</v>
      </c>
      <c r="AY296" s="166" t="s">
        <v>167</v>
      </c>
    </row>
    <row r="297" spans="2:51" s="11" customFormat="1" ht="22.5" customHeight="1">
      <c r="B297" s="159"/>
      <c r="C297" s="160"/>
      <c r="D297" s="160"/>
      <c r="E297" s="161" t="s">
        <v>5</v>
      </c>
      <c r="F297" s="302" t="s">
        <v>986</v>
      </c>
      <c r="G297" s="303"/>
      <c r="H297" s="303"/>
      <c r="I297" s="303"/>
      <c r="J297" s="160"/>
      <c r="K297" s="162">
        <v>6.7</v>
      </c>
      <c r="L297" s="160"/>
      <c r="M297" s="160"/>
      <c r="N297" s="160"/>
      <c r="O297" s="160"/>
      <c r="P297" s="160"/>
      <c r="Q297" s="160"/>
      <c r="R297" s="163"/>
      <c r="T297" s="164"/>
      <c r="U297" s="160"/>
      <c r="V297" s="160"/>
      <c r="W297" s="160"/>
      <c r="X297" s="160"/>
      <c r="Y297" s="160"/>
      <c r="Z297" s="160"/>
      <c r="AA297" s="165"/>
      <c r="AT297" s="166" t="s">
        <v>179</v>
      </c>
      <c r="AU297" s="166" t="s">
        <v>135</v>
      </c>
      <c r="AV297" s="11" t="s">
        <v>135</v>
      </c>
      <c r="AW297" s="11" t="s">
        <v>35</v>
      </c>
      <c r="AX297" s="11" t="s">
        <v>78</v>
      </c>
      <c r="AY297" s="166" t="s">
        <v>167</v>
      </c>
    </row>
    <row r="298" spans="2:51" s="12" customFormat="1" ht="22.5" customHeight="1">
      <c r="B298" s="167"/>
      <c r="C298" s="168"/>
      <c r="D298" s="168"/>
      <c r="E298" s="169" t="s">
        <v>5</v>
      </c>
      <c r="F298" s="306" t="s">
        <v>183</v>
      </c>
      <c r="G298" s="307"/>
      <c r="H298" s="307"/>
      <c r="I298" s="307"/>
      <c r="J298" s="168"/>
      <c r="K298" s="170">
        <v>26.6</v>
      </c>
      <c r="L298" s="168"/>
      <c r="M298" s="168"/>
      <c r="N298" s="168"/>
      <c r="O298" s="168"/>
      <c r="P298" s="168"/>
      <c r="Q298" s="168"/>
      <c r="R298" s="171"/>
      <c r="T298" s="172"/>
      <c r="U298" s="168"/>
      <c r="V298" s="168"/>
      <c r="W298" s="168"/>
      <c r="X298" s="168"/>
      <c r="Y298" s="168"/>
      <c r="Z298" s="168"/>
      <c r="AA298" s="173"/>
      <c r="AT298" s="174" t="s">
        <v>179</v>
      </c>
      <c r="AU298" s="174" t="s">
        <v>135</v>
      </c>
      <c r="AV298" s="12" t="s">
        <v>172</v>
      </c>
      <c r="AW298" s="12" t="s">
        <v>35</v>
      </c>
      <c r="AX298" s="12" t="s">
        <v>21</v>
      </c>
      <c r="AY298" s="174" t="s">
        <v>167</v>
      </c>
    </row>
    <row r="299" spans="2:65" s="1" customFormat="1" ht="31.5" customHeight="1">
      <c r="B299" s="141"/>
      <c r="C299" s="142" t="s">
        <v>987</v>
      </c>
      <c r="D299" s="142" t="s">
        <v>168</v>
      </c>
      <c r="E299" s="143" t="s">
        <v>988</v>
      </c>
      <c r="F299" s="293" t="s">
        <v>989</v>
      </c>
      <c r="G299" s="293"/>
      <c r="H299" s="293"/>
      <c r="I299" s="293"/>
      <c r="J299" s="144" t="s">
        <v>199</v>
      </c>
      <c r="K299" s="145">
        <v>17.56</v>
      </c>
      <c r="L299" s="294"/>
      <c r="M299" s="294"/>
      <c r="N299" s="294">
        <f>ROUND(L299*K299,2)</f>
        <v>0</v>
      </c>
      <c r="O299" s="294"/>
      <c r="P299" s="294"/>
      <c r="Q299" s="294"/>
      <c r="R299" s="146"/>
      <c r="T299" s="147" t="s">
        <v>5</v>
      </c>
      <c r="U299" s="44" t="s">
        <v>43</v>
      </c>
      <c r="V299" s="148">
        <v>1.113</v>
      </c>
      <c r="W299" s="148">
        <f>V299*K299</f>
        <v>19.544279999999997</v>
      </c>
      <c r="X299" s="148">
        <v>0.06084</v>
      </c>
      <c r="Y299" s="148">
        <f>X299*K299</f>
        <v>1.0683504</v>
      </c>
      <c r="Z299" s="148">
        <v>0</v>
      </c>
      <c r="AA299" s="149">
        <f>Z299*K299</f>
        <v>0</v>
      </c>
      <c r="AR299" s="21" t="s">
        <v>281</v>
      </c>
      <c r="AT299" s="21" t="s">
        <v>168</v>
      </c>
      <c r="AU299" s="21" t="s">
        <v>135</v>
      </c>
      <c r="AY299" s="21" t="s">
        <v>167</v>
      </c>
      <c r="BE299" s="150">
        <f>IF(U299="základní",N299,0)</f>
        <v>0</v>
      </c>
      <c r="BF299" s="150">
        <f>IF(U299="snížená",N299,0)</f>
        <v>0</v>
      </c>
      <c r="BG299" s="150">
        <f>IF(U299="zákl. přenesená",N299,0)</f>
        <v>0</v>
      </c>
      <c r="BH299" s="150">
        <f>IF(U299="sníž. přenesená",N299,0)</f>
        <v>0</v>
      </c>
      <c r="BI299" s="150">
        <f>IF(U299="nulová",N299,0)</f>
        <v>0</v>
      </c>
      <c r="BJ299" s="21" t="s">
        <v>21</v>
      </c>
      <c r="BK299" s="150">
        <f>ROUND(L299*K299,2)</f>
        <v>0</v>
      </c>
      <c r="BL299" s="21" t="s">
        <v>281</v>
      </c>
      <c r="BM299" s="21" t="s">
        <v>990</v>
      </c>
    </row>
    <row r="300" spans="2:51" s="11" customFormat="1" ht="22.5" customHeight="1">
      <c r="B300" s="159"/>
      <c r="C300" s="160"/>
      <c r="D300" s="160"/>
      <c r="E300" s="161" t="s">
        <v>5</v>
      </c>
      <c r="F300" s="308" t="s">
        <v>991</v>
      </c>
      <c r="G300" s="309"/>
      <c r="H300" s="309"/>
      <c r="I300" s="309"/>
      <c r="J300" s="160"/>
      <c r="K300" s="162">
        <v>17.56</v>
      </c>
      <c r="L300" s="160"/>
      <c r="M300" s="160"/>
      <c r="N300" s="160"/>
      <c r="O300" s="160"/>
      <c r="P300" s="160"/>
      <c r="Q300" s="160"/>
      <c r="R300" s="163"/>
      <c r="T300" s="164"/>
      <c r="U300" s="160"/>
      <c r="V300" s="160"/>
      <c r="W300" s="160"/>
      <c r="X300" s="160"/>
      <c r="Y300" s="160"/>
      <c r="Z300" s="160"/>
      <c r="AA300" s="165"/>
      <c r="AT300" s="166" t="s">
        <v>179</v>
      </c>
      <c r="AU300" s="166" t="s">
        <v>135</v>
      </c>
      <c r="AV300" s="11" t="s">
        <v>135</v>
      </c>
      <c r="AW300" s="11" t="s">
        <v>35</v>
      </c>
      <c r="AX300" s="11" t="s">
        <v>21</v>
      </c>
      <c r="AY300" s="166" t="s">
        <v>167</v>
      </c>
    </row>
    <row r="301" spans="2:65" s="1" customFormat="1" ht="22.5" customHeight="1">
      <c r="B301" s="141"/>
      <c r="C301" s="178" t="s">
        <v>992</v>
      </c>
      <c r="D301" s="178" t="s">
        <v>317</v>
      </c>
      <c r="E301" s="179" t="s">
        <v>993</v>
      </c>
      <c r="F301" s="313" t="s">
        <v>994</v>
      </c>
      <c r="G301" s="313"/>
      <c r="H301" s="313"/>
      <c r="I301" s="313"/>
      <c r="J301" s="180" t="s">
        <v>199</v>
      </c>
      <c r="K301" s="181">
        <v>22.375</v>
      </c>
      <c r="L301" s="314"/>
      <c r="M301" s="314"/>
      <c r="N301" s="314">
        <f>ROUND(L301*K301,2)</f>
        <v>0</v>
      </c>
      <c r="O301" s="294"/>
      <c r="P301" s="294"/>
      <c r="Q301" s="294"/>
      <c r="R301" s="146"/>
      <c r="T301" s="147" t="s">
        <v>5</v>
      </c>
      <c r="U301" s="44" t="s">
        <v>43</v>
      </c>
      <c r="V301" s="148">
        <v>0</v>
      </c>
      <c r="W301" s="148">
        <f>V301*K301</f>
        <v>0</v>
      </c>
      <c r="X301" s="148">
        <v>0.0192</v>
      </c>
      <c r="Y301" s="148">
        <f>X301*K301</f>
        <v>0.4296</v>
      </c>
      <c r="Z301" s="148">
        <v>0</v>
      </c>
      <c r="AA301" s="149">
        <f>Z301*K301</f>
        <v>0</v>
      </c>
      <c r="AR301" s="21" t="s">
        <v>477</v>
      </c>
      <c r="AT301" s="21" t="s">
        <v>317</v>
      </c>
      <c r="AU301" s="21" t="s">
        <v>135</v>
      </c>
      <c r="AY301" s="21" t="s">
        <v>167</v>
      </c>
      <c r="BE301" s="150">
        <f>IF(U301="základní",N301,0)</f>
        <v>0</v>
      </c>
      <c r="BF301" s="150">
        <f>IF(U301="snížená",N301,0)</f>
        <v>0</v>
      </c>
      <c r="BG301" s="150">
        <f>IF(U301="zákl. přenesená",N301,0)</f>
        <v>0</v>
      </c>
      <c r="BH301" s="150">
        <f>IF(U301="sníž. přenesená",N301,0)</f>
        <v>0</v>
      </c>
      <c r="BI301" s="150">
        <f>IF(U301="nulová",N301,0)</f>
        <v>0</v>
      </c>
      <c r="BJ301" s="21" t="s">
        <v>21</v>
      </c>
      <c r="BK301" s="150">
        <f>ROUND(L301*K301,2)</f>
        <v>0</v>
      </c>
      <c r="BL301" s="21" t="s">
        <v>281</v>
      </c>
      <c r="BM301" s="21" t="s">
        <v>995</v>
      </c>
    </row>
    <row r="302" spans="2:51" s="11" customFormat="1" ht="22.5" customHeight="1">
      <c r="B302" s="159"/>
      <c r="C302" s="160"/>
      <c r="D302" s="160"/>
      <c r="E302" s="161" t="s">
        <v>5</v>
      </c>
      <c r="F302" s="308" t="s">
        <v>996</v>
      </c>
      <c r="G302" s="309"/>
      <c r="H302" s="309"/>
      <c r="I302" s="309"/>
      <c r="J302" s="160"/>
      <c r="K302" s="162">
        <v>22.375</v>
      </c>
      <c r="L302" s="160"/>
      <c r="M302" s="160"/>
      <c r="N302" s="160"/>
      <c r="O302" s="160"/>
      <c r="P302" s="160"/>
      <c r="Q302" s="160"/>
      <c r="R302" s="163"/>
      <c r="T302" s="164"/>
      <c r="U302" s="160"/>
      <c r="V302" s="160"/>
      <c r="W302" s="160"/>
      <c r="X302" s="160"/>
      <c r="Y302" s="160"/>
      <c r="Z302" s="160"/>
      <c r="AA302" s="165"/>
      <c r="AT302" s="166" t="s">
        <v>179</v>
      </c>
      <c r="AU302" s="166" t="s">
        <v>135</v>
      </c>
      <c r="AV302" s="11" t="s">
        <v>135</v>
      </c>
      <c r="AW302" s="11" t="s">
        <v>35</v>
      </c>
      <c r="AX302" s="11" t="s">
        <v>21</v>
      </c>
      <c r="AY302" s="166" t="s">
        <v>167</v>
      </c>
    </row>
    <row r="303" spans="2:65" s="1" customFormat="1" ht="22.5" customHeight="1">
      <c r="B303" s="141"/>
      <c r="C303" s="142" t="s">
        <v>997</v>
      </c>
      <c r="D303" s="142" t="s">
        <v>168</v>
      </c>
      <c r="E303" s="143" t="s">
        <v>998</v>
      </c>
      <c r="F303" s="293" t="s">
        <v>999</v>
      </c>
      <c r="G303" s="293"/>
      <c r="H303" s="293"/>
      <c r="I303" s="293"/>
      <c r="J303" s="144" t="s">
        <v>199</v>
      </c>
      <c r="K303" s="145">
        <v>17.56</v>
      </c>
      <c r="L303" s="294"/>
      <c r="M303" s="294"/>
      <c r="N303" s="294">
        <f>ROUND(L303*K303,2)</f>
        <v>0</v>
      </c>
      <c r="O303" s="294"/>
      <c r="P303" s="294"/>
      <c r="Q303" s="294"/>
      <c r="R303" s="146"/>
      <c r="T303" s="147" t="s">
        <v>5</v>
      </c>
      <c r="U303" s="44" t="s">
        <v>43</v>
      </c>
      <c r="V303" s="148">
        <v>0.044</v>
      </c>
      <c r="W303" s="148">
        <f>V303*K303</f>
        <v>0.7726399999999999</v>
      </c>
      <c r="X303" s="148">
        <v>0.0003</v>
      </c>
      <c r="Y303" s="148">
        <f>X303*K303</f>
        <v>0.005267999999999999</v>
      </c>
      <c r="Z303" s="148">
        <v>0</v>
      </c>
      <c r="AA303" s="149">
        <f>Z303*K303</f>
        <v>0</v>
      </c>
      <c r="AR303" s="21" t="s">
        <v>281</v>
      </c>
      <c r="AT303" s="21" t="s">
        <v>168</v>
      </c>
      <c r="AU303" s="21" t="s">
        <v>135</v>
      </c>
      <c r="AY303" s="21" t="s">
        <v>167</v>
      </c>
      <c r="BE303" s="150">
        <f>IF(U303="základní",N303,0)</f>
        <v>0</v>
      </c>
      <c r="BF303" s="150">
        <f>IF(U303="snížená",N303,0)</f>
        <v>0</v>
      </c>
      <c r="BG303" s="150">
        <f>IF(U303="zákl. přenesená",N303,0)</f>
        <v>0</v>
      </c>
      <c r="BH303" s="150">
        <f>IF(U303="sníž. přenesená",N303,0)</f>
        <v>0</v>
      </c>
      <c r="BI303" s="150">
        <f>IF(U303="nulová",N303,0)</f>
        <v>0</v>
      </c>
      <c r="BJ303" s="21" t="s">
        <v>21</v>
      </c>
      <c r="BK303" s="150">
        <f>ROUND(L303*K303,2)</f>
        <v>0</v>
      </c>
      <c r="BL303" s="21" t="s">
        <v>281</v>
      </c>
      <c r="BM303" s="21" t="s">
        <v>1000</v>
      </c>
    </row>
    <row r="304" spans="2:65" s="1" customFormat="1" ht="31.5" customHeight="1">
      <c r="B304" s="141"/>
      <c r="C304" s="142" t="s">
        <v>1001</v>
      </c>
      <c r="D304" s="142" t="s">
        <v>168</v>
      </c>
      <c r="E304" s="143" t="s">
        <v>1002</v>
      </c>
      <c r="F304" s="293" t="s">
        <v>1003</v>
      </c>
      <c r="G304" s="293"/>
      <c r="H304" s="293"/>
      <c r="I304" s="293"/>
      <c r="J304" s="144" t="s">
        <v>408</v>
      </c>
      <c r="K304" s="145">
        <v>3.5</v>
      </c>
      <c r="L304" s="294"/>
      <c r="M304" s="294"/>
      <c r="N304" s="294">
        <f>ROUND(L304*K304,2)</f>
        <v>0</v>
      </c>
      <c r="O304" s="294"/>
      <c r="P304" s="294"/>
      <c r="Q304" s="294"/>
      <c r="R304" s="146"/>
      <c r="T304" s="147" t="s">
        <v>5</v>
      </c>
      <c r="U304" s="44" t="s">
        <v>43</v>
      </c>
      <c r="V304" s="148">
        <v>0</v>
      </c>
      <c r="W304" s="148">
        <f>V304*K304</f>
        <v>0</v>
      </c>
      <c r="X304" s="148">
        <v>0</v>
      </c>
      <c r="Y304" s="148">
        <f>X304*K304</f>
        <v>0</v>
      </c>
      <c r="Z304" s="148">
        <v>0</v>
      </c>
      <c r="AA304" s="149">
        <f>Z304*K304</f>
        <v>0</v>
      </c>
      <c r="AR304" s="21" t="s">
        <v>281</v>
      </c>
      <c r="AT304" s="21" t="s">
        <v>168</v>
      </c>
      <c r="AU304" s="21" t="s">
        <v>135</v>
      </c>
      <c r="AY304" s="21" t="s">
        <v>167</v>
      </c>
      <c r="BE304" s="150">
        <f>IF(U304="základní",N304,0)</f>
        <v>0</v>
      </c>
      <c r="BF304" s="150">
        <f>IF(U304="snížená",N304,0)</f>
        <v>0</v>
      </c>
      <c r="BG304" s="150">
        <f>IF(U304="zákl. přenesená",N304,0)</f>
        <v>0</v>
      </c>
      <c r="BH304" s="150">
        <f>IF(U304="sníž. přenesená",N304,0)</f>
        <v>0</v>
      </c>
      <c r="BI304" s="150">
        <f>IF(U304="nulová",N304,0)</f>
        <v>0</v>
      </c>
      <c r="BJ304" s="21" t="s">
        <v>21</v>
      </c>
      <c r="BK304" s="150">
        <f>ROUND(L304*K304,2)</f>
        <v>0</v>
      </c>
      <c r="BL304" s="21" t="s">
        <v>281</v>
      </c>
      <c r="BM304" s="21" t="s">
        <v>1004</v>
      </c>
    </row>
    <row r="305" spans="2:63" s="9" customFormat="1" ht="29.85" customHeight="1">
      <c r="B305" s="130"/>
      <c r="C305" s="131"/>
      <c r="D305" s="140" t="s">
        <v>653</v>
      </c>
      <c r="E305" s="140"/>
      <c r="F305" s="140"/>
      <c r="G305" s="140"/>
      <c r="H305" s="140"/>
      <c r="I305" s="140"/>
      <c r="J305" s="140"/>
      <c r="K305" s="140"/>
      <c r="L305" s="140"/>
      <c r="M305" s="140"/>
      <c r="N305" s="310">
        <f>BK305</f>
        <v>0</v>
      </c>
      <c r="O305" s="311"/>
      <c r="P305" s="311"/>
      <c r="Q305" s="311"/>
      <c r="R305" s="133"/>
      <c r="T305" s="134"/>
      <c r="U305" s="131"/>
      <c r="V305" s="131"/>
      <c r="W305" s="135">
        <f>SUM(W306:W313)</f>
        <v>5.724399999999999</v>
      </c>
      <c r="X305" s="131"/>
      <c r="Y305" s="135">
        <f>SUM(Y306:Y313)</f>
        <v>0.105932</v>
      </c>
      <c r="Z305" s="131"/>
      <c r="AA305" s="136">
        <f>SUM(AA306:AA313)</f>
        <v>0</v>
      </c>
      <c r="AR305" s="137" t="s">
        <v>135</v>
      </c>
      <c r="AT305" s="138" t="s">
        <v>77</v>
      </c>
      <c r="AU305" s="138" t="s">
        <v>21</v>
      </c>
      <c r="AY305" s="137" t="s">
        <v>167</v>
      </c>
      <c r="BK305" s="139">
        <f>SUM(BK306:BK313)</f>
        <v>0</v>
      </c>
    </row>
    <row r="306" spans="2:65" s="1" customFormat="1" ht="31.5" customHeight="1">
      <c r="B306" s="141"/>
      <c r="C306" s="142" t="s">
        <v>1005</v>
      </c>
      <c r="D306" s="142" t="s">
        <v>168</v>
      </c>
      <c r="E306" s="143" t="s">
        <v>1006</v>
      </c>
      <c r="F306" s="293" t="s">
        <v>1007</v>
      </c>
      <c r="G306" s="293"/>
      <c r="H306" s="293"/>
      <c r="I306" s="293"/>
      <c r="J306" s="144" t="s">
        <v>259</v>
      </c>
      <c r="K306" s="145">
        <v>11.8</v>
      </c>
      <c r="L306" s="294"/>
      <c r="M306" s="294"/>
      <c r="N306" s="294">
        <f>ROUND(L306*K306,2)</f>
        <v>0</v>
      </c>
      <c r="O306" s="294"/>
      <c r="P306" s="294"/>
      <c r="Q306" s="294"/>
      <c r="R306" s="146"/>
      <c r="T306" s="147" t="s">
        <v>5</v>
      </c>
      <c r="U306" s="44" t="s">
        <v>43</v>
      </c>
      <c r="V306" s="148">
        <v>0.058</v>
      </c>
      <c r="W306" s="148">
        <f>V306*K306</f>
        <v>0.6844000000000001</v>
      </c>
      <c r="X306" s="148">
        <v>2E-05</v>
      </c>
      <c r="Y306" s="148">
        <f>X306*K306</f>
        <v>0.00023600000000000004</v>
      </c>
      <c r="Z306" s="148">
        <v>0</v>
      </c>
      <c r="AA306" s="149">
        <f>Z306*K306</f>
        <v>0</v>
      </c>
      <c r="AR306" s="21" t="s">
        <v>281</v>
      </c>
      <c r="AT306" s="21" t="s">
        <v>168</v>
      </c>
      <c r="AU306" s="21" t="s">
        <v>135</v>
      </c>
      <c r="AY306" s="21" t="s">
        <v>167</v>
      </c>
      <c r="BE306" s="150">
        <f>IF(U306="základní",N306,0)</f>
        <v>0</v>
      </c>
      <c r="BF306" s="150">
        <f>IF(U306="snížená",N306,0)</f>
        <v>0</v>
      </c>
      <c r="BG306" s="150">
        <f>IF(U306="zákl. přenesená",N306,0)</f>
        <v>0</v>
      </c>
      <c r="BH306" s="150">
        <f>IF(U306="sníž. přenesená",N306,0)</f>
        <v>0</v>
      </c>
      <c r="BI306" s="150">
        <f>IF(U306="nulová",N306,0)</f>
        <v>0</v>
      </c>
      <c r="BJ306" s="21" t="s">
        <v>21</v>
      </c>
      <c r="BK306" s="150">
        <f>ROUND(L306*K306,2)</f>
        <v>0</v>
      </c>
      <c r="BL306" s="21" t="s">
        <v>281</v>
      </c>
      <c r="BM306" s="21" t="s">
        <v>1008</v>
      </c>
    </row>
    <row r="307" spans="2:51" s="11" customFormat="1" ht="22.5" customHeight="1">
      <c r="B307" s="159"/>
      <c r="C307" s="160"/>
      <c r="D307" s="160"/>
      <c r="E307" s="161" t="s">
        <v>5</v>
      </c>
      <c r="F307" s="308" t="s">
        <v>1009</v>
      </c>
      <c r="G307" s="309"/>
      <c r="H307" s="309"/>
      <c r="I307" s="309"/>
      <c r="J307" s="160"/>
      <c r="K307" s="162">
        <v>11.8</v>
      </c>
      <c r="L307" s="160"/>
      <c r="M307" s="160"/>
      <c r="N307" s="160"/>
      <c r="O307" s="160"/>
      <c r="P307" s="160"/>
      <c r="Q307" s="160"/>
      <c r="R307" s="163"/>
      <c r="T307" s="164"/>
      <c r="U307" s="160"/>
      <c r="V307" s="160"/>
      <c r="W307" s="160"/>
      <c r="X307" s="160"/>
      <c r="Y307" s="160"/>
      <c r="Z307" s="160"/>
      <c r="AA307" s="165"/>
      <c r="AT307" s="166" t="s">
        <v>179</v>
      </c>
      <c r="AU307" s="166" t="s">
        <v>135</v>
      </c>
      <c r="AV307" s="11" t="s">
        <v>135</v>
      </c>
      <c r="AW307" s="11" t="s">
        <v>35</v>
      </c>
      <c r="AX307" s="11" t="s">
        <v>21</v>
      </c>
      <c r="AY307" s="166" t="s">
        <v>167</v>
      </c>
    </row>
    <row r="308" spans="2:65" s="1" customFormat="1" ht="31.5" customHeight="1">
      <c r="B308" s="141"/>
      <c r="C308" s="178" t="s">
        <v>1010</v>
      </c>
      <c r="D308" s="178" t="s">
        <v>317</v>
      </c>
      <c r="E308" s="179" t="s">
        <v>1011</v>
      </c>
      <c r="F308" s="313" t="s">
        <v>1012</v>
      </c>
      <c r="G308" s="313"/>
      <c r="H308" s="313"/>
      <c r="I308" s="313"/>
      <c r="J308" s="180" t="s">
        <v>259</v>
      </c>
      <c r="K308" s="181">
        <v>13</v>
      </c>
      <c r="L308" s="314"/>
      <c r="M308" s="314"/>
      <c r="N308" s="314">
        <f>ROUND(L308*K308,2)</f>
        <v>0</v>
      </c>
      <c r="O308" s="294"/>
      <c r="P308" s="294"/>
      <c r="Q308" s="294"/>
      <c r="R308" s="146"/>
      <c r="T308" s="147" t="s">
        <v>5</v>
      </c>
      <c r="U308" s="44" t="s">
        <v>43</v>
      </c>
      <c r="V308" s="148">
        <v>0</v>
      </c>
      <c r="W308" s="148">
        <f>V308*K308</f>
        <v>0</v>
      </c>
      <c r="X308" s="148">
        <v>0.00028</v>
      </c>
      <c r="Y308" s="148">
        <f>X308*K308</f>
        <v>0.0036399999999999996</v>
      </c>
      <c r="Z308" s="148">
        <v>0</v>
      </c>
      <c r="AA308" s="149">
        <f>Z308*K308</f>
        <v>0</v>
      </c>
      <c r="AR308" s="21" t="s">
        <v>477</v>
      </c>
      <c r="AT308" s="21" t="s">
        <v>317</v>
      </c>
      <c r="AU308" s="21" t="s">
        <v>135</v>
      </c>
      <c r="AY308" s="21" t="s">
        <v>167</v>
      </c>
      <c r="BE308" s="150">
        <f>IF(U308="základní",N308,0)</f>
        <v>0</v>
      </c>
      <c r="BF308" s="150">
        <f>IF(U308="snížená",N308,0)</f>
        <v>0</v>
      </c>
      <c r="BG308" s="150">
        <f>IF(U308="zákl. přenesená",N308,0)</f>
        <v>0</v>
      </c>
      <c r="BH308" s="150">
        <f>IF(U308="sníž. přenesená",N308,0)</f>
        <v>0</v>
      </c>
      <c r="BI308" s="150">
        <f>IF(U308="nulová",N308,0)</f>
        <v>0</v>
      </c>
      <c r="BJ308" s="21" t="s">
        <v>21</v>
      </c>
      <c r="BK308" s="150">
        <f>ROUND(L308*K308,2)</f>
        <v>0</v>
      </c>
      <c r="BL308" s="21" t="s">
        <v>281</v>
      </c>
      <c r="BM308" s="21" t="s">
        <v>1013</v>
      </c>
    </row>
    <row r="309" spans="2:65" s="1" customFormat="1" ht="22.5" customHeight="1">
      <c r="B309" s="141"/>
      <c r="C309" s="142" t="s">
        <v>1014</v>
      </c>
      <c r="D309" s="142" t="s">
        <v>168</v>
      </c>
      <c r="E309" s="143" t="s">
        <v>1015</v>
      </c>
      <c r="F309" s="293" t="s">
        <v>1016</v>
      </c>
      <c r="G309" s="293"/>
      <c r="H309" s="293"/>
      <c r="I309" s="293"/>
      <c r="J309" s="144" t="s">
        <v>199</v>
      </c>
      <c r="K309" s="145">
        <v>11.2</v>
      </c>
      <c r="L309" s="294"/>
      <c r="M309" s="294"/>
      <c r="N309" s="294">
        <f>ROUND(L309*K309,2)</f>
        <v>0</v>
      </c>
      <c r="O309" s="294"/>
      <c r="P309" s="294"/>
      <c r="Q309" s="294"/>
      <c r="R309" s="146"/>
      <c r="T309" s="147" t="s">
        <v>5</v>
      </c>
      <c r="U309" s="44" t="s">
        <v>43</v>
      </c>
      <c r="V309" s="148">
        <v>0.2</v>
      </c>
      <c r="W309" s="148">
        <f>V309*K309</f>
        <v>2.2399999999999998</v>
      </c>
      <c r="X309" s="148">
        <v>0.00027</v>
      </c>
      <c r="Y309" s="148">
        <f>X309*K309</f>
        <v>0.0030239999999999998</v>
      </c>
      <c r="Z309" s="148">
        <v>0</v>
      </c>
      <c r="AA309" s="149">
        <f>Z309*K309</f>
        <v>0</v>
      </c>
      <c r="AR309" s="21" t="s">
        <v>281</v>
      </c>
      <c r="AT309" s="21" t="s">
        <v>168</v>
      </c>
      <c r="AU309" s="21" t="s">
        <v>135</v>
      </c>
      <c r="AY309" s="21" t="s">
        <v>167</v>
      </c>
      <c r="BE309" s="150">
        <f>IF(U309="základní",N309,0)</f>
        <v>0</v>
      </c>
      <c r="BF309" s="150">
        <f>IF(U309="snížená",N309,0)</f>
        <v>0</v>
      </c>
      <c r="BG309" s="150">
        <f>IF(U309="zákl. přenesená",N309,0)</f>
        <v>0</v>
      </c>
      <c r="BH309" s="150">
        <f>IF(U309="sníž. přenesená",N309,0)</f>
        <v>0</v>
      </c>
      <c r="BI309" s="150">
        <f>IF(U309="nulová",N309,0)</f>
        <v>0</v>
      </c>
      <c r="BJ309" s="21" t="s">
        <v>21</v>
      </c>
      <c r="BK309" s="150">
        <f>ROUND(L309*K309,2)</f>
        <v>0</v>
      </c>
      <c r="BL309" s="21" t="s">
        <v>281</v>
      </c>
      <c r="BM309" s="21" t="s">
        <v>1017</v>
      </c>
    </row>
    <row r="310" spans="2:51" s="11" customFormat="1" ht="22.5" customHeight="1">
      <c r="B310" s="159"/>
      <c r="C310" s="160"/>
      <c r="D310" s="160"/>
      <c r="E310" s="161" t="s">
        <v>5</v>
      </c>
      <c r="F310" s="308" t="s">
        <v>1018</v>
      </c>
      <c r="G310" s="309"/>
      <c r="H310" s="309"/>
      <c r="I310" s="309"/>
      <c r="J310" s="160"/>
      <c r="K310" s="162">
        <v>11.2</v>
      </c>
      <c r="L310" s="160"/>
      <c r="M310" s="160"/>
      <c r="N310" s="160"/>
      <c r="O310" s="160"/>
      <c r="P310" s="160"/>
      <c r="Q310" s="160"/>
      <c r="R310" s="163"/>
      <c r="T310" s="164"/>
      <c r="U310" s="160"/>
      <c r="V310" s="160"/>
      <c r="W310" s="160"/>
      <c r="X310" s="160"/>
      <c r="Y310" s="160"/>
      <c r="Z310" s="160"/>
      <c r="AA310" s="165"/>
      <c r="AT310" s="166" t="s">
        <v>179</v>
      </c>
      <c r="AU310" s="166" t="s">
        <v>135</v>
      </c>
      <c r="AV310" s="11" t="s">
        <v>135</v>
      </c>
      <c r="AW310" s="11" t="s">
        <v>35</v>
      </c>
      <c r="AX310" s="11" t="s">
        <v>21</v>
      </c>
      <c r="AY310" s="166" t="s">
        <v>167</v>
      </c>
    </row>
    <row r="311" spans="2:65" s="1" customFormat="1" ht="31.5" customHeight="1">
      <c r="B311" s="141"/>
      <c r="C311" s="178" t="s">
        <v>1019</v>
      </c>
      <c r="D311" s="178" t="s">
        <v>317</v>
      </c>
      <c r="E311" s="179" t="s">
        <v>1020</v>
      </c>
      <c r="F311" s="313" t="s">
        <v>1021</v>
      </c>
      <c r="G311" s="313"/>
      <c r="H311" s="313"/>
      <c r="I311" s="313"/>
      <c r="J311" s="180" t="s">
        <v>199</v>
      </c>
      <c r="K311" s="181">
        <v>15</v>
      </c>
      <c r="L311" s="314"/>
      <c r="M311" s="314"/>
      <c r="N311" s="314">
        <f>ROUND(L311*K311,2)</f>
        <v>0</v>
      </c>
      <c r="O311" s="294"/>
      <c r="P311" s="294"/>
      <c r="Q311" s="294"/>
      <c r="R311" s="146"/>
      <c r="T311" s="147" t="s">
        <v>5</v>
      </c>
      <c r="U311" s="44" t="s">
        <v>43</v>
      </c>
      <c r="V311" s="148">
        <v>0</v>
      </c>
      <c r="W311" s="148">
        <f>V311*K311</f>
        <v>0</v>
      </c>
      <c r="X311" s="148">
        <v>0.0026</v>
      </c>
      <c r="Y311" s="148">
        <f>X311*K311</f>
        <v>0.039</v>
      </c>
      <c r="Z311" s="148">
        <v>0</v>
      </c>
      <c r="AA311" s="149">
        <f>Z311*K311</f>
        <v>0</v>
      </c>
      <c r="AR311" s="21" t="s">
        <v>477</v>
      </c>
      <c r="AT311" s="21" t="s">
        <v>317</v>
      </c>
      <c r="AU311" s="21" t="s">
        <v>135</v>
      </c>
      <c r="AY311" s="21" t="s">
        <v>167</v>
      </c>
      <c r="BE311" s="150">
        <f>IF(U311="základní",N311,0)</f>
        <v>0</v>
      </c>
      <c r="BF311" s="150">
        <f>IF(U311="snížená",N311,0)</f>
        <v>0</v>
      </c>
      <c r="BG311" s="150">
        <f>IF(U311="zákl. přenesená",N311,0)</f>
        <v>0</v>
      </c>
      <c r="BH311" s="150">
        <f>IF(U311="sníž. přenesená",N311,0)</f>
        <v>0</v>
      </c>
      <c r="BI311" s="150">
        <f>IF(U311="nulová",N311,0)</f>
        <v>0</v>
      </c>
      <c r="BJ311" s="21" t="s">
        <v>21</v>
      </c>
      <c r="BK311" s="150">
        <f>ROUND(L311*K311,2)</f>
        <v>0</v>
      </c>
      <c r="BL311" s="21" t="s">
        <v>281</v>
      </c>
      <c r="BM311" s="21" t="s">
        <v>1022</v>
      </c>
    </row>
    <row r="312" spans="2:65" s="1" customFormat="1" ht="31.5" customHeight="1">
      <c r="B312" s="141"/>
      <c r="C312" s="142" t="s">
        <v>1023</v>
      </c>
      <c r="D312" s="142" t="s">
        <v>168</v>
      </c>
      <c r="E312" s="143" t="s">
        <v>1024</v>
      </c>
      <c r="F312" s="293" t="s">
        <v>1025</v>
      </c>
      <c r="G312" s="293"/>
      <c r="H312" s="293"/>
      <c r="I312" s="293"/>
      <c r="J312" s="144" t="s">
        <v>199</v>
      </c>
      <c r="K312" s="145">
        <v>11.2</v>
      </c>
      <c r="L312" s="294"/>
      <c r="M312" s="294"/>
      <c r="N312" s="294">
        <f>ROUND(L312*K312,2)</f>
        <v>0</v>
      </c>
      <c r="O312" s="294"/>
      <c r="P312" s="294"/>
      <c r="Q312" s="294"/>
      <c r="R312" s="146"/>
      <c r="T312" s="147" t="s">
        <v>5</v>
      </c>
      <c r="U312" s="44" t="s">
        <v>43</v>
      </c>
      <c r="V312" s="148">
        <v>0.25</v>
      </c>
      <c r="W312" s="148">
        <f>V312*K312</f>
        <v>2.8</v>
      </c>
      <c r="X312" s="148">
        <v>0.00536</v>
      </c>
      <c r="Y312" s="148">
        <f>X312*K312</f>
        <v>0.060031999999999995</v>
      </c>
      <c r="Z312" s="148">
        <v>0</v>
      </c>
      <c r="AA312" s="149">
        <f>Z312*K312</f>
        <v>0</v>
      </c>
      <c r="AR312" s="21" t="s">
        <v>281</v>
      </c>
      <c r="AT312" s="21" t="s">
        <v>168</v>
      </c>
      <c r="AU312" s="21" t="s">
        <v>135</v>
      </c>
      <c r="AY312" s="21" t="s">
        <v>167</v>
      </c>
      <c r="BE312" s="150">
        <f>IF(U312="základní",N312,0)</f>
        <v>0</v>
      </c>
      <c r="BF312" s="150">
        <f>IF(U312="snížená",N312,0)</f>
        <v>0</v>
      </c>
      <c r="BG312" s="150">
        <f>IF(U312="zákl. přenesená",N312,0)</f>
        <v>0</v>
      </c>
      <c r="BH312" s="150">
        <f>IF(U312="sníž. přenesená",N312,0)</f>
        <v>0</v>
      </c>
      <c r="BI312" s="150">
        <f>IF(U312="nulová",N312,0)</f>
        <v>0</v>
      </c>
      <c r="BJ312" s="21" t="s">
        <v>21</v>
      </c>
      <c r="BK312" s="150">
        <f>ROUND(L312*K312,2)</f>
        <v>0</v>
      </c>
      <c r="BL312" s="21" t="s">
        <v>281</v>
      </c>
      <c r="BM312" s="21" t="s">
        <v>1026</v>
      </c>
    </row>
    <row r="313" spans="2:65" s="1" customFormat="1" ht="31.5" customHeight="1">
      <c r="B313" s="141"/>
      <c r="C313" s="142" t="s">
        <v>1027</v>
      </c>
      <c r="D313" s="142" t="s">
        <v>168</v>
      </c>
      <c r="E313" s="143" t="s">
        <v>1028</v>
      </c>
      <c r="F313" s="293" t="s">
        <v>1029</v>
      </c>
      <c r="G313" s="293"/>
      <c r="H313" s="293"/>
      <c r="I313" s="293"/>
      <c r="J313" s="144" t="s">
        <v>408</v>
      </c>
      <c r="K313" s="145">
        <v>111.116</v>
      </c>
      <c r="L313" s="294"/>
      <c r="M313" s="294"/>
      <c r="N313" s="294">
        <f>ROUND(L313*K313,2)</f>
        <v>0</v>
      </c>
      <c r="O313" s="294"/>
      <c r="P313" s="294"/>
      <c r="Q313" s="294"/>
      <c r="R313" s="146"/>
      <c r="T313" s="147" t="s">
        <v>5</v>
      </c>
      <c r="U313" s="44" t="s">
        <v>43</v>
      </c>
      <c r="V313" s="148">
        <v>0</v>
      </c>
      <c r="W313" s="148">
        <f>V313*K313</f>
        <v>0</v>
      </c>
      <c r="X313" s="148">
        <v>0</v>
      </c>
      <c r="Y313" s="148">
        <f>X313*K313</f>
        <v>0</v>
      </c>
      <c r="Z313" s="148">
        <v>0</v>
      </c>
      <c r="AA313" s="149">
        <f>Z313*K313</f>
        <v>0</v>
      </c>
      <c r="AR313" s="21" t="s">
        <v>281</v>
      </c>
      <c r="AT313" s="21" t="s">
        <v>168</v>
      </c>
      <c r="AU313" s="21" t="s">
        <v>135</v>
      </c>
      <c r="AY313" s="21" t="s">
        <v>167</v>
      </c>
      <c r="BE313" s="150">
        <f>IF(U313="základní",N313,0)</f>
        <v>0</v>
      </c>
      <c r="BF313" s="150">
        <f>IF(U313="snížená",N313,0)</f>
        <v>0</v>
      </c>
      <c r="BG313" s="150">
        <f>IF(U313="zákl. přenesená",N313,0)</f>
        <v>0</v>
      </c>
      <c r="BH313" s="150">
        <f>IF(U313="sníž. přenesená",N313,0)</f>
        <v>0</v>
      </c>
      <c r="BI313" s="150">
        <f>IF(U313="nulová",N313,0)</f>
        <v>0</v>
      </c>
      <c r="BJ313" s="21" t="s">
        <v>21</v>
      </c>
      <c r="BK313" s="150">
        <f>ROUND(L313*K313,2)</f>
        <v>0</v>
      </c>
      <c r="BL313" s="21" t="s">
        <v>281</v>
      </c>
      <c r="BM313" s="21" t="s">
        <v>1030</v>
      </c>
    </row>
    <row r="314" spans="2:63" s="9" customFormat="1" ht="29.85" customHeight="1">
      <c r="B314" s="130"/>
      <c r="C314" s="131"/>
      <c r="D314" s="140" t="s">
        <v>654</v>
      </c>
      <c r="E314" s="140"/>
      <c r="F314" s="140"/>
      <c r="G314" s="140"/>
      <c r="H314" s="140"/>
      <c r="I314" s="140"/>
      <c r="J314" s="140"/>
      <c r="K314" s="140"/>
      <c r="L314" s="140"/>
      <c r="M314" s="140"/>
      <c r="N314" s="310">
        <f>BK314</f>
        <v>0</v>
      </c>
      <c r="O314" s="311"/>
      <c r="P314" s="311"/>
      <c r="Q314" s="311"/>
      <c r="R314" s="133"/>
      <c r="T314" s="134"/>
      <c r="U314" s="131"/>
      <c r="V314" s="131"/>
      <c r="W314" s="135">
        <f>SUM(W315:W319)</f>
        <v>8.806</v>
      </c>
      <c r="X314" s="131"/>
      <c r="Y314" s="135">
        <f>SUM(Y315:Y319)</f>
        <v>0.5522400000000001</v>
      </c>
      <c r="Z314" s="131"/>
      <c r="AA314" s="136">
        <f>SUM(AA315:AA319)</f>
        <v>0</v>
      </c>
      <c r="AR314" s="137" t="s">
        <v>135</v>
      </c>
      <c r="AT314" s="138" t="s">
        <v>77</v>
      </c>
      <c r="AU314" s="138" t="s">
        <v>21</v>
      </c>
      <c r="AY314" s="137" t="s">
        <v>167</v>
      </c>
      <c r="BK314" s="139">
        <f>SUM(BK315:BK319)</f>
        <v>0</v>
      </c>
    </row>
    <row r="315" spans="2:65" s="1" customFormat="1" ht="31.5" customHeight="1">
      <c r="B315" s="141"/>
      <c r="C315" s="142" t="s">
        <v>26</v>
      </c>
      <c r="D315" s="142" t="s">
        <v>168</v>
      </c>
      <c r="E315" s="143" t="s">
        <v>1031</v>
      </c>
      <c r="F315" s="293" t="s">
        <v>1032</v>
      </c>
      <c r="G315" s="293"/>
      <c r="H315" s="293"/>
      <c r="I315" s="293"/>
      <c r="J315" s="144" t="s">
        <v>199</v>
      </c>
      <c r="K315" s="145">
        <v>6.8</v>
      </c>
      <c r="L315" s="294"/>
      <c r="M315" s="294"/>
      <c r="N315" s="294">
        <f>ROUND(L315*K315,2)</f>
        <v>0</v>
      </c>
      <c r="O315" s="294"/>
      <c r="P315" s="294"/>
      <c r="Q315" s="294"/>
      <c r="R315" s="146"/>
      <c r="T315" s="147" t="s">
        <v>5</v>
      </c>
      <c r="U315" s="44" t="s">
        <v>43</v>
      </c>
      <c r="V315" s="148">
        <v>1.251</v>
      </c>
      <c r="W315" s="148">
        <f>V315*K315</f>
        <v>8.506799999999998</v>
      </c>
      <c r="X315" s="148">
        <v>0.0555</v>
      </c>
      <c r="Y315" s="148">
        <f>X315*K315</f>
        <v>0.3774</v>
      </c>
      <c r="Z315" s="148">
        <v>0</v>
      </c>
      <c r="AA315" s="149">
        <f>Z315*K315</f>
        <v>0</v>
      </c>
      <c r="AR315" s="21" t="s">
        <v>281</v>
      </c>
      <c r="AT315" s="21" t="s">
        <v>168</v>
      </c>
      <c r="AU315" s="21" t="s">
        <v>135</v>
      </c>
      <c r="AY315" s="21" t="s">
        <v>167</v>
      </c>
      <c r="BE315" s="150">
        <f>IF(U315="základní",N315,0)</f>
        <v>0</v>
      </c>
      <c r="BF315" s="150">
        <f>IF(U315="snížená",N315,0)</f>
        <v>0</v>
      </c>
      <c r="BG315" s="150">
        <f>IF(U315="zákl. přenesená",N315,0)</f>
        <v>0</v>
      </c>
      <c r="BH315" s="150">
        <f>IF(U315="sníž. přenesená",N315,0)</f>
        <v>0</v>
      </c>
      <c r="BI315" s="150">
        <f>IF(U315="nulová",N315,0)</f>
        <v>0</v>
      </c>
      <c r="BJ315" s="21" t="s">
        <v>21</v>
      </c>
      <c r="BK315" s="150">
        <f>ROUND(L315*K315,2)</f>
        <v>0</v>
      </c>
      <c r="BL315" s="21" t="s">
        <v>281</v>
      </c>
      <c r="BM315" s="21" t="s">
        <v>1033</v>
      </c>
    </row>
    <row r="316" spans="2:51" s="11" customFormat="1" ht="22.5" customHeight="1">
      <c r="B316" s="159"/>
      <c r="C316" s="160"/>
      <c r="D316" s="160"/>
      <c r="E316" s="161" t="s">
        <v>5</v>
      </c>
      <c r="F316" s="308" t="s">
        <v>1034</v>
      </c>
      <c r="G316" s="309"/>
      <c r="H316" s="309"/>
      <c r="I316" s="309"/>
      <c r="J316" s="160"/>
      <c r="K316" s="162">
        <v>6.8</v>
      </c>
      <c r="L316" s="160"/>
      <c r="M316" s="160"/>
      <c r="N316" s="160"/>
      <c r="O316" s="160"/>
      <c r="P316" s="160"/>
      <c r="Q316" s="160"/>
      <c r="R316" s="163"/>
      <c r="T316" s="164"/>
      <c r="U316" s="160"/>
      <c r="V316" s="160"/>
      <c r="W316" s="160"/>
      <c r="X316" s="160"/>
      <c r="Y316" s="160"/>
      <c r="Z316" s="160"/>
      <c r="AA316" s="165"/>
      <c r="AT316" s="166" t="s">
        <v>179</v>
      </c>
      <c r="AU316" s="166" t="s">
        <v>135</v>
      </c>
      <c r="AV316" s="11" t="s">
        <v>135</v>
      </c>
      <c r="AW316" s="11" t="s">
        <v>35</v>
      </c>
      <c r="AX316" s="11" t="s">
        <v>21</v>
      </c>
      <c r="AY316" s="166" t="s">
        <v>167</v>
      </c>
    </row>
    <row r="317" spans="2:65" s="1" customFormat="1" ht="22.5" customHeight="1">
      <c r="B317" s="141"/>
      <c r="C317" s="178" t="s">
        <v>1035</v>
      </c>
      <c r="D317" s="178" t="s">
        <v>317</v>
      </c>
      <c r="E317" s="179" t="s">
        <v>1036</v>
      </c>
      <c r="F317" s="313" t="s">
        <v>1037</v>
      </c>
      <c r="G317" s="313"/>
      <c r="H317" s="313"/>
      <c r="I317" s="313"/>
      <c r="J317" s="180" t="s">
        <v>199</v>
      </c>
      <c r="K317" s="181">
        <v>9</v>
      </c>
      <c r="L317" s="314"/>
      <c r="M317" s="314"/>
      <c r="N317" s="314">
        <f>ROUND(L317*K317,2)</f>
        <v>0</v>
      </c>
      <c r="O317" s="294"/>
      <c r="P317" s="294"/>
      <c r="Q317" s="294"/>
      <c r="R317" s="146"/>
      <c r="T317" s="147" t="s">
        <v>5</v>
      </c>
      <c r="U317" s="44" t="s">
        <v>43</v>
      </c>
      <c r="V317" s="148">
        <v>0</v>
      </c>
      <c r="W317" s="148">
        <f>V317*K317</f>
        <v>0</v>
      </c>
      <c r="X317" s="148">
        <v>0.0192</v>
      </c>
      <c r="Y317" s="148">
        <f>X317*K317</f>
        <v>0.17279999999999998</v>
      </c>
      <c r="Z317" s="148">
        <v>0</v>
      </c>
      <c r="AA317" s="149">
        <f>Z317*K317</f>
        <v>0</v>
      </c>
      <c r="AR317" s="21" t="s">
        <v>477</v>
      </c>
      <c r="AT317" s="21" t="s">
        <v>317</v>
      </c>
      <c r="AU317" s="21" t="s">
        <v>135</v>
      </c>
      <c r="AY317" s="21" t="s">
        <v>167</v>
      </c>
      <c r="BE317" s="150">
        <f>IF(U317="základní",N317,0)</f>
        <v>0</v>
      </c>
      <c r="BF317" s="150">
        <f>IF(U317="snížená",N317,0)</f>
        <v>0</v>
      </c>
      <c r="BG317" s="150">
        <f>IF(U317="zákl. přenesená",N317,0)</f>
        <v>0</v>
      </c>
      <c r="BH317" s="150">
        <f>IF(U317="sníž. přenesená",N317,0)</f>
        <v>0</v>
      </c>
      <c r="BI317" s="150">
        <f>IF(U317="nulová",N317,0)</f>
        <v>0</v>
      </c>
      <c r="BJ317" s="21" t="s">
        <v>21</v>
      </c>
      <c r="BK317" s="150">
        <f>ROUND(L317*K317,2)</f>
        <v>0</v>
      </c>
      <c r="BL317" s="21" t="s">
        <v>281</v>
      </c>
      <c r="BM317" s="21" t="s">
        <v>1038</v>
      </c>
    </row>
    <row r="318" spans="2:65" s="1" customFormat="1" ht="22.5" customHeight="1">
      <c r="B318" s="141"/>
      <c r="C318" s="142" t="s">
        <v>1039</v>
      </c>
      <c r="D318" s="142" t="s">
        <v>168</v>
      </c>
      <c r="E318" s="143" t="s">
        <v>1040</v>
      </c>
      <c r="F318" s="293" t="s">
        <v>1041</v>
      </c>
      <c r="G318" s="293"/>
      <c r="H318" s="293"/>
      <c r="I318" s="293"/>
      <c r="J318" s="144" t="s">
        <v>199</v>
      </c>
      <c r="K318" s="145">
        <v>6.8</v>
      </c>
      <c r="L318" s="294"/>
      <c r="M318" s="294"/>
      <c r="N318" s="294">
        <f>ROUND(L318*K318,2)</f>
        <v>0</v>
      </c>
      <c r="O318" s="294"/>
      <c r="P318" s="294"/>
      <c r="Q318" s="294"/>
      <c r="R318" s="146"/>
      <c r="T318" s="147" t="s">
        <v>5</v>
      </c>
      <c r="U318" s="44" t="s">
        <v>43</v>
      </c>
      <c r="V318" s="148">
        <v>0.044</v>
      </c>
      <c r="W318" s="148">
        <f>V318*K318</f>
        <v>0.29919999999999997</v>
      </c>
      <c r="X318" s="148">
        <v>0.0003</v>
      </c>
      <c r="Y318" s="148">
        <f>X318*K318</f>
        <v>0.0020399999999999997</v>
      </c>
      <c r="Z318" s="148">
        <v>0</v>
      </c>
      <c r="AA318" s="149">
        <f>Z318*K318</f>
        <v>0</v>
      </c>
      <c r="AR318" s="21" t="s">
        <v>281</v>
      </c>
      <c r="AT318" s="21" t="s">
        <v>168</v>
      </c>
      <c r="AU318" s="21" t="s">
        <v>135</v>
      </c>
      <c r="AY318" s="21" t="s">
        <v>167</v>
      </c>
      <c r="BE318" s="150">
        <f>IF(U318="základní",N318,0)</f>
        <v>0</v>
      </c>
      <c r="BF318" s="150">
        <f>IF(U318="snížená",N318,0)</f>
        <v>0</v>
      </c>
      <c r="BG318" s="150">
        <f>IF(U318="zákl. přenesená",N318,0)</f>
        <v>0</v>
      </c>
      <c r="BH318" s="150">
        <f>IF(U318="sníž. přenesená",N318,0)</f>
        <v>0</v>
      </c>
      <c r="BI318" s="150">
        <f>IF(U318="nulová",N318,0)</f>
        <v>0</v>
      </c>
      <c r="BJ318" s="21" t="s">
        <v>21</v>
      </c>
      <c r="BK318" s="150">
        <f>ROUND(L318*K318,2)</f>
        <v>0</v>
      </c>
      <c r="BL318" s="21" t="s">
        <v>281</v>
      </c>
      <c r="BM318" s="21" t="s">
        <v>1042</v>
      </c>
    </row>
    <row r="319" spans="2:65" s="1" customFormat="1" ht="31.5" customHeight="1">
      <c r="B319" s="141"/>
      <c r="C319" s="142" t="s">
        <v>1043</v>
      </c>
      <c r="D319" s="142" t="s">
        <v>168</v>
      </c>
      <c r="E319" s="143" t="s">
        <v>1044</v>
      </c>
      <c r="F319" s="293" t="s">
        <v>1045</v>
      </c>
      <c r="G319" s="293"/>
      <c r="H319" s="293"/>
      <c r="I319" s="293"/>
      <c r="J319" s="144" t="s">
        <v>408</v>
      </c>
      <c r="K319" s="145">
        <v>3.5</v>
      </c>
      <c r="L319" s="294"/>
      <c r="M319" s="294"/>
      <c r="N319" s="294">
        <f>ROUND(L319*K319,2)</f>
        <v>0</v>
      </c>
      <c r="O319" s="294"/>
      <c r="P319" s="294"/>
      <c r="Q319" s="294"/>
      <c r="R319" s="146"/>
      <c r="T319" s="147" t="s">
        <v>5</v>
      </c>
      <c r="U319" s="44" t="s">
        <v>43</v>
      </c>
      <c r="V319" s="148">
        <v>0</v>
      </c>
      <c r="W319" s="148">
        <f>V319*K319</f>
        <v>0</v>
      </c>
      <c r="X319" s="148">
        <v>0</v>
      </c>
      <c r="Y319" s="148">
        <f>X319*K319</f>
        <v>0</v>
      </c>
      <c r="Z319" s="148">
        <v>0</v>
      </c>
      <c r="AA319" s="149">
        <f>Z319*K319</f>
        <v>0</v>
      </c>
      <c r="AR319" s="21" t="s">
        <v>281</v>
      </c>
      <c r="AT319" s="21" t="s">
        <v>168</v>
      </c>
      <c r="AU319" s="21" t="s">
        <v>135</v>
      </c>
      <c r="AY319" s="21" t="s">
        <v>167</v>
      </c>
      <c r="BE319" s="150">
        <f>IF(U319="základní",N319,0)</f>
        <v>0</v>
      </c>
      <c r="BF319" s="150">
        <f>IF(U319="snížená",N319,0)</f>
        <v>0</v>
      </c>
      <c r="BG319" s="150">
        <f>IF(U319="zákl. přenesená",N319,0)</f>
        <v>0</v>
      </c>
      <c r="BH319" s="150">
        <f>IF(U319="sníž. přenesená",N319,0)</f>
        <v>0</v>
      </c>
      <c r="BI319" s="150">
        <f>IF(U319="nulová",N319,0)</f>
        <v>0</v>
      </c>
      <c r="BJ319" s="21" t="s">
        <v>21</v>
      </c>
      <c r="BK319" s="150">
        <f>ROUND(L319*K319,2)</f>
        <v>0</v>
      </c>
      <c r="BL319" s="21" t="s">
        <v>281</v>
      </c>
      <c r="BM319" s="21" t="s">
        <v>1046</v>
      </c>
    </row>
    <row r="320" spans="2:63" s="9" customFormat="1" ht="29.85" customHeight="1">
      <c r="B320" s="130"/>
      <c r="C320" s="131"/>
      <c r="D320" s="140" t="s">
        <v>655</v>
      </c>
      <c r="E320" s="140"/>
      <c r="F320" s="140"/>
      <c r="G320" s="140"/>
      <c r="H320" s="140"/>
      <c r="I320" s="140"/>
      <c r="J320" s="140"/>
      <c r="K320" s="140"/>
      <c r="L320" s="140"/>
      <c r="M320" s="140"/>
      <c r="N320" s="310">
        <f>BK320</f>
        <v>0</v>
      </c>
      <c r="O320" s="311"/>
      <c r="P320" s="311"/>
      <c r="Q320" s="311"/>
      <c r="R320" s="133"/>
      <c r="T320" s="134"/>
      <c r="U320" s="131"/>
      <c r="V320" s="131"/>
      <c r="W320" s="135">
        <f>SUM(W321:W326)</f>
        <v>5.499125</v>
      </c>
      <c r="X320" s="131"/>
      <c r="Y320" s="135">
        <f>SUM(Y321:Y326)</f>
        <v>0.022801250000000002</v>
      </c>
      <c r="Z320" s="131"/>
      <c r="AA320" s="136">
        <f>SUM(AA321:AA326)</f>
        <v>0</v>
      </c>
      <c r="AR320" s="137" t="s">
        <v>135</v>
      </c>
      <c r="AT320" s="138" t="s">
        <v>77</v>
      </c>
      <c r="AU320" s="138" t="s">
        <v>21</v>
      </c>
      <c r="AY320" s="137" t="s">
        <v>167</v>
      </c>
      <c r="BK320" s="139">
        <f>SUM(BK321:BK326)</f>
        <v>0</v>
      </c>
    </row>
    <row r="321" spans="2:65" s="1" customFormat="1" ht="22.5" customHeight="1">
      <c r="B321" s="141"/>
      <c r="C321" s="142" t="s">
        <v>1047</v>
      </c>
      <c r="D321" s="142" t="s">
        <v>168</v>
      </c>
      <c r="E321" s="143" t="s">
        <v>1048</v>
      </c>
      <c r="F321" s="293" t="s">
        <v>1049</v>
      </c>
      <c r="G321" s="293"/>
      <c r="H321" s="293"/>
      <c r="I321" s="293"/>
      <c r="J321" s="144" t="s">
        <v>199</v>
      </c>
      <c r="K321" s="145">
        <v>134.125</v>
      </c>
      <c r="L321" s="294"/>
      <c r="M321" s="294"/>
      <c r="N321" s="294">
        <f>ROUND(L321*K321,2)</f>
        <v>0</v>
      </c>
      <c r="O321" s="294"/>
      <c r="P321" s="294"/>
      <c r="Q321" s="294"/>
      <c r="R321" s="146"/>
      <c r="T321" s="147" t="s">
        <v>5</v>
      </c>
      <c r="U321" s="44" t="s">
        <v>43</v>
      </c>
      <c r="V321" s="148">
        <v>0.041</v>
      </c>
      <c r="W321" s="148">
        <f>V321*K321</f>
        <v>5.499125</v>
      </c>
      <c r="X321" s="148">
        <v>0.00017</v>
      </c>
      <c r="Y321" s="148">
        <f>X321*K321</f>
        <v>0.022801250000000002</v>
      </c>
      <c r="Z321" s="148">
        <v>0</v>
      </c>
      <c r="AA321" s="149">
        <f>Z321*K321</f>
        <v>0</v>
      </c>
      <c r="AR321" s="21" t="s">
        <v>281</v>
      </c>
      <c r="AT321" s="21" t="s">
        <v>168</v>
      </c>
      <c r="AU321" s="21" t="s">
        <v>135</v>
      </c>
      <c r="AY321" s="21" t="s">
        <v>167</v>
      </c>
      <c r="BE321" s="150">
        <f>IF(U321="základní",N321,0)</f>
        <v>0</v>
      </c>
      <c r="BF321" s="150">
        <f>IF(U321="snížená",N321,0)</f>
        <v>0</v>
      </c>
      <c r="BG321" s="150">
        <f>IF(U321="zákl. přenesená",N321,0)</f>
        <v>0</v>
      </c>
      <c r="BH321" s="150">
        <f>IF(U321="sníž. přenesená",N321,0)</f>
        <v>0</v>
      </c>
      <c r="BI321" s="150">
        <f>IF(U321="nulová",N321,0)</f>
        <v>0</v>
      </c>
      <c r="BJ321" s="21" t="s">
        <v>21</v>
      </c>
      <c r="BK321" s="150">
        <f>ROUND(L321*K321,2)</f>
        <v>0</v>
      </c>
      <c r="BL321" s="21" t="s">
        <v>281</v>
      </c>
      <c r="BM321" s="21" t="s">
        <v>1050</v>
      </c>
    </row>
    <row r="322" spans="2:51" s="10" customFormat="1" ht="22.5" customHeight="1">
      <c r="B322" s="151"/>
      <c r="C322" s="152"/>
      <c r="D322" s="152"/>
      <c r="E322" s="153" t="s">
        <v>5</v>
      </c>
      <c r="F322" s="300" t="s">
        <v>1051</v>
      </c>
      <c r="G322" s="301"/>
      <c r="H322" s="301"/>
      <c r="I322" s="301"/>
      <c r="J322" s="152"/>
      <c r="K322" s="154" t="s">
        <v>5</v>
      </c>
      <c r="L322" s="152"/>
      <c r="M322" s="152"/>
      <c r="N322" s="152"/>
      <c r="O322" s="152"/>
      <c r="P322" s="152"/>
      <c r="Q322" s="152"/>
      <c r="R322" s="155"/>
      <c r="T322" s="156"/>
      <c r="U322" s="152"/>
      <c r="V322" s="152"/>
      <c r="W322" s="152"/>
      <c r="X322" s="152"/>
      <c r="Y322" s="152"/>
      <c r="Z322" s="152"/>
      <c r="AA322" s="157"/>
      <c r="AT322" s="158" t="s">
        <v>179</v>
      </c>
      <c r="AU322" s="158" t="s">
        <v>135</v>
      </c>
      <c r="AV322" s="10" t="s">
        <v>21</v>
      </c>
      <c r="AW322" s="10" t="s">
        <v>35</v>
      </c>
      <c r="AX322" s="10" t="s">
        <v>78</v>
      </c>
      <c r="AY322" s="158" t="s">
        <v>167</v>
      </c>
    </row>
    <row r="323" spans="2:51" s="11" customFormat="1" ht="22.5" customHeight="1">
      <c r="B323" s="159"/>
      <c r="C323" s="160"/>
      <c r="D323" s="160"/>
      <c r="E323" s="161" t="s">
        <v>5</v>
      </c>
      <c r="F323" s="302" t="s">
        <v>1052</v>
      </c>
      <c r="G323" s="303"/>
      <c r="H323" s="303"/>
      <c r="I323" s="303"/>
      <c r="J323" s="160"/>
      <c r="K323" s="162">
        <v>100.72</v>
      </c>
      <c r="L323" s="160"/>
      <c r="M323" s="160"/>
      <c r="N323" s="160"/>
      <c r="O323" s="160"/>
      <c r="P323" s="160"/>
      <c r="Q323" s="160"/>
      <c r="R323" s="163"/>
      <c r="T323" s="164"/>
      <c r="U323" s="160"/>
      <c r="V323" s="160"/>
      <c r="W323" s="160"/>
      <c r="X323" s="160"/>
      <c r="Y323" s="160"/>
      <c r="Z323" s="160"/>
      <c r="AA323" s="165"/>
      <c r="AT323" s="166" t="s">
        <v>179</v>
      </c>
      <c r="AU323" s="166" t="s">
        <v>135</v>
      </c>
      <c r="AV323" s="11" t="s">
        <v>135</v>
      </c>
      <c r="AW323" s="11" t="s">
        <v>35</v>
      </c>
      <c r="AX323" s="11" t="s">
        <v>78</v>
      </c>
      <c r="AY323" s="166" t="s">
        <v>167</v>
      </c>
    </row>
    <row r="324" spans="2:51" s="10" customFormat="1" ht="22.5" customHeight="1">
      <c r="B324" s="151"/>
      <c r="C324" s="152"/>
      <c r="D324" s="152"/>
      <c r="E324" s="153" t="s">
        <v>5</v>
      </c>
      <c r="F324" s="304" t="s">
        <v>1053</v>
      </c>
      <c r="G324" s="305"/>
      <c r="H324" s="305"/>
      <c r="I324" s="305"/>
      <c r="J324" s="152"/>
      <c r="K324" s="154" t="s">
        <v>5</v>
      </c>
      <c r="L324" s="152"/>
      <c r="M324" s="152"/>
      <c r="N324" s="152"/>
      <c r="O324" s="152"/>
      <c r="P324" s="152"/>
      <c r="Q324" s="152"/>
      <c r="R324" s="155"/>
      <c r="T324" s="156"/>
      <c r="U324" s="152"/>
      <c r="V324" s="152"/>
      <c r="W324" s="152"/>
      <c r="X324" s="152"/>
      <c r="Y324" s="152"/>
      <c r="Z324" s="152"/>
      <c r="AA324" s="157"/>
      <c r="AT324" s="158" t="s">
        <v>179</v>
      </c>
      <c r="AU324" s="158" t="s">
        <v>135</v>
      </c>
      <c r="AV324" s="10" t="s">
        <v>21</v>
      </c>
      <c r="AW324" s="10" t="s">
        <v>35</v>
      </c>
      <c r="AX324" s="10" t="s">
        <v>78</v>
      </c>
      <c r="AY324" s="158" t="s">
        <v>167</v>
      </c>
    </row>
    <row r="325" spans="2:51" s="11" customFormat="1" ht="22.5" customHeight="1">
      <c r="B325" s="159"/>
      <c r="C325" s="160"/>
      <c r="D325" s="160"/>
      <c r="E325" s="161" t="s">
        <v>5</v>
      </c>
      <c r="F325" s="302" t="s">
        <v>755</v>
      </c>
      <c r="G325" s="303"/>
      <c r="H325" s="303"/>
      <c r="I325" s="303"/>
      <c r="J325" s="160"/>
      <c r="K325" s="162">
        <v>33.405</v>
      </c>
      <c r="L325" s="160"/>
      <c r="M325" s="160"/>
      <c r="N325" s="160"/>
      <c r="O325" s="160"/>
      <c r="P325" s="160"/>
      <c r="Q325" s="160"/>
      <c r="R325" s="163"/>
      <c r="T325" s="164"/>
      <c r="U325" s="160"/>
      <c r="V325" s="160"/>
      <c r="W325" s="160"/>
      <c r="X325" s="160"/>
      <c r="Y325" s="160"/>
      <c r="Z325" s="160"/>
      <c r="AA325" s="165"/>
      <c r="AT325" s="166" t="s">
        <v>179</v>
      </c>
      <c r="AU325" s="166" t="s">
        <v>135</v>
      </c>
      <c r="AV325" s="11" t="s">
        <v>135</v>
      </c>
      <c r="AW325" s="11" t="s">
        <v>35</v>
      </c>
      <c r="AX325" s="11" t="s">
        <v>78</v>
      </c>
      <c r="AY325" s="166" t="s">
        <v>167</v>
      </c>
    </row>
    <row r="326" spans="2:51" s="12" customFormat="1" ht="22.5" customHeight="1">
      <c r="B326" s="167"/>
      <c r="C326" s="168"/>
      <c r="D326" s="168"/>
      <c r="E326" s="169" t="s">
        <v>5</v>
      </c>
      <c r="F326" s="306" t="s">
        <v>183</v>
      </c>
      <c r="G326" s="307"/>
      <c r="H326" s="307"/>
      <c r="I326" s="307"/>
      <c r="J326" s="168"/>
      <c r="K326" s="170">
        <v>134.125</v>
      </c>
      <c r="L326" s="168"/>
      <c r="M326" s="168"/>
      <c r="N326" s="168"/>
      <c r="O326" s="168"/>
      <c r="P326" s="168"/>
      <c r="Q326" s="168"/>
      <c r="R326" s="171"/>
      <c r="T326" s="182"/>
      <c r="U326" s="183"/>
      <c r="V326" s="183"/>
      <c r="W326" s="183"/>
      <c r="X326" s="183"/>
      <c r="Y326" s="183"/>
      <c r="Z326" s="183"/>
      <c r="AA326" s="184"/>
      <c r="AT326" s="174" t="s">
        <v>179</v>
      </c>
      <c r="AU326" s="174" t="s">
        <v>135</v>
      </c>
      <c r="AV326" s="12" t="s">
        <v>172</v>
      </c>
      <c r="AW326" s="12" t="s">
        <v>35</v>
      </c>
      <c r="AX326" s="12" t="s">
        <v>21</v>
      </c>
      <c r="AY326" s="174" t="s">
        <v>167</v>
      </c>
    </row>
    <row r="327" spans="2:18" s="1" customFormat="1" ht="6.95" customHeight="1">
      <c r="B327" s="59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</sheetData>
  <mergeCells count="476">
    <mergeCell ref="H1:K1"/>
    <mergeCell ref="S2:AC2"/>
    <mergeCell ref="F325:I325"/>
    <mergeCell ref="F326:I326"/>
    <mergeCell ref="N133:Q133"/>
    <mergeCell ref="N134:Q134"/>
    <mergeCell ref="N135:Q135"/>
    <mergeCell ref="N142:Q142"/>
    <mergeCell ref="N149:Q149"/>
    <mergeCell ref="N163:Q163"/>
    <mergeCell ref="N176:Q176"/>
    <mergeCell ref="N200:Q200"/>
    <mergeCell ref="N207:Q207"/>
    <mergeCell ref="N209:Q209"/>
    <mergeCell ref="N210:Q210"/>
    <mergeCell ref="N221:Q221"/>
    <mergeCell ref="N233:Q233"/>
    <mergeCell ref="N235:Q235"/>
    <mergeCell ref="N238:Q238"/>
    <mergeCell ref="N244:Q244"/>
    <mergeCell ref="N256:Q256"/>
    <mergeCell ref="N293:Q293"/>
    <mergeCell ref="F319:I319"/>
    <mergeCell ref="L319:M319"/>
    <mergeCell ref="F310:I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N314:Q314"/>
    <mergeCell ref="N320:Q320"/>
    <mergeCell ref="F322:I322"/>
    <mergeCell ref="F323:I323"/>
    <mergeCell ref="F324:I324"/>
    <mergeCell ref="F315:I315"/>
    <mergeCell ref="L315:M315"/>
    <mergeCell ref="N315:Q315"/>
    <mergeCell ref="F316:I316"/>
    <mergeCell ref="F317:I317"/>
    <mergeCell ref="L317:M317"/>
    <mergeCell ref="N317:Q317"/>
    <mergeCell ref="F318:I318"/>
    <mergeCell ref="L318:M318"/>
    <mergeCell ref="N318:Q318"/>
    <mergeCell ref="N319:Q319"/>
    <mergeCell ref="F321:I321"/>
    <mergeCell ref="L321:M321"/>
    <mergeCell ref="N321:Q321"/>
    <mergeCell ref="L309:M309"/>
    <mergeCell ref="N309:Q309"/>
    <mergeCell ref="F300:I300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L304:M304"/>
    <mergeCell ref="N304:Q304"/>
    <mergeCell ref="F306:I306"/>
    <mergeCell ref="L306:M306"/>
    <mergeCell ref="N306:Q306"/>
    <mergeCell ref="N305:Q305"/>
    <mergeCell ref="F307:I307"/>
    <mergeCell ref="F308:I308"/>
    <mergeCell ref="L308:M308"/>
    <mergeCell ref="N308:Q308"/>
    <mergeCell ref="F309:I309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L299:M299"/>
    <mergeCell ref="N299:Q29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6:I286"/>
    <mergeCell ref="L286:M286"/>
    <mergeCell ref="N286:Q286"/>
    <mergeCell ref="F287:I287"/>
    <mergeCell ref="L287:M287"/>
    <mergeCell ref="N287:Q287"/>
    <mergeCell ref="F289:I289"/>
    <mergeCell ref="L289:M289"/>
    <mergeCell ref="N289:Q289"/>
    <mergeCell ref="N288:Q288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79:I279"/>
    <mergeCell ref="L279:M279"/>
    <mergeCell ref="N279:Q279"/>
    <mergeCell ref="F280:I280"/>
    <mergeCell ref="L280:M280"/>
    <mergeCell ref="N280:Q280"/>
    <mergeCell ref="F282:I282"/>
    <mergeCell ref="L282:M282"/>
    <mergeCell ref="N282:Q282"/>
    <mergeCell ref="N281:Q281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1:I271"/>
    <mergeCell ref="F272:I272"/>
    <mergeCell ref="L272:M272"/>
    <mergeCell ref="N272:Q272"/>
    <mergeCell ref="F274:I274"/>
    <mergeCell ref="L274:M274"/>
    <mergeCell ref="N274:Q274"/>
    <mergeCell ref="F275:I275"/>
    <mergeCell ref="L275:M275"/>
    <mergeCell ref="N275:Q275"/>
    <mergeCell ref="N273:Q273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60:I260"/>
    <mergeCell ref="L260:M260"/>
    <mergeCell ref="N260:Q260"/>
    <mergeCell ref="F262:I262"/>
    <mergeCell ref="L262:M262"/>
    <mergeCell ref="N262:Q262"/>
    <mergeCell ref="F263:I263"/>
    <mergeCell ref="F264:I264"/>
    <mergeCell ref="F265:I265"/>
    <mergeCell ref="N261:Q261"/>
    <mergeCell ref="F255:I255"/>
    <mergeCell ref="L255:M255"/>
    <mergeCell ref="N255:Q255"/>
    <mergeCell ref="F257:I257"/>
    <mergeCell ref="L257:M257"/>
    <mergeCell ref="N257:Q257"/>
    <mergeCell ref="F258:I258"/>
    <mergeCell ref="F259:I259"/>
    <mergeCell ref="L259:M259"/>
    <mergeCell ref="N259:Q25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L254:M254"/>
    <mergeCell ref="N254:Q25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7:I237"/>
    <mergeCell ref="L237:M237"/>
    <mergeCell ref="N237:Q237"/>
    <mergeCell ref="F239:I239"/>
    <mergeCell ref="L239:M239"/>
    <mergeCell ref="N239:Q239"/>
    <mergeCell ref="F240:I240"/>
    <mergeCell ref="L240:M240"/>
    <mergeCell ref="N240:Q240"/>
    <mergeCell ref="F232:I232"/>
    <mergeCell ref="L232:M232"/>
    <mergeCell ref="N232:Q232"/>
    <mergeCell ref="F234:I234"/>
    <mergeCell ref="L234:M234"/>
    <mergeCell ref="N234:Q234"/>
    <mergeCell ref="F236:I236"/>
    <mergeCell ref="L236:M236"/>
    <mergeCell ref="N236:Q236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L231:M231"/>
    <mergeCell ref="N231:Q231"/>
    <mergeCell ref="F223:I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19:I219"/>
    <mergeCell ref="L219:M219"/>
    <mergeCell ref="N219:Q219"/>
    <mergeCell ref="F220:I220"/>
    <mergeCell ref="L220:M220"/>
    <mergeCell ref="N220:Q220"/>
    <mergeCell ref="F222:I222"/>
    <mergeCell ref="L222:M222"/>
    <mergeCell ref="N222:Q222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06:I206"/>
    <mergeCell ref="F208:I208"/>
    <mergeCell ref="L208:M208"/>
    <mergeCell ref="N208:Q208"/>
    <mergeCell ref="F211:I211"/>
    <mergeCell ref="L211:M211"/>
    <mergeCell ref="N211:Q211"/>
    <mergeCell ref="F212:I212"/>
    <mergeCell ref="F213:I213"/>
    <mergeCell ref="L213:M213"/>
    <mergeCell ref="N213:Q213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8:I198"/>
    <mergeCell ref="L198:M198"/>
    <mergeCell ref="N198:Q198"/>
    <mergeCell ref="F199:I199"/>
    <mergeCell ref="F201:I201"/>
    <mergeCell ref="L201:M201"/>
    <mergeCell ref="N201:Q201"/>
    <mergeCell ref="F202:I202"/>
    <mergeCell ref="L202:M202"/>
    <mergeCell ref="N202:Q202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F187:I187"/>
    <mergeCell ref="F175:I175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65:I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58:I158"/>
    <mergeCell ref="F159:I159"/>
    <mergeCell ref="L159:M159"/>
    <mergeCell ref="N159:Q159"/>
    <mergeCell ref="F160:I160"/>
    <mergeCell ref="F161:I161"/>
    <mergeCell ref="F162:I162"/>
    <mergeCell ref="F164:I164"/>
    <mergeCell ref="L164:M164"/>
    <mergeCell ref="N164:Q164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6:I146"/>
    <mergeCell ref="F147:I147"/>
    <mergeCell ref="L147:M147"/>
    <mergeCell ref="N147:Q147"/>
    <mergeCell ref="F148:I148"/>
    <mergeCell ref="F150:I150"/>
    <mergeCell ref="L150:M150"/>
    <mergeCell ref="N150:Q150"/>
    <mergeCell ref="F151:I151"/>
    <mergeCell ref="F141:I141"/>
    <mergeCell ref="L141:M141"/>
    <mergeCell ref="N141:Q141"/>
    <mergeCell ref="F143:I143"/>
    <mergeCell ref="L143:M143"/>
    <mergeCell ref="N143:Q143"/>
    <mergeCell ref="F144:I144"/>
    <mergeCell ref="F145:I145"/>
    <mergeCell ref="L145:M145"/>
    <mergeCell ref="N145:Q145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N107:Q107"/>
    <mergeCell ref="N108:Q108"/>
    <mergeCell ref="N109:Q109"/>
    <mergeCell ref="N110:Q110"/>
    <mergeCell ref="N111:Q111"/>
    <mergeCell ref="N112:Q112"/>
    <mergeCell ref="N114:Q114"/>
    <mergeCell ref="L116:Q116"/>
    <mergeCell ref="C122:Q12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3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N138"/>
  <sheetViews>
    <sheetView showGridLines="0" view="pageBreakPreview" zoomScaleSheetLayoutView="100" workbookViewId="0" topLeftCell="A1">
      <pane ySplit="1" topLeftCell="A82" activePane="bottomLeft" state="frozen"/>
      <selection pane="topLeft" activeCell="AG1" sqref="AG1"/>
      <selection pane="bottomLeft" activeCell="AI115" sqref="AI1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130</v>
      </c>
      <c r="G1" s="17"/>
      <c r="H1" s="312" t="s">
        <v>131</v>
      </c>
      <c r="I1" s="312"/>
      <c r="J1" s="312"/>
      <c r="K1" s="312"/>
      <c r="L1" s="17" t="s">
        <v>132</v>
      </c>
      <c r="M1" s="15"/>
      <c r="N1" s="15"/>
      <c r="O1" s="16" t="s">
        <v>133</v>
      </c>
      <c r="P1" s="15"/>
      <c r="Q1" s="15"/>
      <c r="R1" s="15"/>
      <c r="S1" s="17" t="s">
        <v>134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69" t="s">
        <v>8</v>
      </c>
      <c r="T2" s="270"/>
      <c r="U2" s="270"/>
      <c r="V2" s="270"/>
      <c r="W2" s="270"/>
      <c r="X2" s="270"/>
      <c r="Y2" s="270"/>
      <c r="Z2" s="270"/>
      <c r="AA2" s="270"/>
      <c r="AB2" s="270"/>
      <c r="AC2" s="270"/>
      <c r="AT2" s="21" t="s">
        <v>107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135</v>
      </c>
    </row>
    <row r="4" spans="2:46" ht="36.95" customHeight="1">
      <c r="B4" s="25"/>
      <c r="C4" s="237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73" t="str">
        <f>'Rekapitulace stavby'!K6</f>
        <v>ČOV a splašková kanalizace Žinkovy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8"/>
      <c r="R6" s="26"/>
    </row>
    <row r="7" spans="2:18" s="1" customFormat="1" ht="32.85" customHeight="1">
      <c r="B7" s="35"/>
      <c r="C7" s="36"/>
      <c r="D7" s="31" t="s">
        <v>137</v>
      </c>
      <c r="E7" s="36"/>
      <c r="F7" s="241" t="s">
        <v>1054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36"/>
      <c r="R7" s="37"/>
    </row>
    <row r="8" spans="2:18" s="1" customFormat="1" ht="14.45" customHeight="1">
      <c r="B8" s="35"/>
      <c r="C8" s="36"/>
      <c r="D8" s="32" t="s">
        <v>19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20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22</v>
      </c>
      <c r="E9" s="36"/>
      <c r="F9" s="30" t="s">
        <v>23</v>
      </c>
      <c r="G9" s="36"/>
      <c r="H9" s="36"/>
      <c r="I9" s="36"/>
      <c r="J9" s="36"/>
      <c r="K9" s="36"/>
      <c r="L9" s="36"/>
      <c r="M9" s="32" t="s">
        <v>24</v>
      </c>
      <c r="N9" s="36"/>
      <c r="O9" s="276">
        <f>'Rekapitulace stavby'!AN8</f>
        <v>42912</v>
      </c>
      <c r="P9" s="27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27</v>
      </c>
      <c r="E11" s="36"/>
      <c r="F11" s="36"/>
      <c r="G11" s="36"/>
      <c r="H11" s="36"/>
      <c r="I11" s="36"/>
      <c r="J11" s="36"/>
      <c r="K11" s="36"/>
      <c r="L11" s="36"/>
      <c r="M11" s="32" t="s">
        <v>28</v>
      </c>
      <c r="N11" s="36"/>
      <c r="O11" s="277" t="s">
        <v>5</v>
      </c>
      <c r="P11" s="277"/>
      <c r="Q11" s="36"/>
      <c r="R11" s="37"/>
    </row>
    <row r="12" spans="2:18" s="1" customFormat="1" ht="18" customHeight="1">
      <c r="B12" s="35"/>
      <c r="C12" s="36"/>
      <c r="D12" s="36"/>
      <c r="E12" s="30" t="s">
        <v>29</v>
      </c>
      <c r="F12" s="36"/>
      <c r="G12" s="36"/>
      <c r="H12" s="36"/>
      <c r="I12" s="36"/>
      <c r="J12" s="36"/>
      <c r="K12" s="36"/>
      <c r="L12" s="36"/>
      <c r="M12" s="32" t="s">
        <v>30</v>
      </c>
      <c r="N12" s="36"/>
      <c r="O12" s="277" t="s">
        <v>5</v>
      </c>
      <c r="P12" s="27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31</v>
      </c>
      <c r="E14" s="36"/>
      <c r="F14" s="36"/>
      <c r="G14" s="36"/>
      <c r="H14" s="36"/>
      <c r="I14" s="36"/>
      <c r="J14" s="36"/>
      <c r="K14" s="36"/>
      <c r="L14" s="36"/>
      <c r="M14" s="32" t="s">
        <v>28</v>
      </c>
      <c r="N14" s="36"/>
      <c r="O14" s="277" t="str">
        <f>IF('Rekapitulace stavby'!AN13="","",'Rekapitulace stavby'!AN13)</f>
        <v/>
      </c>
      <c r="P14" s="277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30</v>
      </c>
      <c r="N15" s="36"/>
      <c r="O15" s="277" t="str">
        <f>IF('Rekapitulace stavby'!AN14="","",'Rekapitulace stavby'!AN14)</f>
        <v/>
      </c>
      <c r="P15" s="27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33</v>
      </c>
      <c r="E17" s="36"/>
      <c r="F17" s="36"/>
      <c r="G17" s="36"/>
      <c r="H17" s="36"/>
      <c r="I17" s="36"/>
      <c r="J17" s="36"/>
      <c r="K17" s="36"/>
      <c r="L17" s="36"/>
      <c r="M17" s="32" t="s">
        <v>28</v>
      </c>
      <c r="N17" s="36"/>
      <c r="O17" s="277" t="s">
        <v>5</v>
      </c>
      <c r="P17" s="277"/>
      <c r="Q17" s="36"/>
      <c r="R17" s="37"/>
    </row>
    <row r="18" spans="2:18" s="1" customFormat="1" ht="18" customHeight="1">
      <c r="B18" s="35"/>
      <c r="C18" s="36"/>
      <c r="D18" s="36"/>
      <c r="E18" s="30" t="s">
        <v>139</v>
      </c>
      <c r="F18" s="36"/>
      <c r="G18" s="36"/>
      <c r="H18" s="36"/>
      <c r="I18" s="36"/>
      <c r="J18" s="36"/>
      <c r="K18" s="36"/>
      <c r="L18" s="36"/>
      <c r="M18" s="32" t="s">
        <v>30</v>
      </c>
      <c r="N18" s="36"/>
      <c r="O18" s="277" t="s">
        <v>5</v>
      </c>
      <c r="P18" s="27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36</v>
      </c>
      <c r="E20" s="36"/>
      <c r="F20" s="36"/>
      <c r="G20" s="36"/>
      <c r="H20" s="36"/>
      <c r="I20" s="36"/>
      <c r="J20" s="36"/>
      <c r="K20" s="36"/>
      <c r="L20" s="36"/>
      <c r="M20" s="32" t="s">
        <v>28</v>
      </c>
      <c r="N20" s="36"/>
      <c r="O20" s="277" t="s">
        <v>5</v>
      </c>
      <c r="P20" s="277"/>
      <c r="Q20" s="36"/>
      <c r="R20" s="37"/>
    </row>
    <row r="21" spans="2:18" s="1" customFormat="1" ht="18" customHeight="1">
      <c r="B21" s="35"/>
      <c r="C21" s="36"/>
      <c r="D21" s="36"/>
      <c r="E21" s="30" t="s">
        <v>37</v>
      </c>
      <c r="F21" s="36"/>
      <c r="G21" s="36"/>
      <c r="H21" s="36"/>
      <c r="I21" s="36"/>
      <c r="J21" s="36"/>
      <c r="K21" s="36"/>
      <c r="L21" s="36"/>
      <c r="M21" s="32" t="s">
        <v>30</v>
      </c>
      <c r="N21" s="36"/>
      <c r="O21" s="277" t="s">
        <v>5</v>
      </c>
      <c r="P21" s="27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43" t="s">
        <v>5</v>
      </c>
      <c r="F24" s="243"/>
      <c r="G24" s="243"/>
      <c r="H24" s="243"/>
      <c r="I24" s="243"/>
      <c r="J24" s="243"/>
      <c r="K24" s="243"/>
      <c r="L24" s="24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140</v>
      </c>
      <c r="E27" s="36"/>
      <c r="F27" s="36"/>
      <c r="G27" s="36"/>
      <c r="H27" s="36"/>
      <c r="I27" s="36"/>
      <c r="J27" s="36"/>
      <c r="K27" s="36"/>
      <c r="L27" s="36"/>
      <c r="M27" s="244">
        <f>N88</f>
        <v>0</v>
      </c>
      <c r="N27" s="244"/>
      <c r="O27" s="244"/>
      <c r="P27" s="244"/>
      <c r="Q27" s="36"/>
      <c r="R27" s="37"/>
    </row>
    <row r="28" spans="2:18" s="1" customFormat="1" ht="14.45" customHeight="1">
      <c r="B28" s="35"/>
      <c r="C28" s="36"/>
      <c r="D28" s="34" t="s">
        <v>141</v>
      </c>
      <c r="E28" s="36"/>
      <c r="F28" s="36"/>
      <c r="G28" s="36"/>
      <c r="H28" s="36"/>
      <c r="I28" s="36"/>
      <c r="J28" s="36"/>
      <c r="K28" s="36"/>
      <c r="L28" s="36"/>
      <c r="M28" s="244">
        <f>N95</f>
        <v>0</v>
      </c>
      <c r="N28" s="244"/>
      <c r="O28" s="244"/>
      <c r="P28" s="244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41</v>
      </c>
      <c r="E30" s="36"/>
      <c r="F30" s="36"/>
      <c r="G30" s="36"/>
      <c r="H30" s="36"/>
      <c r="I30" s="36"/>
      <c r="J30" s="36"/>
      <c r="K30" s="36"/>
      <c r="L30" s="36"/>
      <c r="M30" s="278">
        <f>ROUNDUP(M27+M28,2)</f>
        <v>0</v>
      </c>
      <c r="N30" s="275"/>
      <c r="O30" s="275"/>
      <c r="P30" s="27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08" t="s">
        <v>44</v>
      </c>
      <c r="H32" s="279">
        <f>ROUNDUP((SUM(BE95:BE96)+SUM(BE114:BE137)),2)</f>
        <v>0</v>
      </c>
      <c r="I32" s="275"/>
      <c r="J32" s="275"/>
      <c r="K32" s="36"/>
      <c r="L32" s="36"/>
      <c r="M32" s="279">
        <f>ROUNDUP(ROUNDUP((SUM(BE95:BE96)+SUM(BE114:BE137)),2)*F32,1)</f>
        <v>0</v>
      </c>
      <c r="N32" s="275"/>
      <c r="O32" s="275"/>
      <c r="P32" s="275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08" t="s">
        <v>44</v>
      </c>
      <c r="H33" s="279">
        <f>ROUNDUP((SUM(BF95:BF96)+SUM(BF114:BF137)),2)</f>
        <v>0</v>
      </c>
      <c r="I33" s="275"/>
      <c r="J33" s="275"/>
      <c r="K33" s="36"/>
      <c r="L33" s="36"/>
      <c r="M33" s="279">
        <f>ROUNDUP(ROUNDUP((SUM(BF95:BF96)+SUM(BF114:BF137)),2)*F33,1)</f>
        <v>0</v>
      </c>
      <c r="N33" s="275"/>
      <c r="O33" s="275"/>
      <c r="P33" s="27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08" t="s">
        <v>44</v>
      </c>
      <c r="H34" s="279">
        <f>ROUNDUP((SUM(BG95:BG96)+SUM(BG114:BG137)),2)</f>
        <v>0</v>
      </c>
      <c r="I34" s="275"/>
      <c r="J34" s="275"/>
      <c r="K34" s="36"/>
      <c r="L34" s="36"/>
      <c r="M34" s="279">
        <v>0</v>
      </c>
      <c r="N34" s="275"/>
      <c r="O34" s="275"/>
      <c r="P34" s="27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08" t="s">
        <v>44</v>
      </c>
      <c r="H35" s="279">
        <f>ROUNDUP((SUM(BH95:BH96)+SUM(BH114:BH137)),2)</f>
        <v>0</v>
      </c>
      <c r="I35" s="275"/>
      <c r="J35" s="275"/>
      <c r="K35" s="36"/>
      <c r="L35" s="36"/>
      <c r="M35" s="279">
        <v>0</v>
      </c>
      <c r="N35" s="275"/>
      <c r="O35" s="275"/>
      <c r="P35" s="27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08" t="s">
        <v>44</v>
      </c>
      <c r="H36" s="279">
        <f>ROUNDUP((SUM(BI95:BI96)+SUM(BI114:BI137)),2)</f>
        <v>0</v>
      </c>
      <c r="I36" s="275"/>
      <c r="J36" s="275"/>
      <c r="K36" s="36"/>
      <c r="L36" s="36"/>
      <c r="M36" s="279">
        <v>0</v>
      </c>
      <c r="N36" s="275"/>
      <c r="O36" s="275"/>
      <c r="P36" s="27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49</v>
      </c>
      <c r="E38" s="75"/>
      <c r="F38" s="75"/>
      <c r="G38" s="110" t="s">
        <v>50</v>
      </c>
      <c r="H38" s="111" t="s">
        <v>51</v>
      </c>
      <c r="I38" s="75"/>
      <c r="J38" s="75"/>
      <c r="K38" s="75"/>
      <c r="L38" s="280">
        <f>SUM(M30:M36)</f>
        <v>0</v>
      </c>
      <c r="M38" s="280"/>
      <c r="N38" s="280"/>
      <c r="O38" s="280"/>
      <c r="P38" s="281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37" t="s">
        <v>142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73" t="str">
        <f>F6</f>
        <v>ČOV a splašková kanalizace Žinkovy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6"/>
      <c r="R78" s="37"/>
    </row>
    <row r="79" spans="2:18" s="1" customFormat="1" ht="36.95" customHeight="1">
      <c r="B79" s="35"/>
      <c r="C79" s="69" t="s">
        <v>137</v>
      </c>
      <c r="D79" s="36"/>
      <c r="E79" s="36"/>
      <c r="F79" s="254" t="str">
        <f>F7</f>
        <v xml:space="preserve">SO.1.08 - Objekt ČOV - oplocení </v>
      </c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22</v>
      </c>
      <c r="D81" s="36"/>
      <c r="E81" s="36"/>
      <c r="F81" s="30" t="str">
        <f>F9</f>
        <v>Žinkovy</v>
      </c>
      <c r="G81" s="36"/>
      <c r="H81" s="36"/>
      <c r="I81" s="36"/>
      <c r="J81" s="36"/>
      <c r="K81" s="32" t="s">
        <v>24</v>
      </c>
      <c r="L81" s="36"/>
      <c r="M81" s="276">
        <f>IF(O9="","",O9)</f>
        <v>42912</v>
      </c>
      <c r="N81" s="276"/>
      <c r="O81" s="276"/>
      <c r="P81" s="27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27</v>
      </c>
      <c r="D83" s="36"/>
      <c r="E83" s="36"/>
      <c r="F83" s="30" t="str">
        <f>E12</f>
        <v>Obec Žinkovy</v>
      </c>
      <c r="G83" s="36"/>
      <c r="H83" s="36"/>
      <c r="I83" s="36"/>
      <c r="J83" s="36"/>
      <c r="K83" s="32" t="s">
        <v>33</v>
      </c>
      <c r="L83" s="36"/>
      <c r="M83" s="277" t="str">
        <f>E18</f>
        <v>PIK Vítek s.r.o.</v>
      </c>
      <c r="N83" s="277"/>
      <c r="O83" s="277"/>
      <c r="P83" s="277"/>
      <c r="Q83" s="277"/>
      <c r="R83" s="37"/>
    </row>
    <row r="84" spans="2:18" s="1" customFormat="1" ht="14.45" customHeight="1">
      <c r="B84" s="35"/>
      <c r="C84" s="32" t="s">
        <v>31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36</v>
      </c>
      <c r="L84" s="36"/>
      <c r="M84" s="277" t="str">
        <f>E21</f>
        <v>Acrone s.r.o.</v>
      </c>
      <c r="N84" s="277"/>
      <c r="O84" s="277"/>
      <c r="P84" s="277"/>
      <c r="Q84" s="277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82" t="s">
        <v>143</v>
      </c>
      <c r="D86" s="283"/>
      <c r="E86" s="283"/>
      <c r="F86" s="283"/>
      <c r="G86" s="283"/>
      <c r="H86" s="104"/>
      <c r="I86" s="104"/>
      <c r="J86" s="104"/>
      <c r="K86" s="104"/>
      <c r="L86" s="104"/>
      <c r="M86" s="104"/>
      <c r="N86" s="282" t="s">
        <v>144</v>
      </c>
      <c r="O86" s="283"/>
      <c r="P86" s="283"/>
      <c r="Q86" s="283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72">
        <f>N114</f>
        <v>0</v>
      </c>
      <c r="O88" s="284"/>
      <c r="P88" s="284"/>
      <c r="Q88" s="284"/>
      <c r="R88" s="37"/>
      <c r="AU88" s="21" t="s">
        <v>146</v>
      </c>
    </row>
    <row r="89" spans="2:18" s="6" customFormat="1" ht="24.95" customHeight="1">
      <c r="B89" s="113"/>
      <c r="C89" s="114"/>
      <c r="D89" s="115" t="s">
        <v>147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85">
        <f>N115</f>
        <v>0</v>
      </c>
      <c r="O89" s="286"/>
      <c r="P89" s="286"/>
      <c r="Q89" s="286"/>
      <c r="R89" s="116"/>
    </row>
    <row r="90" spans="2:18" s="7" customFormat="1" ht="19.9" customHeight="1">
      <c r="B90" s="117"/>
      <c r="C90" s="118"/>
      <c r="D90" s="119" t="s">
        <v>148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87">
        <f>N116</f>
        <v>0</v>
      </c>
      <c r="O90" s="288"/>
      <c r="P90" s="288"/>
      <c r="Q90" s="288"/>
      <c r="R90" s="120"/>
    </row>
    <row r="91" spans="2:18" s="7" customFormat="1" ht="19.9" customHeight="1">
      <c r="B91" s="117"/>
      <c r="C91" s="118"/>
      <c r="D91" s="119" t="s">
        <v>149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87">
        <f>N121</f>
        <v>0</v>
      </c>
      <c r="O91" s="288"/>
      <c r="P91" s="288"/>
      <c r="Q91" s="288"/>
      <c r="R91" s="120"/>
    </row>
    <row r="92" spans="2:18" s="6" customFormat="1" ht="24.95" customHeight="1">
      <c r="B92" s="113"/>
      <c r="C92" s="114"/>
      <c r="D92" s="115" t="s">
        <v>387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85">
        <f>N124</f>
        <v>0</v>
      </c>
      <c r="O92" s="286"/>
      <c r="P92" s="286"/>
      <c r="Q92" s="286"/>
      <c r="R92" s="116"/>
    </row>
    <row r="93" spans="2:18" s="7" customFormat="1" ht="19.9" customHeight="1">
      <c r="B93" s="117"/>
      <c r="C93" s="118"/>
      <c r="D93" s="119" t="s">
        <v>388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87">
        <f>N125</f>
        <v>0</v>
      </c>
      <c r="O93" s="288"/>
      <c r="P93" s="288"/>
      <c r="Q93" s="288"/>
      <c r="R93" s="120"/>
    </row>
    <row r="94" spans="2:18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21" s="1" customFormat="1" ht="29.25" customHeight="1">
      <c r="B95" s="35"/>
      <c r="C95" s="112" t="s">
        <v>152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84">
        <v>0</v>
      </c>
      <c r="O95" s="289"/>
      <c r="P95" s="289"/>
      <c r="Q95" s="289"/>
      <c r="R95" s="37"/>
      <c r="T95" s="121"/>
      <c r="U95" s="122" t="s">
        <v>42</v>
      </c>
    </row>
    <row r="96" spans="2:18" s="1" customFormat="1" ht="18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18" s="1" customFormat="1" ht="29.25" customHeight="1">
      <c r="B97" s="35"/>
      <c r="C97" s="103" t="s">
        <v>129</v>
      </c>
      <c r="D97" s="104"/>
      <c r="E97" s="104"/>
      <c r="F97" s="104"/>
      <c r="G97" s="104"/>
      <c r="H97" s="104"/>
      <c r="I97" s="104"/>
      <c r="J97" s="104"/>
      <c r="K97" s="104"/>
      <c r="L97" s="268">
        <f>ROUNDUP(SUM(N88+N95),2)</f>
        <v>0</v>
      </c>
      <c r="M97" s="268"/>
      <c r="N97" s="268"/>
      <c r="O97" s="268"/>
      <c r="P97" s="268"/>
      <c r="Q97" s="268"/>
      <c r="R97" s="37"/>
    </row>
    <row r="98" spans="2:18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</row>
    <row r="102" spans="2:18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3" spans="2:18" s="1" customFormat="1" ht="36.95" customHeight="1">
      <c r="B103" s="35"/>
      <c r="C103" s="237" t="s">
        <v>153</v>
      </c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37"/>
    </row>
    <row r="104" spans="2:18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30" customHeight="1">
      <c r="B105" s="35"/>
      <c r="C105" s="32" t="s">
        <v>16</v>
      </c>
      <c r="D105" s="36"/>
      <c r="E105" s="36"/>
      <c r="F105" s="273" t="str">
        <f>F6</f>
        <v>ČOV a splašková kanalizace Žinkovy</v>
      </c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36"/>
      <c r="R105" s="37"/>
    </row>
    <row r="106" spans="2:18" s="1" customFormat="1" ht="36.95" customHeight="1">
      <c r="B106" s="35"/>
      <c r="C106" s="69" t="s">
        <v>137</v>
      </c>
      <c r="D106" s="36"/>
      <c r="E106" s="36"/>
      <c r="F106" s="254" t="str">
        <f>F7</f>
        <v xml:space="preserve">SO.1.08 - Objekt ČOV - oplocení </v>
      </c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8" customHeight="1">
      <c r="B108" s="35"/>
      <c r="C108" s="32" t="s">
        <v>22</v>
      </c>
      <c r="D108" s="36"/>
      <c r="E108" s="36"/>
      <c r="F108" s="30" t="str">
        <f>F9</f>
        <v>Žinkovy</v>
      </c>
      <c r="G108" s="36"/>
      <c r="H108" s="36"/>
      <c r="I108" s="36"/>
      <c r="J108" s="36"/>
      <c r="K108" s="32" t="s">
        <v>24</v>
      </c>
      <c r="L108" s="36"/>
      <c r="M108" s="276">
        <f>IF(O9="","",O9)</f>
        <v>42912</v>
      </c>
      <c r="N108" s="276"/>
      <c r="O108" s="276"/>
      <c r="P108" s="276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5">
      <c r="B110" s="35"/>
      <c r="C110" s="32" t="s">
        <v>27</v>
      </c>
      <c r="D110" s="36"/>
      <c r="E110" s="36"/>
      <c r="F110" s="30" t="str">
        <f>E12</f>
        <v>Obec Žinkovy</v>
      </c>
      <c r="G110" s="36"/>
      <c r="H110" s="36"/>
      <c r="I110" s="36"/>
      <c r="J110" s="36"/>
      <c r="K110" s="32" t="s">
        <v>33</v>
      </c>
      <c r="L110" s="36"/>
      <c r="M110" s="277" t="str">
        <f>E18</f>
        <v>PIK Vítek s.r.o.</v>
      </c>
      <c r="N110" s="277"/>
      <c r="O110" s="277"/>
      <c r="P110" s="277"/>
      <c r="Q110" s="277"/>
      <c r="R110" s="37"/>
    </row>
    <row r="111" spans="2:18" s="1" customFormat="1" ht="14.45" customHeight="1">
      <c r="B111" s="35"/>
      <c r="C111" s="32" t="s">
        <v>31</v>
      </c>
      <c r="D111" s="36"/>
      <c r="E111" s="36"/>
      <c r="F111" s="30" t="str">
        <f>IF(E15="","",E15)</f>
        <v xml:space="preserve"> </v>
      </c>
      <c r="G111" s="36"/>
      <c r="H111" s="36"/>
      <c r="I111" s="36"/>
      <c r="J111" s="36"/>
      <c r="K111" s="32" t="s">
        <v>36</v>
      </c>
      <c r="L111" s="36"/>
      <c r="M111" s="277" t="str">
        <f>E21</f>
        <v>Acrone s.r.o.</v>
      </c>
      <c r="N111" s="277"/>
      <c r="O111" s="277"/>
      <c r="P111" s="277"/>
      <c r="Q111" s="277"/>
      <c r="R111" s="37"/>
    </row>
    <row r="112" spans="2:18" s="1" customFormat="1" ht="10.3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27" s="8" customFormat="1" ht="29.25" customHeight="1">
      <c r="B113" s="123"/>
      <c r="C113" s="124" t="s">
        <v>154</v>
      </c>
      <c r="D113" s="125" t="s">
        <v>155</v>
      </c>
      <c r="E113" s="125" t="s">
        <v>60</v>
      </c>
      <c r="F113" s="290" t="s">
        <v>156</v>
      </c>
      <c r="G113" s="290"/>
      <c r="H113" s="290"/>
      <c r="I113" s="290"/>
      <c r="J113" s="125" t="s">
        <v>157</v>
      </c>
      <c r="K113" s="125" t="s">
        <v>158</v>
      </c>
      <c r="L113" s="291" t="s">
        <v>159</v>
      </c>
      <c r="M113" s="291"/>
      <c r="N113" s="290" t="s">
        <v>144</v>
      </c>
      <c r="O113" s="290"/>
      <c r="P113" s="290"/>
      <c r="Q113" s="292"/>
      <c r="R113" s="126"/>
      <c r="T113" s="76" t="s">
        <v>160</v>
      </c>
      <c r="U113" s="77" t="s">
        <v>42</v>
      </c>
      <c r="V113" s="77" t="s">
        <v>161</v>
      </c>
      <c r="W113" s="77" t="s">
        <v>162</v>
      </c>
      <c r="X113" s="77" t="s">
        <v>163</v>
      </c>
      <c r="Y113" s="77" t="s">
        <v>164</v>
      </c>
      <c r="Z113" s="77" t="s">
        <v>165</v>
      </c>
      <c r="AA113" s="78" t="s">
        <v>166</v>
      </c>
    </row>
    <row r="114" spans="2:63" s="1" customFormat="1" ht="29.25" customHeight="1">
      <c r="B114" s="35"/>
      <c r="C114" s="80" t="s">
        <v>140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95">
        <f>BK114</f>
        <v>0</v>
      </c>
      <c r="O114" s="296"/>
      <c r="P114" s="296"/>
      <c r="Q114" s="296"/>
      <c r="R114" s="37"/>
      <c r="T114" s="79"/>
      <c r="U114" s="51"/>
      <c r="V114" s="51"/>
      <c r="W114" s="127">
        <f>W115+W124</f>
        <v>208.19079999999997</v>
      </c>
      <c r="X114" s="51"/>
      <c r="Y114" s="127">
        <f>Y115+Y124</f>
        <v>24.78980352</v>
      </c>
      <c r="Z114" s="51"/>
      <c r="AA114" s="128">
        <f>AA115+AA124</f>
        <v>0</v>
      </c>
      <c r="AT114" s="21" t="s">
        <v>77</v>
      </c>
      <c r="AU114" s="21" t="s">
        <v>146</v>
      </c>
      <c r="BK114" s="129">
        <f>BK115+BK124</f>
        <v>0</v>
      </c>
    </row>
    <row r="115" spans="2:63" s="9" customFormat="1" ht="37.35" customHeight="1">
      <c r="B115" s="130"/>
      <c r="C115" s="131"/>
      <c r="D115" s="132" t="s">
        <v>147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297">
        <f>BK115</f>
        <v>0</v>
      </c>
      <c r="O115" s="285"/>
      <c r="P115" s="285"/>
      <c r="Q115" s="285"/>
      <c r="R115" s="133"/>
      <c r="T115" s="134"/>
      <c r="U115" s="131"/>
      <c r="V115" s="131"/>
      <c r="W115" s="135">
        <f>W116+W121</f>
        <v>32.1408</v>
      </c>
      <c r="X115" s="131"/>
      <c r="Y115" s="135">
        <f>Y116+Y121</f>
        <v>20.14460352</v>
      </c>
      <c r="Z115" s="131"/>
      <c r="AA115" s="136">
        <f>AA116+AA121</f>
        <v>0</v>
      </c>
      <c r="AR115" s="137" t="s">
        <v>21</v>
      </c>
      <c r="AT115" s="138" t="s">
        <v>77</v>
      </c>
      <c r="AU115" s="138" t="s">
        <v>78</v>
      </c>
      <c r="AY115" s="137" t="s">
        <v>167</v>
      </c>
      <c r="BK115" s="139">
        <f>BK116+BK121</f>
        <v>0</v>
      </c>
    </row>
    <row r="116" spans="2:63" s="9" customFormat="1" ht="19.9" customHeight="1">
      <c r="B116" s="130"/>
      <c r="C116" s="131"/>
      <c r="D116" s="140" t="s">
        <v>148</v>
      </c>
      <c r="E116" s="140"/>
      <c r="F116" s="140"/>
      <c r="G116" s="140"/>
      <c r="H116" s="140"/>
      <c r="I116" s="140"/>
      <c r="J116" s="140"/>
      <c r="K116" s="140"/>
      <c r="L116" s="140"/>
      <c r="M116" s="140"/>
      <c r="N116" s="298">
        <f>BK116</f>
        <v>0</v>
      </c>
      <c r="O116" s="299"/>
      <c r="P116" s="299"/>
      <c r="Q116" s="299"/>
      <c r="R116" s="133"/>
      <c r="T116" s="134"/>
      <c r="U116" s="131"/>
      <c r="V116" s="131"/>
      <c r="W116" s="135">
        <f>SUM(W117:W120)</f>
        <v>26.926848</v>
      </c>
      <c r="X116" s="131"/>
      <c r="Y116" s="135">
        <f>SUM(Y117:Y120)</f>
        <v>0</v>
      </c>
      <c r="Z116" s="131"/>
      <c r="AA116" s="136">
        <f>SUM(AA117:AA120)</f>
        <v>0</v>
      </c>
      <c r="AR116" s="137" t="s">
        <v>21</v>
      </c>
      <c r="AT116" s="138" t="s">
        <v>77</v>
      </c>
      <c r="AU116" s="138" t="s">
        <v>21</v>
      </c>
      <c r="AY116" s="137" t="s">
        <v>167</v>
      </c>
      <c r="BK116" s="139">
        <f>SUM(BK117:BK120)</f>
        <v>0</v>
      </c>
    </row>
    <row r="117" spans="2:65" s="1" customFormat="1" ht="31.5" customHeight="1">
      <c r="B117" s="141"/>
      <c r="C117" s="142" t="s">
        <v>21</v>
      </c>
      <c r="D117" s="142" t="s">
        <v>168</v>
      </c>
      <c r="E117" s="143" t="s">
        <v>659</v>
      </c>
      <c r="F117" s="293" t="s">
        <v>660</v>
      </c>
      <c r="G117" s="293"/>
      <c r="H117" s="293"/>
      <c r="I117" s="293"/>
      <c r="J117" s="144" t="s">
        <v>176</v>
      </c>
      <c r="K117" s="145">
        <v>8.928</v>
      </c>
      <c r="L117" s="294"/>
      <c r="M117" s="294"/>
      <c r="N117" s="294">
        <f>ROUND(L117*K117,2)</f>
        <v>0</v>
      </c>
      <c r="O117" s="294"/>
      <c r="P117" s="294"/>
      <c r="Q117" s="294"/>
      <c r="R117" s="146"/>
      <c r="T117" s="147" t="s">
        <v>5</v>
      </c>
      <c r="U117" s="44" t="s">
        <v>43</v>
      </c>
      <c r="V117" s="148">
        <v>2.32</v>
      </c>
      <c r="W117" s="148">
        <f>V117*K117</f>
        <v>20.71296</v>
      </c>
      <c r="X117" s="148">
        <v>0</v>
      </c>
      <c r="Y117" s="148">
        <f>X117*K117</f>
        <v>0</v>
      </c>
      <c r="Z117" s="148">
        <v>0</v>
      </c>
      <c r="AA117" s="149">
        <f>Z117*K117</f>
        <v>0</v>
      </c>
      <c r="AR117" s="21" t="s">
        <v>172</v>
      </c>
      <c r="AT117" s="21" t="s">
        <v>168</v>
      </c>
      <c r="AU117" s="21" t="s">
        <v>135</v>
      </c>
      <c r="AY117" s="21" t="s">
        <v>167</v>
      </c>
      <c r="BE117" s="150">
        <f>IF(U117="základní",N117,0)</f>
        <v>0</v>
      </c>
      <c r="BF117" s="150">
        <f>IF(U117="snížená",N117,0)</f>
        <v>0</v>
      </c>
      <c r="BG117" s="150">
        <f>IF(U117="zákl. přenesená",N117,0)</f>
        <v>0</v>
      </c>
      <c r="BH117" s="150">
        <f>IF(U117="sníž. přenesená",N117,0)</f>
        <v>0</v>
      </c>
      <c r="BI117" s="150">
        <f>IF(U117="nulová",N117,0)</f>
        <v>0</v>
      </c>
      <c r="BJ117" s="21" t="s">
        <v>21</v>
      </c>
      <c r="BK117" s="150">
        <f>ROUND(L117*K117,2)</f>
        <v>0</v>
      </c>
      <c r="BL117" s="21" t="s">
        <v>172</v>
      </c>
      <c r="BM117" s="21" t="s">
        <v>1055</v>
      </c>
    </row>
    <row r="118" spans="2:51" s="11" customFormat="1" ht="22.5" customHeight="1">
      <c r="B118" s="159"/>
      <c r="C118" s="160"/>
      <c r="D118" s="160"/>
      <c r="E118" s="161" t="s">
        <v>5</v>
      </c>
      <c r="F118" s="308" t="s">
        <v>1056</v>
      </c>
      <c r="G118" s="309"/>
      <c r="H118" s="309"/>
      <c r="I118" s="309"/>
      <c r="J118" s="160"/>
      <c r="K118" s="162">
        <v>8.928</v>
      </c>
      <c r="L118" s="160"/>
      <c r="M118" s="160"/>
      <c r="N118" s="160"/>
      <c r="O118" s="160"/>
      <c r="P118" s="160"/>
      <c r="Q118" s="160"/>
      <c r="R118" s="163"/>
      <c r="T118" s="164"/>
      <c r="U118" s="160"/>
      <c r="V118" s="160"/>
      <c r="W118" s="160"/>
      <c r="X118" s="160"/>
      <c r="Y118" s="160"/>
      <c r="Z118" s="160"/>
      <c r="AA118" s="165"/>
      <c r="AT118" s="166" t="s">
        <v>179</v>
      </c>
      <c r="AU118" s="166" t="s">
        <v>135</v>
      </c>
      <c r="AV118" s="11" t="s">
        <v>135</v>
      </c>
      <c r="AW118" s="11" t="s">
        <v>35</v>
      </c>
      <c r="AX118" s="11" t="s">
        <v>21</v>
      </c>
      <c r="AY118" s="166" t="s">
        <v>167</v>
      </c>
    </row>
    <row r="119" spans="2:65" s="1" customFormat="1" ht="31.5" customHeight="1">
      <c r="B119" s="141"/>
      <c r="C119" s="142" t="s">
        <v>135</v>
      </c>
      <c r="D119" s="142" t="s">
        <v>168</v>
      </c>
      <c r="E119" s="143" t="s">
        <v>251</v>
      </c>
      <c r="F119" s="293" t="s">
        <v>515</v>
      </c>
      <c r="G119" s="293"/>
      <c r="H119" s="293"/>
      <c r="I119" s="293"/>
      <c r="J119" s="144" t="s">
        <v>176</v>
      </c>
      <c r="K119" s="145">
        <v>8.928</v>
      </c>
      <c r="L119" s="294"/>
      <c r="M119" s="294"/>
      <c r="N119" s="294">
        <f>ROUND(L119*K119,2)</f>
        <v>0</v>
      </c>
      <c r="O119" s="294"/>
      <c r="P119" s="294"/>
      <c r="Q119" s="294"/>
      <c r="R119" s="146"/>
      <c r="T119" s="147" t="s">
        <v>5</v>
      </c>
      <c r="U119" s="44" t="s">
        <v>43</v>
      </c>
      <c r="V119" s="148">
        <v>0.044</v>
      </c>
      <c r="W119" s="148">
        <f>V119*K119</f>
        <v>0.392832</v>
      </c>
      <c r="X119" s="148">
        <v>0</v>
      </c>
      <c r="Y119" s="148">
        <f>X119*K119</f>
        <v>0</v>
      </c>
      <c r="Z119" s="148">
        <v>0</v>
      </c>
      <c r="AA119" s="149">
        <f>Z119*K119</f>
        <v>0</v>
      </c>
      <c r="AR119" s="21" t="s">
        <v>172</v>
      </c>
      <c r="AT119" s="21" t="s">
        <v>168</v>
      </c>
      <c r="AU119" s="21" t="s">
        <v>135</v>
      </c>
      <c r="AY119" s="21" t="s">
        <v>167</v>
      </c>
      <c r="BE119" s="150">
        <f>IF(U119="základní",N119,0)</f>
        <v>0</v>
      </c>
      <c r="BF119" s="150">
        <f>IF(U119="snížená",N119,0)</f>
        <v>0</v>
      </c>
      <c r="BG119" s="150">
        <f>IF(U119="zákl. přenesená",N119,0)</f>
        <v>0</v>
      </c>
      <c r="BH119" s="150">
        <f>IF(U119="sníž. přenesená",N119,0)</f>
        <v>0</v>
      </c>
      <c r="BI119" s="150">
        <f>IF(U119="nulová",N119,0)</f>
        <v>0</v>
      </c>
      <c r="BJ119" s="21" t="s">
        <v>21</v>
      </c>
      <c r="BK119" s="150">
        <f>ROUND(L119*K119,2)</f>
        <v>0</v>
      </c>
      <c r="BL119" s="21" t="s">
        <v>172</v>
      </c>
      <c r="BM119" s="21" t="s">
        <v>1057</v>
      </c>
    </row>
    <row r="120" spans="2:65" s="1" customFormat="1" ht="22.5" customHeight="1">
      <c r="B120" s="141"/>
      <c r="C120" s="142" t="s">
        <v>184</v>
      </c>
      <c r="D120" s="142" t="s">
        <v>168</v>
      </c>
      <c r="E120" s="143" t="s">
        <v>1058</v>
      </c>
      <c r="F120" s="293" t="s">
        <v>1059</v>
      </c>
      <c r="G120" s="293"/>
      <c r="H120" s="293"/>
      <c r="I120" s="293"/>
      <c r="J120" s="144" t="s">
        <v>176</v>
      </c>
      <c r="K120" s="145">
        <v>8.928</v>
      </c>
      <c r="L120" s="294"/>
      <c r="M120" s="294"/>
      <c r="N120" s="294">
        <f>ROUND(L120*K120,2)</f>
        <v>0</v>
      </c>
      <c r="O120" s="294"/>
      <c r="P120" s="294"/>
      <c r="Q120" s="294"/>
      <c r="R120" s="146"/>
      <c r="T120" s="147" t="s">
        <v>5</v>
      </c>
      <c r="U120" s="44" t="s">
        <v>43</v>
      </c>
      <c r="V120" s="148">
        <v>0.652</v>
      </c>
      <c r="W120" s="148">
        <f>V120*K120</f>
        <v>5.8210560000000005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172</v>
      </c>
      <c r="AT120" s="21" t="s">
        <v>168</v>
      </c>
      <c r="AU120" s="21" t="s">
        <v>135</v>
      </c>
      <c r="AY120" s="21" t="s">
        <v>167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21</v>
      </c>
      <c r="BK120" s="150">
        <f>ROUND(L120*K120,2)</f>
        <v>0</v>
      </c>
      <c r="BL120" s="21" t="s">
        <v>172</v>
      </c>
      <c r="BM120" s="21" t="s">
        <v>1060</v>
      </c>
    </row>
    <row r="121" spans="2:63" s="9" customFormat="1" ht="29.85" customHeight="1">
      <c r="B121" s="130"/>
      <c r="C121" s="131"/>
      <c r="D121" s="140" t="s">
        <v>149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310">
        <f>BK121</f>
        <v>0</v>
      </c>
      <c r="O121" s="311"/>
      <c r="P121" s="311"/>
      <c r="Q121" s="311"/>
      <c r="R121" s="133"/>
      <c r="T121" s="134"/>
      <c r="U121" s="131"/>
      <c r="V121" s="131"/>
      <c r="W121" s="135">
        <f>SUM(W122:W123)</f>
        <v>5.213952</v>
      </c>
      <c r="X121" s="131"/>
      <c r="Y121" s="135">
        <f>SUM(Y122:Y123)</f>
        <v>20.14460352</v>
      </c>
      <c r="Z121" s="131"/>
      <c r="AA121" s="136">
        <f>SUM(AA122:AA123)</f>
        <v>0</v>
      </c>
      <c r="AR121" s="137" t="s">
        <v>21</v>
      </c>
      <c r="AT121" s="138" t="s">
        <v>77</v>
      </c>
      <c r="AU121" s="138" t="s">
        <v>21</v>
      </c>
      <c r="AY121" s="137" t="s">
        <v>167</v>
      </c>
      <c r="BK121" s="139">
        <f>SUM(BK122:BK123)</f>
        <v>0</v>
      </c>
    </row>
    <row r="122" spans="2:65" s="1" customFormat="1" ht="31.5" customHeight="1">
      <c r="B122" s="141"/>
      <c r="C122" s="142" t="s">
        <v>172</v>
      </c>
      <c r="D122" s="142" t="s">
        <v>168</v>
      </c>
      <c r="E122" s="143" t="s">
        <v>1061</v>
      </c>
      <c r="F122" s="293" t="s">
        <v>1062</v>
      </c>
      <c r="G122" s="293"/>
      <c r="H122" s="293"/>
      <c r="I122" s="293"/>
      <c r="J122" s="144" t="s">
        <v>176</v>
      </c>
      <c r="K122" s="145">
        <v>8.928</v>
      </c>
      <c r="L122" s="294"/>
      <c r="M122" s="294"/>
      <c r="N122" s="294">
        <f>ROUND(L122*K122,2)</f>
        <v>0</v>
      </c>
      <c r="O122" s="294"/>
      <c r="P122" s="294"/>
      <c r="Q122" s="294"/>
      <c r="R122" s="146"/>
      <c r="T122" s="147" t="s">
        <v>5</v>
      </c>
      <c r="U122" s="44" t="s">
        <v>43</v>
      </c>
      <c r="V122" s="148">
        <v>0.584</v>
      </c>
      <c r="W122" s="148">
        <f>V122*K122</f>
        <v>5.213952</v>
      </c>
      <c r="X122" s="148">
        <v>2.25634</v>
      </c>
      <c r="Y122" s="148">
        <f>X122*K122</f>
        <v>20.14460352</v>
      </c>
      <c r="Z122" s="148">
        <v>0</v>
      </c>
      <c r="AA122" s="149">
        <f>Z122*K122</f>
        <v>0</v>
      </c>
      <c r="AR122" s="21" t="s">
        <v>172</v>
      </c>
      <c r="AT122" s="21" t="s">
        <v>168</v>
      </c>
      <c r="AU122" s="21" t="s">
        <v>135</v>
      </c>
      <c r="AY122" s="21" t="s">
        <v>167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21</v>
      </c>
      <c r="BK122" s="150">
        <f>ROUND(L122*K122,2)</f>
        <v>0</v>
      </c>
      <c r="BL122" s="21" t="s">
        <v>172</v>
      </c>
      <c r="BM122" s="21" t="s">
        <v>1063</v>
      </c>
    </row>
    <row r="123" spans="2:51" s="11" customFormat="1" ht="22.5" customHeight="1">
      <c r="B123" s="159"/>
      <c r="C123" s="160"/>
      <c r="D123" s="160"/>
      <c r="E123" s="161" t="s">
        <v>5</v>
      </c>
      <c r="F123" s="308" t="s">
        <v>1056</v>
      </c>
      <c r="G123" s="309"/>
      <c r="H123" s="309"/>
      <c r="I123" s="309"/>
      <c r="J123" s="160"/>
      <c r="K123" s="162">
        <v>8.928</v>
      </c>
      <c r="L123" s="160"/>
      <c r="M123" s="160"/>
      <c r="N123" s="160"/>
      <c r="O123" s="160"/>
      <c r="P123" s="160"/>
      <c r="Q123" s="160"/>
      <c r="R123" s="163"/>
      <c r="T123" s="164"/>
      <c r="U123" s="160"/>
      <c r="V123" s="160"/>
      <c r="W123" s="160"/>
      <c r="X123" s="160"/>
      <c r="Y123" s="160"/>
      <c r="Z123" s="160"/>
      <c r="AA123" s="165"/>
      <c r="AT123" s="166" t="s">
        <v>179</v>
      </c>
      <c r="AU123" s="166" t="s">
        <v>135</v>
      </c>
      <c r="AV123" s="11" t="s">
        <v>135</v>
      </c>
      <c r="AW123" s="11" t="s">
        <v>35</v>
      </c>
      <c r="AX123" s="11" t="s">
        <v>21</v>
      </c>
      <c r="AY123" s="166" t="s">
        <v>167</v>
      </c>
    </row>
    <row r="124" spans="2:63" s="9" customFormat="1" ht="37.35" customHeight="1">
      <c r="B124" s="130"/>
      <c r="C124" s="131"/>
      <c r="D124" s="132" t="s">
        <v>387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297">
        <f>BK124</f>
        <v>0</v>
      </c>
      <c r="O124" s="285"/>
      <c r="P124" s="285"/>
      <c r="Q124" s="285"/>
      <c r="R124" s="133"/>
      <c r="T124" s="134"/>
      <c r="U124" s="131"/>
      <c r="V124" s="131"/>
      <c r="W124" s="135">
        <f>W125</f>
        <v>176.04999999999998</v>
      </c>
      <c r="X124" s="131"/>
      <c r="Y124" s="135">
        <f>Y125</f>
        <v>4.645199999999999</v>
      </c>
      <c r="Z124" s="131"/>
      <c r="AA124" s="136">
        <f>AA125</f>
        <v>0</v>
      </c>
      <c r="AR124" s="137" t="s">
        <v>135</v>
      </c>
      <c r="AT124" s="138" t="s">
        <v>77</v>
      </c>
      <c r="AU124" s="138" t="s">
        <v>78</v>
      </c>
      <c r="AY124" s="137" t="s">
        <v>167</v>
      </c>
      <c r="BK124" s="139">
        <f>BK125</f>
        <v>0</v>
      </c>
    </row>
    <row r="125" spans="2:63" s="9" customFormat="1" ht="19.9" customHeight="1">
      <c r="B125" s="130"/>
      <c r="C125" s="131"/>
      <c r="D125" s="140" t="s">
        <v>388</v>
      </c>
      <c r="E125" s="140"/>
      <c r="F125" s="140"/>
      <c r="G125" s="140"/>
      <c r="H125" s="140"/>
      <c r="I125" s="140"/>
      <c r="J125" s="140"/>
      <c r="K125" s="140"/>
      <c r="L125" s="140"/>
      <c r="M125" s="140"/>
      <c r="N125" s="298">
        <f>BK125</f>
        <v>0</v>
      </c>
      <c r="O125" s="299"/>
      <c r="P125" s="299"/>
      <c r="Q125" s="299"/>
      <c r="R125" s="133"/>
      <c r="T125" s="134"/>
      <c r="U125" s="131"/>
      <c r="V125" s="131"/>
      <c r="W125" s="135">
        <f>SUM(W126:W137)</f>
        <v>176.04999999999998</v>
      </c>
      <c r="X125" s="131"/>
      <c r="Y125" s="135">
        <f>SUM(Y126:Y137)</f>
        <v>4.645199999999999</v>
      </c>
      <c r="Z125" s="131"/>
      <c r="AA125" s="136">
        <f>SUM(AA126:AA137)</f>
        <v>0</v>
      </c>
      <c r="AR125" s="137" t="s">
        <v>135</v>
      </c>
      <c r="AT125" s="138" t="s">
        <v>77</v>
      </c>
      <c r="AU125" s="138" t="s">
        <v>21</v>
      </c>
      <c r="AY125" s="137" t="s">
        <v>167</v>
      </c>
      <c r="BK125" s="139">
        <f>SUM(BK126:BK137)</f>
        <v>0</v>
      </c>
    </row>
    <row r="126" spans="2:65" s="1" customFormat="1" ht="31.5" customHeight="1">
      <c r="B126" s="141"/>
      <c r="C126" s="142" t="s">
        <v>196</v>
      </c>
      <c r="D126" s="142" t="s">
        <v>168</v>
      </c>
      <c r="E126" s="143" t="s">
        <v>1064</v>
      </c>
      <c r="F126" s="293" t="s">
        <v>1065</v>
      </c>
      <c r="G126" s="293"/>
      <c r="H126" s="293"/>
      <c r="I126" s="293"/>
      <c r="J126" s="144" t="s">
        <v>259</v>
      </c>
      <c r="K126" s="145">
        <v>115</v>
      </c>
      <c r="L126" s="294"/>
      <c r="M126" s="294"/>
      <c r="N126" s="294">
        <f>ROUND(L126*K126,2)</f>
        <v>0</v>
      </c>
      <c r="O126" s="294"/>
      <c r="P126" s="294"/>
      <c r="Q126" s="294"/>
      <c r="R126" s="146"/>
      <c r="T126" s="147" t="s">
        <v>5</v>
      </c>
      <c r="U126" s="44" t="s">
        <v>43</v>
      </c>
      <c r="V126" s="148">
        <v>0.3</v>
      </c>
      <c r="W126" s="148">
        <f>V126*K126</f>
        <v>34.5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281</v>
      </c>
      <c r="AT126" s="21" t="s">
        <v>168</v>
      </c>
      <c r="AU126" s="21" t="s">
        <v>135</v>
      </c>
      <c r="AY126" s="21" t="s">
        <v>167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21</v>
      </c>
      <c r="BK126" s="150">
        <f>ROUND(L126*K126,2)</f>
        <v>0</v>
      </c>
      <c r="BL126" s="21" t="s">
        <v>281</v>
      </c>
      <c r="BM126" s="21" t="s">
        <v>1066</v>
      </c>
    </row>
    <row r="127" spans="2:51" s="11" customFormat="1" ht="22.5" customHeight="1">
      <c r="B127" s="159"/>
      <c r="C127" s="160"/>
      <c r="D127" s="160"/>
      <c r="E127" s="161" t="s">
        <v>5</v>
      </c>
      <c r="F127" s="308" t="s">
        <v>1067</v>
      </c>
      <c r="G127" s="309"/>
      <c r="H127" s="309"/>
      <c r="I127" s="309"/>
      <c r="J127" s="160"/>
      <c r="K127" s="162">
        <v>115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179</v>
      </c>
      <c r="AU127" s="166" t="s">
        <v>135</v>
      </c>
      <c r="AV127" s="11" t="s">
        <v>135</v>
      </c>
      <c r="AW127" s="11" t="s">
        <v>35</v>
      </c>
      <c r="AX127" s="11" t="s">
        <v>21</v>
      </c>
      <c r="AY127" s="166" t="s">
        <v>167</v>
      </c>
    </row>
    <row r="128" spans="2:65" s="1" customFormat="1" ht="31.5" customHeight="1">
      <c r="B128" s="141"/>
      <c r="C128" s="178" t="s">
        <v>203</v>
      </c>
      <c r="D128" s="178" t="s">
        <v>317</v>
      </c>
      <c r="E128" s="179" t="s">
        <v>1068</v>
      </c>
      <c r="F128" s="313" t="s">
        <v>1069</v>
      </c>
      <c r="G128" s="313"/>
      <c r="H128" s="313"/>
      <c r="I128" s="313"/>
      <c r="J128" s="180" t="s">
        <v>259</v>
      </c>
      <c r="K128" s="181">
        <v>120</v>
      </c>
      <c r="L128" s="314"/>
      <c r="M128" s="314"/>
      <c r="N128" s="314">
        <f>ROUND(L128*K128,2)</f>
        <v>0</v>
      </c>
      <c r="O128" s="294"/>
      <c r="P128" s="294"/>
      <c r="Q128" s="294"/>
      <c r="R128" s="146"/>
      <c r="T128" s="147" t="s">
        <v>5</v>
      </c>
      <c r="U128" s="44" t="s">
        <v>43</v>
      </c>
      <c r="V128" s="148">
        <v>0</v>
      </c>
      <c r="W128" s="148">
        <f>V128*K128</f>
        <v>0</v>
      </c>
      <c r="X128" s="148">
        <v>0.00131</v>
      </c>
      <c r="Y128" s="148">
        <f>X128*K128</f>
        <v>0.1572</v>
      </c>
      <c r="Z128" s="148">
        <v>0</v>
      </c>
      <c r="AA128" s="149">
        <f>Z128*K128</f>
        <v>0</v>
      </c>
      <c r="AR128" s="21" t="s">
        <v>477</v>
      </c>
      <c r="AT128" s="21" t="s">
        <v>317</v>
      </c>
      <c r="AU128" s="21" t="s">
        <v>135</v>
      </c>
      <c r="AY128" s="21" t="s">
        <v>167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21</v>
      </c>
      <c r="BK128" s="150">
        <f>ROUND(L128*K128,2)</f>
        <v>0</v>
      </c>
      <c r="BL128" s="21" t="s">
        <v>281</v>
      </c>
      <c r="BM128" s="21" t="s">
        <v>1070</v>
      </c>
    </row>
    <row r="129" spans="2:65" s="1" customFormat="1" ht="22.5" customHeight="1">
      <c r="B129" s="141"/>
      <c r="C129" s="142" t="s">
        <v>207</v>
      </c>
      <c r="D129" s="142" t="s">
        <v>168</v>
      </c>
      <c r="E129" s="143" t="s">
        <v>1071</v>
      </c>
      <c r="F129" s="293" t="s">
        <v>1072</v>
      </c>
      <c r="G129" s="293"/>
      <c r="H129" s="293"/>
      <c r="I129" s="293"/>
      <c r="J129" s="144" t="s">
        <v>578</v>
      </c>
      <c r="K129" s="145">
        <v>31</v>
      </c>
      <c r="L129" s="294"/>
      <c r="M129" s="294"/>
      <c r="N129" s="294">
        <f>ROUND(L129*K129,2)</f>
        <v>0</v>
      </c>
      <c r="O129" s="294"/>
      <c r="P129" s="294"/>
      <c r="Q129" s="294"/>
      <c r="R129" s="146"/>
      <c r="T129" s="147" t="s">
        <v>5</v>
      </c>
      <c r="U129" s="44" t="s">
        <v>43</v>
      </c>
      <c r="V129" s="148">
        <v>0.95</v>
      </c>
      <c r="W129" s="148">
        <f>V129*K129</f>
        <v>29.45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281</v>
      </c>
      <c r="AT129" s="21" t="s">
        <v>168</v>
      </c>
      <c r="AU129" s="21" t="s">
        <v>135</v>
      </c>
      <c r="AY129" s="21" t="s">
        <v>167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21</v>
      </c>
      <c r="BK129" s="150">
        <f>ROUND(L129*K129,2)</f>
        <v>0</v>
      </c>
      <c r="BL129" s="21" t="s">
        <v>281</v>
      </c>
      <c r="BM129" s="21" t="s">
        <v>1073</v>
      </c>
    </row>
    <row r="130" spans="2:51" s="11" customFormat="1" ht="22.5" customHeight="1">
      <c r="B130" s="159"/>
      <c r="C130" s="160"/>
      <c r="D130" s="160"/>
      <c r="E130" s="161" t="s">
        <v>5</v>
      </c>
      <c r="F130" s="308" t="s">
        <v>476</v>
      </c>
      <c r="G130" s="309"/>
      <c r="H130" s="309"/>
      <c r="I130" s="309"/>
      <c r="J130" s="160"/>
      <c r="K130" s="162">
        <v>31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179</v>
      </c>
      <c r="AU130" s="166" t="s">
        <v>135</v>
      </c>
      <c r="AV130" s="11" t="s">
        <v>135</v>
      </c>
      <c r="AW130" s="11" t="s">
        <v>35</v>
      </c>
      <c r="AX130" s="11" t="s">
        <v>21</v>
      </c>
      <c r="AY130" s="166" t="s">
        <v>167</v>
      </c>
    </row>
    <row r="131" spans="2:65" s="1" customFormat="1" ht="31.5" customHeight="1">
      <c r="B131" s="141"/>
      <c r="C131" s="178" t="s">
        <v>213</v>
      </c>
      <c r="D131" s="178" t="s">
        <v>317</v>
      </c>
      <c r="E131" s="179" t="s">
        <v>1074</v>
      </c>
      <c r="F131" s="313" t="s">
        <v>1075</v>
      </c>
      <c r="G131" s="313"/>
      <c r="H131" s="313"/>
      <c r="I131" s="313"/>
      <c r="J131" s="180" t="s">
        <v>578</v>
      </c>
      <c r="K131" s="181">
        <v>27</v>
      </c>
      <c r="L131" s="314"/>
      <c r="M131" s="314"/>
      <c r="N131" s="314">
        <f aca="true" t="shared" si="0" ref="N131:N137">ROUND(L131*K131,2)</f>
        <v>0</v>
      </c>
      <c r="O131" s="294"/>
      <c r="P131" s="294"/>
      <c r="Q131" s="294"/>
      <c r="R131" s="146"/>
      <c r="T131" s="147" t="s">
        <v>5</v>
      </c>
      <c r="U131" s="44" t="s">
        <v>43</v>
      </c>
      <c r="V131" s="148">
        <v>0</v>
      </c>
      <c r="W131" s="148">
        <f aca="true" t="shared" si="1" ref="W131:W137">V131*K131</f>
        <v>0</v>
      </c>
      <c r="X131" s="148">
        <v>0.088</v>
      </c>
      <c r="Y131" s="148">
        <f aca="true" t="shared" si="2" ref="Y131:Y137">X131*K131</f>
        <v>2.376</v>
      </c>
      <c r="Z131" s="148">
        <v>0</v>
      </c>
      <c r="AA131" s="149">
        <f aca="true" t="shared" si="3" ref="AA131:AA137">Z131*K131</f>
        <v>0</v>
      </c>
      <c r="AR131" s="21" t="s">
        <v>477</v>
      </c>
      <c r="AT131" s="21" t="s">
        <v>317</v>
      </c>
      <c r="AU131" s="21" t="s">
        <v>135</v>
      </c>
      <c r="AY131" s="21" t="s">
        <v>167</v>
      </c>
      <c r="BE131" s="150">
        <f aca="true" t="shared" si="4" ref="BE131:BE137">IF(U131="základní",N131,0)</f>
        <v>0</v>
      </c>
      <c r="BF131" s="150">
        <f aca="true" t="shared" si="5" ref="BF131:BF137">IF(U131="snížená",N131,0)</f>
        <v>0</v>
      </c>
      <c r="BG131" s="150">
        <f aca="true" t="shared" si="6" ref="BG131:BG137">IF(U131="zákl. přenesená",N131,0)</f>
        <v>0</v>
      </c>
      <c r="BH131" s="150">
        <f aca="true" t="shared" si="7" ref="BH131:BH137">IF(U131="sníž. přenesená",N131,0)</f>
        <v>0</v>
      </c>
      <c r="BI131" s="150">
        <f aca="true" t="shared" si="8" ref="BI131:BI137">IF(U131="nulová",N131,0)</f>
        <v>0</v>
      </c>
      <c r="BJ131" s="21" t="s">
        <v>21</v>
      </c>
      <c r="BK131" s="150">
        <f aca="true" t="shared" si="9" ref="BK131:BK137">ROUND(L131*K131,2)</f>
        <v>0</v>
      </c>
      <c r="BL131" s="21" t="s">
        <v>281</v>
      </c>
      <c r="BM131" s="21" t="s">
        <v>1076</v>
      </c>
    </row>
    <row r="132" spans="2:65" s="1" customFormat="1" ht="31.5" customHeight="1">
      <c r="B132" s="141"/>
      <c r="C132" s="178" t="s">
        <v>218</v>
      </c>
      <c r="D132" s="178" t="s">
        <v>317</v>
      </c>
      <c r="E132" s="179" t="s">
        <v>1077</v>
      </c>
      <c r="F132" s="313" t="s">
        <v>1078</v>
      </c>
      <c r="G132" s="313"/>
      <c r="H132" s="313"/>
      <c r="I132" s="313"/>
      <c r="J132" s="180" t="s">
        <v>578</v>
      </c>
      <c r="K132" s="181">
        <v>4</v>
      </c>
      <c r="L132" s="314"/>
      <c r="M132" s="314"/>
      <c r="N132" s="314">
        <f t="shared" si="0"/>
        <v>0</v>
      </c>
      <c r="O132" s="294"/>
      <c r="P132" s="294"/>
      <c r="Q132" s="294"/>
      <c r="R132" s="146"/>
      <c r="T132" s="147" t="s">
        <v>5</v>
      </c>
      <c r="U132" s="44" t="s">
        <v>43</v>
      </c>
      <c r="V132" s="148">
        <v>0</v>
      </c>
      <c r="W132" s="148">
        <f t="shared" si="1"/>
        <v>0</v>
      </c>
      <c r="X132" s="148">
        <v>0.088</v>
      </c>
      <c r="Y132" s="148">
        <f t="shared" si="2"/>
        <v>0.352</v>
      </c>
      <c r="Z132" s="148">
        <v>0</v>
      </c>
      <c r="AA132" s="149">
        <f t="shared" si="3"/>
        <v>0</v>
      </c>
      <c r="AR132" s="21" t="s">
        <v>477</v>
      </c>
      <c r="AT132" s="21" t="s">
        <v>317</v>
      </c>
      <c r="AU132" s="21" t="s">
        <v>135</v>
      </c>
      <c r="AY132" s="21" t="s">
        <v>167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21" t="s">
        <v>21</v>
      </c>
      <c r="BK132" s="150">
        <f t="shared" si="9"/>
        <v>0</v>
      </c>
      <c r="BL132" s="21" t="s">
        <v>281</v>
      </c>
      <c r="BM132" s="21" t="s">
        <v>1079</v>
      </c>
    </row>
    <row r="133" spans="2:65" s="1" customFormat="1" ht="31.5" customHeight="1">
      <c r="B133" s="141"/>
      <c r="C133" s="178" t="s">
        <v>25</v>
      </c>
      <c r="D133" s="178" t="s">
        <v>317</v>
      </c>
      <c r="E133" s="179" t="s">
        <v>1080</v>
      </c>
      <c r="F133" s="313" t="s">
        <v>1081</v>
      </c>
      <c r="G133" s="313"/>
      <c r="H133" s="313"/>
      <c r="I133" s="313"/>
      <c r="J133" s="180" t="s">
        <v>578</v>
      </c>
      <c r="K133" s="181">
        <v>20</v>
      </c>
      <c r="L133" s="314"/>
      <c r="M133" s="314"/>
      <c r="N133" s="314">
        <f t="shared" si="0"/>
        <v>0</v>
      </c>
      <c r="O133" s="294"/>
      <c r="P133" s="294"/>
      <c r="Q133" s="294"/>
      <c r="R133" s="146"/>
      <c r="T133" s="147" t="s">
        <v>5</v>
      </c>
      <c r="U133" s="44" t="s">
        <v>43</v>
      </c>
      <c r="V133" s="148">
        <v>0</v>
      </c>
      <c r="W133" s="148">
        <f t="shared" si="1"/>
        <v>0</v>
      </c>
      <c r="X133" s="148">
        <v>0.088</v>
      </c>
      <c r="Y133" s="148">
        <f t="shared" si="2"/>
        <v>1.7599999999999998</v>
      </c>
      <c r="Z133" s="148">
        <v>0</v>
      </c>
      <c r="AA133" s="149">
        <f t="shared" si="3"/>
        <v>0</v>
      </c>
      <c r="AR133" s="21" t="s">
        <v>477</v>
      </c>
      <c r="AT133" s="21" t="s">
        <v>317</v>
      </c>
      <c r="AU133" s="21" t="s">
        <v>135</v>
      </c>
      <c r="AY133" s="21" t="s">
        <v>167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21" t="s">
        <v>21</v>
      </c>
      <c r="BK133" s="150">
        <f t="shared" si="9"/>
        <v>0</v>
      </c>
      <c r="BL133" s="21" t="s">
        <v>281</v>
      </c>
      <c r="BM133" s="21" t="s">
        <v>1082</v>
      </c>
    </row>
    <row r="134" spans="2:65" s="1" customFormat="1" ht="31.5" customHeight="1">
      <c r="B134" s="141"/>
      <c r="C134" s="142" t="s">
        <v>270</v>
      </c>
      <c r="D134" s="142" t="s">
        <v>168</v>
      </c>
      <c r="E134" s="143" t="s">
        <v>1083</v>
      </c>
      <c r="F134" s="293" t="s">
        <v>1084</v>
      </c>
      <c r="G134" s="293"/>
      <c r="H134" s="293"/>
      <c r="I134" s="293"/>
      <c r="J134" s="144" t="s">
        <v>259</v>
      </c>
      <c r="K134" s="145">
        <v>115</v>
      </c>
      <c r="L134" s="294"/>
      <c r="M134" s="294"/>
      <c r="N134" s="294">
        <f t="shared" si="0"/>
        <v>0</v>
      </c>
      <c r="O134" s="294"/>
      <c r="P134" s="294"/>
      <c r="Q134" s="294"/>
      <c r="R134" s="146"/>
      <c r="T134" s="147" t="s">
        <v>5</v>
      </c>
      <c r="U134" s="44" t="s">
        <v>43</v>
      </c>
      <c r="V134" s="148">
        <v>0.95</v>
      </c>
      <c r="W134" s="148">
        <f t="shared" si="1"/>
        <v>109.25</v>
      </c>
      <c r="X134" s="148">
        <v>0</v>
      </c>
      <c r="Y134" s="148">
        <f t="shared" si="2"/>
        <v>0</v>
      </c>
      <c r="Z134" s="148">
        <v>0</v>
      </c>
      <c r="AA134" s="149">
        <f t="shared" si="3"/>
        <v>0</v>
      </c>
      <c r="AR134" s="21" t="s">
        <v>281</v>
      </c>
      <c r="AT134" s="21" t="s">
        <v>168</v>
      </c>
      <c r="AU134" s="21" t="s">
        <v>135</v>
      </c>
      <c r="AY134" s="21" t="s">
        <v>167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21" t="s">
        <v>21</v>
      </c>
      <c r="BK134" s="150">
        <f t="shared" si="9"/>
        <v>0</v>
      </c>
      <c r="BL134" s="21" t="s">
        <v>281</v>
      </c>
      <c r="BM134" s="21" t="s">
        <v>1085</v>
      </c>
    </row>
    <row r="135" spans="2:65" s="1" customFormat="1" ht="44.25" customHeight="1">
      <c r="B135" s="141"/>
      <c r="C135" s="142" t="s">
        <v>273</v>
      </c>
      <c r="D135" s="142" t="s">
        <v>168</v>
      </c>
      <c r="E135" s="143" t="s">
        <v>1086</v>
      </c>
      <c r="F135" s="293" t="s">
        <v>1087</v>
      </c>
      <c r="G135" s="293"/>
      <c r="H135" s="293"/>
      <c r="I135" s="293"/>
      <c r="J135" s="144" t="s">
        <v>171</v>
      </c>
      <c r="K135" s="145">
        <v>1</v>
      </c>
      <c r="L135" s="294"/>
      <c r="M135" s="294"/>
      <c r="N135" s="294">
        <f t="shared" si="0"/>
        <v>0</v>
      </c>
      <c r="O135" s="294"/>
      <c r="P135" s="294"/>
      <c r="Q135" s="294"/>
      <c r="R135" s="146"/>
      <c r="T135" s="147" t="s">
        <v>5</v>
      </c>
      <c r="U135" s="44" t="s">
        <v>43</v>
      </c>
      <c r="V135" s="148">
        <v>0.95</v>
      </c>
      <c r="W135" s="148">
        <f t="shared" si="1"/>
        <v>0.95</v>
      </c>
      <c r="X135" s="148">
        <v>0</v>
      </c>
      <c r="Y135" s="148">
        <f t="shared" si="2"/>
        <v>0</v>
      </c>
      <c r="Z135" s="148">
        <v>0</v>
      </c>
      <c r="AA135" s="149">
        <f t="shared" si="3"/>
        <v>0</v>
      </c>
      <c r="AR135" s="21" t="s">
        <v>281</v>
      </c>
      <c r="AT135" s="21" t="s">
        <v>168</v>
      </c>
      <c r="AU135" s="21" t="s">
        <v>135</v>
      </c>
      <c r="AY135" s="21" t="s">
        <v>167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21" t="s">
        <v>21</v>
      </c>
      <c r="BK135" s="150">
        <f t="shared" si="9"/>
        <v>0</v>
      </c>
      <c r="BL135" s="21" t="s">
        <v>281</v>
      </c>
      <c r="BM135" s="21" t="s">
        <v>1088</v>
      </c>
    </row>
    <row r="136" spans="2:65" s="1" customFormat="1" ht="31.5" customHeight="1">
      <c r="B136" s="141"/>
      <c r="C136" s="142" t="s">
        <v>276</v>
      </c>
      <c r="D136" s="142" t="s">
        <v>168</v>
      </c>
      <c r="E136" s="143" t="s">
        <v>1089</v>
      </c>
      <c r="F136" s="293" t="s">
        <v>1090</v>
      </c>
      <c r="G136" s="293"/>
      <c r="H136" s="293"/>
      <c r="I136" s="293"/>
      <c r="J136" s="144" t="s">
        <v>171</v>
      </c>
      <c r="K136" s="145">
        <v>2</v>
      </c>
      <c r="L136" s="294"/>
      <c r="M136" s="294"/>
      <c r="N136" s="294">
        <f t="shared" si="0"/>
        <v>0</v>
      </c>
      <c r="O136" s="294"/>
      <c r="P136" s="294"/>
      <c r="Q136" s="294"/>
      <c r="R136" s="146"/>
      <c r="T136" s="147" t="s">
        <v>5</v>
      </c>
      <c r="U136" s="44" t="s">
        <v>43</v>
      </c>
      <c r="V136" s="148">
        <v>0.95</v>
      </c>
      <c r="W136" s="148">
        <f t="shared" si="1"/>
        <v>1.9</v>
      </c>
      <c r="X136" s="148">
        <v>0</v>
      </c>
      <c r="Y136" s="148">
        <f t="shared" si="2"/>
        <v>0</v>
      </c>
      <c r="Z136" s="148">
        <v>0</v>
      </c>
      <c r="AA136" s="149">
        <f t="shared" si="3"/>
        <v>0</v>
      </c>
      <c r="AR136" s="21" t="s">
        <v>281</v>
      </c>
      <c r="AT136" s="21" t="s">
        <v>168</v>
      </c>
      <c r="AU136" s="21" t="s">
        <v>135</v>
      </c>
      <c r="AY136" s="21" t="s">
        <v>167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21" t="s">
        <v>21</v>
      </c>
      <c r="BK136" s="150">
        <f t="shared" si="9"/>
        <v>0</v>
      </c>
      <c r="BL136" s="21" t="s">
        <v>281</v>
      </c>
      <c r="BM136" s="21" t="s">
        <v>1091</v>
      </c>
    </row>
    <row r="137" spans="2:65" s="1" customFormat="1" ht="31.5" customHeight="1">
      <c r="B137" s="141"/>
      <c r="C137" s="142" t="s">
        <v>278</v>
      </c>
      <c r="D137" s="142" t="s">
        <v>168</v>
      </c>
      <c r="E137" s="143" t="s">
        <v>406</v>
      </c>
      <c r="F137" s="293" t="s">
        <v>407</v>
      </c>
      <c r="G137" s="293"/>
      <c r="H137" s="293"/>
      <c r="I137" s="293"/>
      <c r="J137" s="144" t="s">
        <v>408</v>
      </c>
      <c r="K137" s="145">
        <v>3.5</v>
      </c>
      <c r="L137" s="294"/>
      <c r="M137" s="294"/>
      <c r="N137" s="294">
        <f t="shared" si="0"/>
        <v>0</v>
      </c>
      <c r="O137" s="294"/>
      <c r="P137" s="294"/>
      <c r="Q137" s="294"/>
      <c r="R137" s="146"/>
      <c r="T137" s="147" t="s">
        <v>5</v>
      </c>
      <c r="U137" s="175" t="s">
        <v>43</v>
      </c>
      <c r="V137" s="176">
        <v>0</v>
      </c>
      <c r="W137" s="176">
        <f t="shared" si="1"/>
        <v>0</v>
      </c>
      <c r="X137" s="176">
        <v>0</v>
      </c>
      <c r="Y137" s="176">
        <f t="shared" si="2"/>
        <v>0</v>
      </c>
      <c r="Z137" s="176">
        <v>0</v>
      </c>
      <c r="AA137" s="177">
        <f t="shared" si="3"/>
        <v>0</v>
      </c>
      <c r="AR137" s="21" t="s">
        <v>281</v>
      </c>
      <c r="AT137" s="21" t="s">
        <v>168</v>
      </c>
      <c r="AU137" s="21" t="s">
        <v>135</v>
      </c>
      <c r="AY137" s="21" t="s">
        <v>167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21" t="s">
        <v>21</v>
      </c>
      <c r="BK137" s="150">
        <f t="shared" si="9"/>
        <v>0</v>
      </c>
      <c r="BL137" s="21" t="s">
        <v>281</v>
      </c>
      <c r="BM137" s="21" t="s">
        <v>1092</v>
      </c>
    </row>
    <row r="138" spans="2:18" s="1" customFormat="1" ht="6.95" customHeight="1">
      <c r="B138" s="59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</sheetData>
  <mergeCells count="107">
    <mergeCell ref="H1:K1"/>
    <mergeCell ref="S2:AC2"/>
    <mergeCell ref="F137:I137"/>
    <mergeCell ref="L137:M137"/>
    <mergeCell ref="N137:Q137"/>
    <mergeCell ref="N114:Q114"/>
    <mergeCell ref="N115:Q115"/>
    <mergeCell ref="N116:Q116"/>
    <mergeCell ref="N121:Q121"/>
    <mergeCell ref="N124:Q124"/>
    <mergeCell ref="N125:Q125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3:I123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L129:M129"/>
    <mergeCell ref="N129:Q129"/>
    <mergeCell ref="F118:I118"/>
    <mergeCell ref="F119:I119"/>
    <mergeCell ref="L119:M119"/>
    <mergeCell ref="N119:Q119"/>
    <mergeCell ref="F120:I120"/>
    <mergeCell ref="L120:M120"/>
    <mergeCell ref="N120:Q120"/>
    <mergeCell ref="F122:I122"/>
    <mergeCell ref="L122:M122"/>
    <mergeCell ref="N122:Q122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7" r:id="rId2"/>
  <headerFooter>
    <oddFooter>&amp;CStrana &amp;P z &amp;N</oddFooter>
  </headerFooter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PC-ACRONE\Andy</dc:creator>
  <cp:keywords/>
  <dc:description/>
  <cp:lastModifiedBy>Comp3</cp:lastModifiedBy>
  <cp:lastPrinted>2017-03-17T09:14:55Z</cp:lastPrinted>
  <dcterms:created xsi:type="dcterms:W3CDTF">2017-02-23T16:59:10Z</dcterms:created>
  <dcterms:modified xsi:type="dcterms:W3CDTF">2017-10-02T11:19:10Z</dcterms:modified>
  <cp:category/>
  <cp:version/>
  <cp:contentType/>
  <cp:contentStatus/>
</cp:coreProperties>
</file>