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65416" yWindow="65416" windowWidth="38640" windowHeight="15720" activeTab="0"/>
  </bookViews>
  <sheets>
    <sheet name="REKAP" sheetId="7" r:id="rId1"/>
    <sheet name="1 - Změna přípojky TK+vody" sheetId="4" r:id="rId2"/>
    <sheet name="2 - Elektro" sheetId="3" r:id="rId3"/>
  </sheets>
  <definedNames>
    <definedName name="_xlnm._FilterDatabase" localSheetId="2" hidden="1">'2 - Elektro'!$C$15:$J$37</definedName>
    <definedName name="_xlnm.Print_Area" localSheetId="1">'1 - Změna přípojky TK+vody'!$B$2:$N$31</definedName>
    <definedName name="_xlnm.Print_Area" localSheetId="2">'2 - Elektro'!$C$3:$O$37</definedName>
    <definedName name="_xlnm.Print_Area" localSheetId="0">'REKAP'!$A$1:$C$30</definedName>
    <definedName name="_xlnm.Print_Titles" localSheetId="1">'1 - Změna přípojky TK+vody'!$14:$14</definedName>
    <definedName name="_xlnm.Print_Titles" localSheetId="2">'2 - Elektro'!$15:$15</definedName>
  </definedNames>
  <calcPr calcId="191029"/>
  <extLst/>
</workbook>
</file>

<file path=xl/sharedStrings.xml><?xml version="1.0" encoding="utf-8"?>
<sst xmlns="http://schemas.openxmlformats.org/spreadsheetml/2006/main" count="204" uniqueCount="112">
  <si>
    <t>Stavba:</t>
  </si>
  <si>
    <t>Vybudování odborných učeben - stavební práce</t>
  </si>
  <si>
    <t>Místo:</t>
  </si>
  <si>
    <t xml:space="preserve"> </t>
  </si>
  <si>
    <t>Datum:</t>
  </si>
  <si>
    <t>Zadavatel:</t>
  </si>
  <si>
    <t>Zhotovitel:</t>
  </si>
  <si>
    <t>Projektant:</t>
  </si>
  <si>
    <t>Zpracovatel:</t>
  </si>
  <si>
    <t>Kód</t>
  </si>
  <si>
    <t>Popis</t>
  </si>
  <si>
    <t>Typ</t>
  </si>
  <si>
    <t>D</t>
  </si>
  <si>
    <t>1</t>
  </si>
  <si>
    <t>Objekt:</t>
  </si>
  <si>
    <t>SOUPIS PRACÍ</t>
  </si>
  <si>
    <t>PČ</t>
  </si>
  <si>
    <t>MJ</t>
  </si>
  <si>
    <t>Množství</t>
  </si>
  <si>
    <t>Náklady soupisu celkem</t>
  </si>
  <si>
    <t>HSV</t>
  </si>
  <si>
    <t>Práce a dodávky HSV</t>
  </si>
  <si>
    <t>Zemní práce</t>
  </si>
  <si>
    <t>K</t>
  </si>
  <si>
    <t>119001401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</si>
  <si>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</si>
  <si>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m</t>
  </si>
  <si>
    <t>132251101</t>
  </si>
  <si>
    <t>Hloubení nezapažených rýh šířky do 800 mm strojně s urovnáním dna do předepsaného profilu a spádu v hornině třídy těžitelnosti I skupiny 3 do 20 m3</t>
  </si>
  <si>
    <t>m3</t>
  </si>
  <si>
    <t>8</t>
  </si>
  <si>
    <t>132312132</t>
  </si>
  <si>
    <t>Hloubení nezapažených rýh šířky do 800 mm ručně s urovnáním dna do předepsaného profilu a spádu v hornině třídy těžitelnosti II skupiny 4 nesoudržných</t>
  </si>
  <si>
    <t>174111101</t>
  </si>
  <si>
    <t>Zásyp sypaninou z jakékoliv horniny ručně s uložením výkopku ve vrstvách se zhutněním jam, šachet, rýh nebo kolem objektů v těchto vykopávkách</t>
  </si>
  <si>
    <t>Trubní vedení</t>
  </si>
  <si>
    <t>871164201</t>
  </si>
  <si>
    <t>Montáž kanalizačního potrubí z polyetylenu PE100 RC svařovaných na tupo v otevřeném výkopu ve sklonu do 20 % SDR 11/PN16 d 32 x 3,0 mm</t>
  </si>
  <si>
    <t>PPL.ROBK040037100D_R</t>
  </si>
  <si>
    <t>Trubka kanalizační Pipelife AQUALINE ROBUST K 40X3,7 100m PE100RC PN16, s hnědým ochranným pláštěm, pro pokládku bez omezení zrnitosti a všechny bezvýkopové pokládky, s integrovaným detekčním vodičem</t>
  </si>
  <si>
    <t>VV</t>
  </si>
  <si>
    <t>14*1,015 'Přepočtené koeficientem množství</t>
  </si>
  <si>
    <t>871184201</t>
  </si>
  <si>
    <t>Montáž kanalizačního potrubí z polyetylenu PE100 RC svařovaných na tupo v otevřeném výkopu ve sklonu do 20 % SDR 11/PN16 d 40 x 3,7 mm</t>
  </si>
  <si>
    <t>28613731</t>
  </si>
  <si>
    <t>potrubí kanalizační jednovrstvé PE100 RC SDR11 s dodatečným opláštěním a integrovaným detekčním vodičem 40x3,7mm</t>
  </si>
  <si>
    <t>899722111</t>
  </si>
  <si>
    <t>Krytí potrubí z plastů výstražnou fólií z PVC šířky do 20 cm</t>
  </si>
  <si>
    <t>899914111_R</t>
  </si>
  <si>
    <t>Montáž ocelové chráničky v otevřeném výkopu vnějšího průměru D 159 x 10 mm</t>
  </si>
  <si>
    <t>OSM.220010</t>
  </si>
  <si>
    <t>KGEM trouba DN110x3,2/1000 SN4 EN 13476-2</t>
  </si>
  <si>
    <t>kus</t>
  </si>
  <si>
    <t>Uchazeč:</t>
  </si>
  <si>
    <t>PSV</t>
  </si>
  <si>
    <t>Práce a dodávky PSV</t>
  </si>
  <si>
    <t>740</t>
  </si>
  <si>
    <t>C21M - Elektromontáže</t>
  </si>
  <si>
    <t>Pol9</t>
  </si>
  <si>
    <t>Tuhá dvouplášťová chránička kabelů 50-63, volně</t>
  </si>
  <si>
    <t>Pol30</t>
  </si>
  <si>
    <t>CYKY 4Bx25mm2 (CYKY 4J25) 750V (PO)</t>
  </si>
  <si>
    <t>Pol40</t>
  </si>
  <si>
    <t>fólie výstražná z PVC šířky 33cm</t>
  </si>
  <si>
    <t>742</t>
  </si>
  <si>
    <t>Revize, DSPS, zkoušky</t>
  </si>
  <si>
    <t>K005</t>
  </si>
  <si>
    <t>Koordinace na stavbě</t>
  </si>
  <si>
    <t>ks</t>
  </si>
  <si>
    <t>743</t>
  </si>
  <si>
    <t>Materiály</t>
  </si>
  <si>
    <t>K025</t>
  </si>
  <si>
    <t>trubka ohebná KOPODUR 50-63</t>
  </si>
  <si>
    <t>K053</t>
  </si>
  <si>
    <t>CYKY 4Bx25m2 (CYKY 4J25)</t>
  </si>
  <si>
    <t>K054</t>
  </si>
  <si>
    <t>výstražná fólie 330 mm červená</t>
  </si>
  <si>
    <t>K067</t>
  </si>
  <si>
    <t>Prořez 5,00%</t>
  </si>
  <si>
    <t>%</t>
  </si>
  <si>
    <t>744</t>
  </si>
  <si>
    <t>Ostatní</t>
  </si>
  <si>
    <t>K068</t>
  </si>
  <si>
    <t>GZS 2,50% z C21M a navázaného materiálu</t>
  </si>
  <si>
    <t>K069</t>
  </si>
  <si>
    <t>Podíl přidružených výkonů 4,80% z C21M a navázaného materiálu</t>
  </si>
  <si>
    <t>K070</t>
  </si>
  <si>
    <t>Podružný materiál 5,00%</t>
  </si>
  <si>
    <t>PŘÍSTAVBA ZÁKLADNÍ A MATEŘSKÉ ŠKOLY B-ENGLISH OBEC KRÁLŮV DVŮR</t>
  </si>
  <si>
    <t>Soukromá Základní škola a Mateřská škola B-English</t>
  </si>
  <si>
    <t>RAFPRO s.r.o.</t>
  </si>
  <si>
    <t>ÚRS</t>
  </si>
  <si>
    <t>POPIS</t>
  </si>
  <si>
    <t>Cena</t>
  </si>
  <si>
    <t>02 - Elektropřípojka</t>
  </si>
  <si>
    <t>01 - Změna přípojky tlakové kanalizace</t>
  </si>
  <si>
    <t>Celkem</t>
  </si>
  <si>
    <t xml:space="preserve">Vybudovaní odborných učeben - stavebná práce II </t>
  </si>
  <si>
    <t>14,5*(0,8+0,5)/2*0,9+
14,5*(0,8+0,5)/2*0,9 (výkaz odměřen dle fotodokumentace)</t>
  </si>
  <si>
    <t xml:space="preserve">Miramid s.r.o. </t>
  </si>
  <si>
    <t>J.cena</t>
  </si>
  <si>
    <t>Cena celkem</t>
  </si>
  <si>
    <t>únor</t>
  </si>
  <si>
    <t>množství</t>
  </si>
  <si>
    <t>celkem</t>
  </si>
  <si>
    <t>Zbývá</t>
  </si>
  <si>
    <t xml:space="preserve">Cena celkem </t>
  </si>
  <si>
    <t>ČERPÁNÍ</t>
  </si>
  <si>
    <t>;</t>
  </si>
  <si>
    <t>DPH</t>
  </si>
  <si>
    <t>Celkem vč. DPH</t>
  </si>
  <si>
    <t>rekapitulace ZL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</si>
</sst>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#,##0.000"/>
    <numFmt numFmtId="166" formatCode="0.0%"/>
    <numFmt numFmtId="167" formatCode="#,##0.00_ ;[Red]\-#,##0.00\ "/>
  </numFmts>
  <fonts count="17">
    <font>
      <sz val="8"/>
      <name val="Arial CE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color rgb="FF960000"/>
      <name val="Arial Narrow"/>
      <family val="2"/>
    </font>
    <font>
      <sz val="8"/>
      <color rgb="FF003366"/>
      <name val="Arial Narrow"/>
      <family val="2"/>
    </font>
    <font>
      <sz val="12"/>
      <color rgb="FF003366"/>
      <name val="Arial Narrow"/>
      <family val="2"/>
    </font>
    <font>
      <sz val="10"/>
      <color rgb="FF003366"/>
      <name val="Arial Narrow"/>
      <family val="2"/>
    </font>
    <font>
      <sz val="7"/>
      <color rgb="FF969696"/>
      <name val="Arial Narrow"/>
      <family val="2"/>
    </font>
    <font>
      <sz val="8"/>
      <color rgb="FF505050"/>
      <name val="Arial Narrow"/>
      <family val="2"/>
    </font>
    <font>
      <i/>
      <sz val="9"/>
      <color rgb="FF0000FF"/>
      <name val="Arial Narrow"/>
      <family val="2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hair">
        <color rgb="FF969696"/>
      </left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167" fontId="2" fillId="0" borderId="0" xfId="0" applyNumberFormat="1" applyFont="1"/>
    <xf numFmtId="0" fontId="3" fillId="0" borderId="0" xfId="0" applyFont="1"/>
    <xf numFmtId="0" fontId="2" fillId="0" borderId="1" xfId="0" applyFont="1" applyBorder="1"/>
    <xf numFmtId="167" fontId="2" fillId="0" borderId="1" xfId="0" applyNumberFormat="1" applyFont="1" applyBorder="1"/>
    <xf numFmtId="0" fontId="2" fillId="0" borderId="2" xfId="0" applyFont="1" applyBorder="1"/>
    <xf numFmtId="167" fontId="2" fillId="0" borderId="2" xfId="0" applyNumberFormat="1" applyFont="1" applyBorder="1"/>
    <xf numFmtId="0" fontId="2" fillId="0" borderId="3" xfId="0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4" fontId="11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vertical="center"/>
    </xf>
    <xf numFmtId="0" fontId="8" fillId="0" borderId="4" xfId="0" applyFont="1" applyBorder="1" applyAlignment="1" applyProtection="1">
      <alignment horizontal="center" vertical="top"/>
      <protection locked="0"/>
    </xf>
    <xf numFmtId="49" fontId="8" fillId="0" borderId="4" xfId="0" applyNumberFormat="1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165" fontId="8" fillId="0" borderId="4" xfId="0" applyNumberFormat="1" applyFont="1" applyBorder="1" applyAlignment="1" applyProtection="1">
      <alignment vertical="center"/>
      <protection locked="0"/>
    </xf>
    <xf numFmtId="4" fontId="8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center" vertical="top"/>
      <protection locked="0"/>
    </xf>
    <xf numFmtId="49" fontId="8" fillId="0" borderId="5" xfId="0" applyNumberFormat="1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4" fontId="8" fillId="3" borderId="5" xfId="0" applyNumberFormat="1" applyFont="1" applyFill="1" applyBorder="1" applyAlignment="1" applyProtection="1">
      <alignment vertical="center"/>
      <protection locked="0"/>
    </xf>
    <xf numFmtId="4" fontId="8" fillId="0" borderId="5" xfId="0" applyNumberFormat="1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center" vertical="top"/>
      <protection locked="0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49" fontId="15" fillId="0" borderId="5" xfId="0" applyNumberFormat="1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165" fontId="15" fillId="0" borderId="5" xfId="0" applyNumberFormat="1" applyFont="1" applyBorder="1" applyAlignment="1" applyProtection="1">
      <alignment vertical="center"/>
      <protection locked="0"/>
    </xf>
    <xf numFmtId="4" fontId="15" fillId="3" borderId="5" xfId="0" applyNumberFormat="1" applyFont="1" applyFill="1" applyBorder="1" applyAlignment="1" applyProtection="1">
      <alignment vertical="center"/>
      <protection locked="0"/>
    </xf>
    <xf numFmtId="4" fontId="15" fillId="0" borderId="5" xfId="0" applyNumberFormat="1" applyFont="1" applyBorder="1" applyAlignment="1" applyProtection="1">
      <alignment vertical="center"/>
      <protection locked="0"/>
    </xf>
    <xf numFmtId="165" fontId="8" fillId="0" borderId="5" xfId="0" applyNumberFormat="1" applyFont="1" applyBorder="1" applyAlignment="1" applyProtection="1">
      <alignment vertical="center"/>
      <protection locked="0"/>
    </xf>
    <xf numFmtId="0" fontId="5" fillId="0" borderId="0" xfId="0" applyFont="1"/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4" fontId="9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" fontId="11" fillId="0" borderId="0" xfId="0" applyNumberFormat="1" applyFont="1"/>
    <xf numFmtId="0" fontId="12" fillId="0" borderId="0" xfId="0" applyFont="1" applyAlignment="1">
      <alignment horizontal="left"/>
    </xf>
    <xf numFmtId="4" fontId="12" fillId="0" borderId="0" xfId="0" applyNumberFormat="1" applyFont="1"/>
    <xf numFmtId="0" fontId="8" fillId="0" borderId="5" xfId="0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0" fontId="10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left" vertical="center" wrapText="1"/>
      <protection locked="0"/>
    </xf>
    <xf numFmtId="165" fontId="8" fillId="3" borderId="5" xfId="0" applyNumberFormat="1" applyFont="1" applyFill="1" applyBorder="1" applyAlignment="1" applyProtection="1">
      <alignment vertical="center"/>
      <protection locked="0"/>
    </xf>
    <xf numFmtId="166" fontId="8" fillId="3" borderId="5" xfId="20" applyNumberFormat="1" applyFont="1" applyFill="1" applyBorder="1" applyAlignment="1" applyProtection="1">
      <alignment vertical="center"/>
      <protection locked="0"/>
    </xf>
    <xf numFmtId="0" fontId="16" fillId="0" borderId="0" xfId="0" applyFont="1"/>
    <xf numFmtId="165" fontId="8" fillId="0" borderId="4" xfId="0" applyNumberFormat="1" applyFont="1" applyBorder="1" applyAlignment="1" applyProtection="1">
      <alignment vertical="top"/>
      <protection locked="0"/>
    </xf>
    <xf numFmtId="4" fontId="8" fillId="3" borderId="4" xfId="0" applyNumberFormat="1" applyFont="1" applyFill="1" applyBorder="1" applyAlignment="1" applyProtection="1">
      <alignment vertical="top"/>
      <protection locked="0"/>
    </xf>
    <xf numFmtId="4" fontId="8" fillId="0" borderId="4" xfId="0" applyNumberFormat="1" applyFont="1" applyBorder="1" applyAlignment="1" applyProtection="1">
      <alignment vertical="top"/>
      <protection locked="0"/>
    </xf>
    <xf numFmtId="165" fontId="15" fillId="0" borderId="5" xfId="0" applyNumberFormat="1" applyFont="1" applyBorder="1" applyAlignment="1" applyProtection="1">
      <alignment vertical="top"/>
      <protection locked="0"/>
    </xf>
    <xf numFmtId="4" fontId="15" fillId="3" borderId="5" xfId="0" applyNumberFormat="1" applyFont="1" applyFill="1" applyBorder="1" applyAlignment="1" applyProtection="1">
      <alignment vertical="top"/>
      <protection locked="0"/>
    </xf>
    <xf numFmtId="4" fontId="15" fillId="0" borderId="5" xfId="0" applyNumberFormat="1" applyFont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165" fontId="14" fillId="0" borderId="0" xfId="0" applyNumberFormat="1" applyFont="1" applyAlignment="1">
      <alignment vertical="top"/>
    </xf>
    <xf numFmtId="165" fontId="8" fillId="0" borderId="5" xfId="0" applyNumberFormat="1" applyFont="1" applyBorder="1" applyAlignment="1" applyProtection="1">
      <alignment vertical="top"/>
      <protection locked="0"/>
    </xf>
    <xf numFmtId="4" fontId="8" fillId="3" borderId="5" xfId="0" applyNumberFormat="1" applyFont="1" applyFill="1" applyBorder="1" applyAlignment="1" applyProtection="1">
      <alignment vertical="top"/>
      <protection locked="0"/>
    </xf>
    <xf numFmtId="4" fontId="8" fillId="0" borderId="5" xfId="0" applyNumberFormat="1" applyFont="1" applyBorder="1" applyAlignment="1" applyProtection="1">
      <alignment vertical="top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4" fontId="8" fillId="3" borderId="4" xfId="0" applyNumberFormat="1" applyFont="1" applyFill="1" applyBorder="1" applyAlignment="1" applyProtection="1">
      <alignment vertical="top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4" fontId="8" fillId="3" borderId="5" xfId="0" applyNumberFormat="1" applyFont="1" applyFill="1" applyBorder="1" applyAlignment="1" applyProtection="1">
      <alignment vertical="top"/>
      <protection locked="0"/>
    </xf>
    <xf numFmtId="0" fontId="10" fillId="0" borderId="1" xfId="0" applyFont="1" applyBorder="1" applyAlignment="1">
      <alignment vertical="top"/>
    </xf>
    <xf numFmtId="4" fontId="12" fillId="0" borderId="1" xfId="0" applyNumberFormat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B2A21-A19A-481B-A14B-725DC62A9F7B}">
  <dimension ref="A1:E8"/>
  <sheetViews>
    <sheetView tabSelected="1" workbookViewId="0" topLeftCell="A1">
      <selection activeCell="F13" sqref="F13"/>
    </sheetView>
  </sheetViews>
  <sheetFormatPr defaultColWidth="9.140625" defaultRowHeight="12"/>
  <cols>
    <col min="1" max="1" width="42.28125" style="1" customWidth="1"/>
    <col min="2" max="2" width="14.28125" style="2" customWidth="1"/>
    <col min="3" max="3" width="15.421875" style="2" customWidth="1"/>
    <col min="4" max="4" width="16.28125" style="1" bestFit="1" customWidth="1"/>
    <col min="5" max="16384" width="9.28125" style="1" customWidth="1"/>
  </cols>
  <sheetData>
    <row r="1" spans="1:4" ht="12">
      <c r="A1" s="91" t="s">
        <v>97</v>
      </c>
      <c r="B1" s="91"/>
      <c r="C1" s="91"/>
      <c r="D1" s="91"/>
    </row>
    <row r="2" spans="1:4" ht="12">
      <c r="A2" s="91" t="s">
        <v>111</v>
      </c>
      <c r="B2" s="91"/>
      <c r="C2" s="91"/>
      <c r="D2" s="91"/>
    </row>
    <row r="4" spans="1:5" ht="12">
      <c r="A4" s="8" t="s">
        <v>92</v>
      </c>
      <c r="B4" s="9" t="s">
        <v>93</v>
      </c>
      <c r="C4" s="9" t="s">
        <v>109</v>
      </c>
      <c r="D4" s="97" t="s">
        <v>110</v>
      </c>
      <c r="E4" s="3">
        <v>1.21</v>
      </c>
    </row>
    <row r="5" spans="1:4" ht="12">
      <c r="A5" s="6" t="str">
        <f>'1 - Změna přípojky TK+vody'!D7</f>
        <v>01 - Změna přípojky tlakové kanalizace</v>
      </c>
      <c r="B5" s="7">
        <f>'1 - Změna přípojky TK+vody'!L15</f>
        <v>32305.198100000005</v>
      </c>
      <c r="C5" s="7">
        <f>0.21*B5</f>
        <v>6784.091601000001</v>
      </c>
      <c r="D5" s="7">
        <f>B5+C5</f>
        <v>39089.28970100001</v>
      </c>
    </row>
    <row r="6" spans="1:4" ht="12">
      <c r="A6" s="4" t="str">
        <f>'2 - Elektro'!E8</f>
        <v>02 - Elektropřípojka</v>
      </c>
      <c r="B6" s="5">
        <f>'2 - Elektro'!M16</f>
        <v>13423.527399999999</v>
      </c>
      <c r="C6" s="7">
        <f>0.21*B6</f>
        <v>2818.9407539999997</v>
      </c>
      <c r="D6" s="7">
        <f>B6+C6</f>
        <v>16242.468153999998</v>
      </c>
    </row>
    <row r="7" spans="1:4" ht="12">
      <c r="A7" s="4"/>
      <c r="B7" s="5"/>
      <c r="C7" s="5"/>
      <c r="D7" s="5"/>
    </row>
    <row r="8" spans="1:4" ht="12">
      <c r="A8" s="4" t="s">
        <v>96</v>
      </c>
      <c r="B8" s="5">
        <f>SUM(B5:B7)</f>
        <v>45728.7255</v>
      </c>
      <c r="C8" s="5">
        <f>SUM(C5:C7)</f>
        <v>9603.032355000001</v>
      </c>
      <c r="D8" s="5">
        <f>SUM(D5:D7)</f>
        <v>55331.757855</v>
      </c>
    </row>
  </sheetData>
  <mergeCells count="2">
    <mergeCell ref="A1:D1"/>
    <mergeCell ref="A2:D2"/>
  </mergeCells>
  <printOptions horizontalCentered="1"/>
  <pageMargins left="0.7086614173228347" right="0.7086614173228347" top="0.7874015748031497" bottom="0.7874015748031497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FB577-DE29-4350-AFF7-2990649158F8}">
  <sheetPr>
    <pageSetUpPr fitToPage="1"/>
  </sheetPr>
  <dimension ref="B2:N31"/>
  <sheetViews>
    <sheetView showGridLines="0" workbookViewId="0" topLeftCell="A7">
      <pane xSplit="9" ySplit="8" topLeftCell="J15" activePane="bottomRight" state="frozen"/>
      <selection pane="topLeft" activeCell="A7" sqref="A7"/>
      <selection pane="topRight" activeCell="J7" sqref="J7"/>
      <selection pane="bottomLeft" activeCell="A15" sqref="A15"/>
      <selection pane="bottomRight" activeCell="J15" sqref="J15"/>
    </sheetView>
  </sheetViews>
  <sheetFormatPr defaultColWidth="9.140625" defaultRowHeight="12"/>
  <cols>
    <col min="1" max="1" width="3.7109375" style="51" customWidth="1"/>
    <col min="2" max="2" width="7.7109375" style="51" customWidth="1"/>
    <col min="3" max="3" width="6.140625" style="51" bestFit="1" customWidth="1"/>
    <col min="4" max="4" width="11.7109375" style="51" customWidth="1"/>
    <col min="5" max="5" width="84.28125" style="51" bestFit="1" customWidth="1"/>
    <col min="6" max="6" width="5.140625" style="51" bestFit="1" customWidth="1"/>
    <col min="7" max="7" width="8.8515625" style="51" bestFit="1" customWidth="1"/>
    <col min="8" max="8" width="9.140625" style="51" bestFit="1" customWidth="1"/>
    <col min="9" max="9" width="13.421875" style="51" bestFit="1" customWidth="1"/>
    <col min="10" max="10" width="2.7109375" style="51" customWidth="1"/>
    <col min="11" max="11" width="8.8515625" style="51" bestFit="1" customWidth="1"/>
    <col min="12" max="12" width="13.421875" style="51" bestFit="1" customWidth="1"/>
    <col min="13" max="13" width="8.8515625" style="51" bestFit="1" customWidth="1"/>
    <col min="14" max="14" width="13.421875" style="51" bestFit="1" customWidth="1"/>
    <col min="15" max="16384" width="9.28125" style="51" customWidth="1"/>
  </cols>
  <sheetData>
    <row r="2" s="10" customFormat="1" ht="18">
      <c r="B2" s="11" t="s">
        <v>15</v>
      </c>
    </row>
    <row r="3" s="10" customFormat="1" ht="12"/>
    <row r="4" s="10" customFormat="1" ht="12">
      <c r="B4" s="12" t="s">
        <v>0</v>
      </c>
    </row>
    <row r="5" spans="4:7" s="10" customFormat="1" ht="12">
      <c r="D5" s="92" t="s">
        <v>1</v>
      </c>
      <c r="E5" s="93"/>
      <c r="F5" s="93"/>
      <c r="G5" s="93"/>
    </row>
    <row r="6" s="10" customFormat="1" ht="12">
      <c r="B6" s="12" t="s">
        <v>14</v>
      </c>
    </row>
    <row r="7" spans="4:7" s="10" customFormat="1" ht="12">
      <c r="D7" s="94" t="s">
        <v>95</v>
      </c>
      <c r="E7" s="95"/>
      <c r="F7" s="95"/>
      <c r="G7" s="95"/>
    </row>
    <row r="8" s="10" customFormat="1" ht="12"/>
    <row r="9" spans="2:14" s="10" customFormat="1" ht="12">
      <c r="B9" s="12" t="s">
        <v>2</v>
      </c>
      <c r="E9" s="12" t="s">
        <v>3</v>
      </c>
      <c r="H9" s="12"/>
      <c r="I9" s="14"/>
      <c r="L9" s="14"/>
      <c r="N9" s="14"/>
    </row>
    <row r="10" s="10" customFormat="1" ht="12"/>
    <row r="11" spans="2:14" s="10" customFormat="1" ht="12">
      <c r="B11" s="12" t="s">
        <v>5</v>
      </c>
      <c r="E11" s="12" t="s">
        <v>3</v>
      </c>
      <c r="H11" s="52" t="s">
        <v>7</v>
      </c>
      <c r="I11" s="13" t="s">
        <v>90</v>
      </c>
      <c r="L11" s="13"/>
      <c r="N11" s="13"/>
    </row>
    <row r="12" spans="2:14" s="10" customFormat="1" ht="12">
      <c r="B12" s="12" t="s">
        <v>6</v>
      </c>
      <c r="D12" s="10" t="s">
        <v>99</v>
      </c>
      <c r="E12" s="12" t="s">
        <v>3</v>
      </c>
      <c r="H12" s="52" t="s">
        <v>8</v>
      </c>
      <c r="I12" s="13" t="s">
        <v>3</v>
      </c>
      <c r="K12" s="96" t="s">
        <v>107</v>
      </c>
      <c r="L12" s="96"/>
      <c r="M12" s="96"/>
      <c r="N12" s="96"/>
    </row>
    <row r="13" spans="11:14" s="10" customFormat="1" ht="12">
      <c r="K13" s="96" t="s">
        <v>102</v>
      </c>
      <c r="L13" s="96"/>
      <c r="M13" s="96" t="s">
        <v>105</v>
      </c>
      <c r="N13" s="96"/>
    </row>
    <row r="14" spans="2:14" s="15" customFormat="1" ht="13.5">
      <c r="B14" s="16" t="s">
        <v>16</v>
      </c>
      <c r="C14" s="16" t="s">
        <v>11</v>
      </c>
      <c r="D14" s="16" t="s">
        <v>9</v>
      </c>
      <c r="E14" s="16" t="s">
        <v>10</v>
      </c>
      <c r="F14" s="16" t="s">
        <v>17</v>
      </c>
      <c r="G14" s="16" t="s">
        <v>18</v>
      </c>
      <c r="H14" s="16" t="s">
        <v>100</v>
      </c>
      <c r="I14" s="16" t="s">
        <v>101</v>
      </c>
      <c r="K14" s="16" t="s">
        <v>103</v>
      </c>
      <c r="L14" s="16" t="s">
        <v>104</v>
      </c>
      <c r="M14" s="16" t="s">
        <v>103</v>
      </c>
      <c r="N14" s="16" t="s">
        <v>104</v>
      </c>
    </row>
    <row r="15" spans="2:14" s="10" customFormat="1" ht="15.75">
      <c r="B15" s="17" t="s">
        <v>19</v>
      </c>
      <c r="C15" s="18"/>
      <c r="D15" s="18"/>
      <c r="E15" s="18"/>
      <c r="F15" s="18"/>
      <c r="G15" s="18"/>
      <c r="H15" s="18"/>
      <c r="I15" s="19">
        <f>I16</f>
        <v>32305.199999999997</v>
      </c>
      <c r="J15" s="10" t="s">
        <v>108</v>
      </c>
      <c r="K15" s="18"/>
      <c r="L15" s="19">
        <f>L16</f>
        <v>32305.198100000005</v>
      </c>
      <c r="M15" s="18"/>
      <c r="N15" s="19">
        <f>N16</f>
        <v>0</v>
      </c>
    </row>
    <row r="16" spans="2:14" s="20" customFormat="1" ht="15.75">
      <c r="B16" s="21"/>
      <c r="C16" s="22" t="s">
        <v>12</v>
      </c>
      <c r="D16" s="23" t="s">
        <v>20</v>
      </c>
      <c r="E16" s="23" t="s">
        <v>21</v>
      </c>
      <c r="F16" s="21"/>
      <c r="G16" s="21"/>
      <c r="H16" s="21"/>
      <c r="I16" s="24">
        <f>I17+I22</f>
        <v>32305.199999999997</v>
      </c>
      <c r="K16" s="21"/>
      <c r="L16" s="24">
        <f>L17+L22</f>
        <v>32305.198100000005</v>
      </c>
      <c r="M16" s="21"/>
      <c r="N16" s="24">
        <f>N17+N22</f>
        <v>0</v>
      </c>
    </row>
    <row r="17" spans="2:14" s="20" customFormat="1" ht="12">
      <c r="B17" s="21"/>
      <c r="C17" s="22" t="s">
        <v>12</v>
      </c>
      <c r="D17" s="25" t="s">
        <v>13</v>
      </c>
      <c r="E17" s="25" t="s">
        <v>22</v>
      </c>
      <c r="F17" s="21"/>
      <c r="G17" s="21"/>
      <c r="H17" s="21"/>
      <c r="I17" s="26">
        <f>SUM(I18:I20)</f>
        <v>25131.629999999997</v>
      </c>
      <c r="K17" s="21"/>
      <c r="L17" s="26">
        <f>SUM(L18:L20)</f>
        <v>25131.625000000004</v>
      </c>
      <c r="M17" s="21"/>
      <c r="N17" s="26">
        <f>SUM(N18:N20)</f>
        <v>0</v>
      </c>
    </row>
    <row r="18" spans="2:14" s="10" customFormat="1" ht="54">
      <c r="B18" s="27">
        <v>1</v>
      </c>
      <c r="C18" s="27" t="s">
        <v>91</v>
      </c>
      <c r="D18" s="28" t="s">
        <v>24</v>
      </c>
      <c r="E18" s="29" t="s">
        <v>25</v>
      </c>
      <c r="F18" s="85" t="s">
        <v>26</v>
      </c>
      <c r="G18" s="74">
        <v>7</v>
      </c>
      <c r="H18" s="86">
        <v>379</v>
      </c>
      <c r="I18" s="76">
        <f>ROUND(H18*G18,2)</f>
        <v>2653</v>
      </c>
      <c r="J18" s="80"/>
      <c r="K18" s="74">
        <v>7</v>
      </c>
      <c r="L18" s="76">
        <f>K18*H18</f>
        <v>2653</v>
      </c>
      <c r="M18" s="74">
        <f>G18-K18</f>
        <v>0</v>
      </c>
      <c r="N18" s="76">
        <f>M18*H18</f>
        <v>0</v>
      </c>
    </row>
    <row r="19" spans="2:14" s="10" customFormat="1" ht="27">
      <c r="B19" s="33">
        <v>2</v>
      </c>
      <c r="C19" s="33" t="s">
        <v>91</v>
      </c>
      <c r="D19" s="34" t="s">
        <v>27</v>
      </c>
      <c r="E19" s="35" t="s">
        <v>28</v>
      </c>
      <c r="F19" s="87" t="s">
        <v>29</v>
      </c>
      <c r="G19" s="74">
        <f>G21</f>
        <v>16.965000000000003</v>
      </c>
      <c r="H19" s="88">
        <v>1070</v>
      </c>
      <c r="I19" s="84">
        <f>ROUND(H19*G19,2)</f>
        <v>18152.55</v>
      </c>
      <c r="J19" s="80"/>
      <c r="K19" s="74">
        <f>G19</f>
        <v>16.965000000000003</v>
      </c>
      <c r="L19" s="84">
        <f aca="true" t="shared" si="0" ref="L19:L20">K19*H19</f>
        <v>18152.550000000003</v>
      </c>
      <c r="M19" s="74">
        <f aca="true" t="shared" si="1" ref="M19:M20">G19-K19</f>
        <v>0</v>
      </c>
      <c r="N19" s="84">
        <f aca="true" t="shared" si="2" ref="N19:N20">M19*H19</f>
        <v>0</v>
      </c>
    </row>
    <row r="20" spans="2:14" s="10" customFormat="1" ht="27">
      <c r="B20" s="33">
        <v>4</v>
      </c>
      <c r="C20" s="33" t="s">
        <v>91</v>
      </c>
      <c r="D20" s="34" t="s">
        <v>33</v>
      </c>
      <c r="E20" s="35" t="s">
        <v>34</v>
      </c>
      <c r="F20" s="87" t="s">
        <v>29</v>
      </c>
      <c r="G20" s="74">
        <f>G21</f>
        <v>16.965000000000003</v>
      </c>
      <c r="H20" s="83">
        <v>255</v>
      </c>
      <c r="I20" s="84">
        <f>ROUND(H20*G20,2)</f>
        <v>4326.08</v>
      </c>
      <c r="J20" s="80"/>
      <c r="K20" s="74">
        <f>K19</f>
        <v>16.965000000000003</v>
      </c>
      <c r="L20" s="84">
        <f t="shared" si="0"/>
        <v>4326.075000000001</v>
      </c>
      <c r="M20" s="74">
        <f t="shared" si="1"/>
        <v>0</v>
      </c>
      <c r="N20" s="84">
        <f t="shared" si="2"/>
        <v>0</v>
      </c>
    </row>
    <row r="21" spans="2:14" s="10" customFormat="1" ht="25.5">
      <c r="B21" s="39"/>
      <c r="C21" s="40" t="s">
        <v>40</v>
      </c>
      <c r="D21" s="41"/>
      <c r="E21" s="42" t="s">
        <v>98</v>
      </c>
      <c r="F21" s="41"/>
      <c r="G21" s="81">
        <f>14.5*(0.8+0.5)/2*0.9+14.5*(0.8+0.5)/2*0.9</f>
        <v>16.965000000000003</v>
      </c>
      <c r="H21" s="41"/>
      <c r="I21" s="41"/>
      <c r="J21" s="80"/>
      <c r="K21" s="81"/>
      <c r="L21" s="41"/>
      <c r="M21" s="81"/>
      <c r="N21" s="41"/>
    </row>
    <row r="22" spans="2:14" s="10" customFormat="1" ht="13.5">
      <c r="B22" s="21"/>
      <c r="C22" s="22" t="s">
        <v>12</v>
      </c>
      <c r="D22" s="25" t="s">
        <v>30</v>
      </c>
      <c r="E22" s="25" t="s">
        <v>35</v>
      </c>
      <c r="F22" s="89"/>
      <c r="G22" s="89"/>
      <c r="H22" s="89"/>
      <c r="I22" s="90">
        <f>SUM(I23:I31)</f>
        <v>7173.57</v>
      </c>
      <c r="J22" s="80"/>
      <c r="K22" s="74"/>
      <c r="L22" s="90">
        <f>SUM(L23:L31)</f>
        <v>7173.5731000000005</v>
      </c>
      <c r="M22" s="74"/>
      <c r="N22" s="90">
        <f>SUM(N23:N31)</f>
        <v>0</v>
      </c>
    </row>
    <row r="23" spans="2:14" s="43" customFormat="1" ht="27">
      <c r="B23" s="27">
        <v>5</v>
      </c>
      <c r="C23" s="27" t="s">
        <v>91</v>
      </c>
      <c r="D23" s="28" t="s">
        <v>36</v>
      </c>
      <c r="E23" s="29" t="s">
        <v>37</v>
      </c>
      <c r="F23" s="30" t="s">
        <v>26</v>
      </c>
      <c r="G23" s="74">
        <v>14</v>
      </c>
      <c r="H23" s="75">
        <v>60.5</v>
      </c>
      <c r="I23" s="76">
        <f>ROUND(H23*G23,2)</f>
        <v>847</v>
      </c>
      <c r="J23" s="41"/>
      <c r="K23" s="74">
        <f>G23</f>
        <v>14</v>
      </c>
      <c r="L23" s="76">
        <f aca="true" t="shared" si="3" ref="L23:L24">K23*H23</f>
        <v>847</v>
      </c>
      <c r="M23" s="74">
        <f aca="true" t="shared" si="4" ref="M23:M24">G23-K23</f>
        <v>0</v>
      </c>
      <c r="N23" s="76">
        <f aca="true" t="shared" si="5" ref="N23:N24">M23*H23</f>
        <v>0</v>
      </c>
    </row>
    <row r="24" spans="2:14" s="10" customFormat="1" ht="44.25" customHeight="1">
      <c r="B24" s="44">
        <v>6</v>
      </c>
      <c r="C24" s="44" t="s">
        <v>91</v>
      </c>
      <c r="D24" s="44" t="s">
        <v>38</v>
      </c>
      <c r="E24" s="45" t="s">
        <v>39</v>
      </c>
      <c r="F24" s="46" t="s">
        <v>26</v>
      </c>
      <c r="G24" s="77">
        <v>14.21</v>
      </c>
      <c r="H24" s="78">
        <v>99.11</v>
      </c>
      <c r="I24" s="79">
        <f>ROUND(H24*G24,2)</f>
        <v>1408.35</v>
      </c>
      <c r="J24" s="80"/>
      <c r="K24" s="74">
        <f>G24</f>
        <v>14.21</v>
      </c>
      <c r="L24" s="79">
        <f t="shared" si="3"/>
        <v>1408.3531</v>
      </c>
      <c r="M24" s="74">
        <f t="shared" si="4"/>
        <v>0</v>
      </c>
      <c r="N24" s="79">
        <f t="shared" si="5"/>
        <v>0</v>
      </c>
    </row>
    <row r="25" spans="2:14" s="10" customFormat="1" ht="13.5">
      <c r="B25" s="33"/>
      <c r="C25" s="40" t="s">
        <v>40</v>
      </c>
      <c r="D25" s="41"/>
      <c r="E25" s="42" t="s">
        <v>41</v>
      </c>
      <c r="F25" s="43"/>
      <c r="G25" s="81">
        <v>14.21</v>
      </c>
      <c r="H25" s="41"/>
      <c r="I25" s="41"/>
      <c r="J25" s="80"/>
      <c r="K25" s="81"/>
      <c r="L25" s="41"/>
      <c r="M25" s="81"/>
      <c r="N25" s="41"/>
    </row>
    <row r="26" spans="2:14" s="43" customFormat="1" ht="27">
      <c r="B26" s="33">
        <v>7</v>
      </c>
      <c r="C26" s="33" t="s">
        <v>91</v>
      </c>
      <c r="D26" s="34" t="s">
        <v>42</v>
      </c>
      <c r="E26" s="35" t="s">
        <v>43</v>
      </c>
      <c r="F26" s="36" t="s">
        <v>26</v>
      </c>
      <c r="G26" s="82">
        <v>14</v>
      </c>
      <c r="H26" s="83">
        <v>75.4</v>
      </c>
      <c r="I26" s="84">
        <f>ROUND(H26*G26,2)</f>
        <v>1055.6</v>
      </c>
      <c r="J26" s="41"/>
      <c r="K26" s="74">
        <f>G26</f>
        <v>14</v>
      </c>
      <c r="L26" s="84">
        <f aca="true" t="shared" si="6" ref="L26:L27">K26*H26</f>
        <v>1055.6000000000001</v>
      </c>
      <c r="M26" s="74">
        <f aca="true" t="shared" si="7" ref="M26:M27">G26-K26</f>
        <v>0</v>
      </c>
      <c r="N26" s="84">
        <f aca="true" t="shared" si="8" ref="N26:N27">M26*H26</f>
        <v>0</v>
      </c>
    </row>
    <row r="27" spans="2:14" s="10" customFormat="1" ht="27">
      <c r="B27" s="44">
        <v>8</v>
      </c>
      <c r="C27" s="44" t="s">
        <v>91</v>
      </c>
      <c r="D27" s="44" t="s">
        <v>44</v>
      </c>
      <c r="E27" s="45" t="s">
        <v>45</v>
      </c>
      <c r="F27" s="46" t="s">
        <v>26</v>
      </c>
      <c r="G27" s="77">
        <v>14.21</v>
      </c>
      <c r="H27" s="78">
        <v>117</v>
      </c>
      <c r="I27" s="79">
        <f>ROUND(H27*G27,2)</f>
        <v>1662.57</v>
      </c>
      <c r="J27" s="80"/>
      <c r="K27" s="74">
        <f>G27</f>
        <v>14.21</v>
      </c>
      <c r="L27" s="79">
        <f t="shared" si="6"/>
        <v>1662.5700000000002</v>
      </c>
      <c r="M27" s="74">
        <f t="shared" si="7"/>
        <v>0</v>
      </c>
      <c r="N27" s="79">
        <f t="shared" si="8"/>
        <v>0</v>
      </c>
    </row>
    <row r="28" spans="2:14" s="10" customFormat="1" ht="13.5">
      <c r="B28" s="33"/>
      <c r="C28" s="40" t="s">
        <v>40</v>
      </c>
      <c r="D28" s="41"/>
      <c r="E28" s="42" t="s">
        <v>41</v>
      </c>
      <c r="F28" s="43"/>
      <c r="G28" s="81">
        <v>14.21</v>
      </c>
      <c r="H28" s="41"/>
      <c r="I28" s="41"/>
      <c r="J28" s="80"/>
      <c r="K28" s="81"/>
      <c r="L28" s="41"/>
      <c r="M28" s="81"/>
      <c r="N28" s="41"/>
    </row>
    <row r="29" spans="2:14" s="10" customFormat="1" ht="13.5">
      <c r="B29" s="33">
        <v>9</v>
      </c>
      <c r="C29" s="33" t="s">
        <v>91</v>
      </c>
      <c r="D29" s="34" t="s">
        <v>46</v>
      </c>
      <c r="E29" s="35" t="s">
        <v>47</v>
      </c>
      <c r="F29" s="36" t="s">
        <v>26</v>
      </c>
      <c r="G29" s="82">
        <v>28</v>
      </c>
      <c r="H29" s="83">
        <v>14.4</v>
      </c>
      <c r="I29" s="84">
        <f>ROUND(H29*G29,2)</f>
        <v>403.2</v>
      </c>
      <c r="J29" s="80"/>
      <c r="K29" s="74">
        <f>G29</f>
        <v>28</v>
      </c>
      <c r="L29" s="84">
        <f aca="true" t="shared" si="9" ref="L29:L31">K29*H29</f>
        <v>403.2</v>
      </c>
      <c r="M29" s="74">
        <f aca="true" t="shared" si="10" ref="M29:M31">G29-K29</f>
        <v>0</v>
      </c>
      <c r="N29" s="84">
        <f aca="true" t="shared" si="11" ref="N29:N31">M29*H29</f>
        <v>0</v>
      </c>
    </row>
    <row r="30" spans="2:14" s="10" customFormat="1" ht="13.5">
      <c r="B30" s="33">
        <v>10</v>
      </c>
      <c r="C30" s="33" t="s">
        <v>91</v>
      </c>
      <c r="D30" s="34" t="s">
        <v>48</v>
      </c>
      <c r="E30" s="35" t="s">
        <v>49</v>
      </c>
      <c r="F30" s="36" t="s">
        <v>26</v>
      </c>
      <c r="G30" s="82">
        <v>1</v>
      </c>
      <c r="H30" s="83">
        <v>1570</v>
      </c>
      <c r="I30" s="84">
        <f>ROUND(H30*G30,2)</f>
        <v>1570</v>
      </c>
      <c r="J30" s="80"/>
      <c r="K30" s="74">
        <f>G30</f>
        <v>1</v>
      </c>
      <c r="L30" s="84">
        <f t="shared" si="9"/>
        <v>1570</v>
      </c>
      <c r="M30" s="74">
        <f t="shared" si="10"/>
        <v>0</v>
      </c>
      <c r="N30" s="84">
        <f t="shared" si="11"/>
        <v>0</v>
      </c>
    </row>
    <row r="31" spans="2:14" ht="13.5">
      <c r="B31" s="44">
        <v>11</v>
      </c>
      <c r="C31" s="44" t="s">
        <v>91</v>
      </c>
      <c r="D31" s="44" t="s">
        <v>50</v>
      </c>
      <c r="E31" s="45" t="s">
        <v>51</v>
      </c>
      <c r="F31" s="46" t="s">
        <v>52</v>
      </c>
      <c r="G31" s="47">
        <v>1</v>
      </c>
      <c r="H31" s="48">
        <v>226.85</v>
      </c>
      <c r="I31" s="49">
        <f>ROUND(H31*G31,2)</f>
        <v>226.85</v>
      </c>
      <c r="K31" s="31">
        <f>G31</f>
        <v>1</v>
      </c>
      <c r="L31" s="49">
        <f t="shared" si="9"/>
        <v>226.85</v>
      </c>
      <c r="M31" s="31">
        <f t="shared" si="10"/>
        <v>0</v>
      </c>
      <c r="N31" s="49">
        <f t="shared" si="11"/>
        <v>0</v>
      </c>
    </row>
  </sheetData>
  <mergeCells count="5">
    <mergeCell ref="D5:G5"/>
    <mergeCell ref="D7:G7"/>
    <mergeCell ref="K13:L13"/>
    <mergeCell ref="M13:N13"/>
    <mergeCell ref="K12:N12"/>
  </mergeCells>
  <printOptions horizontalCentered="1"/>
  <pageMargins left="0.5905511811023623" right="0.5905511811023623" top="0.984251968503937" bottom="0.5905511811023623" header="0.1968503937007874" footer="0"/>
  <pageSetup blackAndWhite="1" fitToHeight="100" fitToWidth="1" horizontalDpi="600" verticalDpi="600" orientation="landscape" paperSize="9" scale="86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B4677-AAB6-43DF-8AF6-3901F7711D5C}">
  <sheetPr>
    <pageSetUpPr fitToPage="1"/>
  </sheetPr>
  <dimension ref="B3:P37"/>
  <sheetViews>
    <sheetView showGridLines="0" workbookViewId="0" topLeftCell="A3">
      <pane xSplit="10" ySplit="13" topLeftCell="K18" activePane="bottomRight" state="frozen"/>
      <selection pane="topLeft" activeCell="A3" sqref="A3"/>
      <selection pane="topRight" activeCell="K3" sqref="K3"/>
      <selection pane="bottomLeft" activeCell="A16" sqref="A16"/>
      <selection pane="bottomRight" activeCell="O7" sqref="O7"/>
    </sheetView>
  </sheetViews>
  <sheetFormatPr defaultColWidth="9.140625" defaultRowHeight="12"/>
  <cols>
    <col min="1" max="1" width="3.28125" style="51" customWidth="1"/>
    <col min="2" max="2" width="1.1484375" style="51" customWidth="1"/>
    <col min="3" max="3" width="4.140625" style="51" customWidth="1"/>
    <col min="4" max="4" width="9.140625" style="51" bestFit="1" customWidth="1"/>
    <col min="5" max="5" width="9.00390625" style="51" customWidth="1"/>
    <col min="6" max="6" width="66.7109375" style="51" customWidth="1"/>
    <col min="7" max="7" width="7.421875" style="51" customWidth="1"/>
    <col min="8" max="8" width="11.00390625" style="51" customWidth="1"/>
    <col min="9" max="9" width="14.140625" style="51" customWidth="1"/>
    <col min="10" max="10" width="15.8515625" style="51" bestFit="1" customWidth="1"/>
    <col min="11" max="11" width="3.00390625" style="51" customWidth="1"/>
    <col min="12" max="12" width="9.28125" style="51" customWidth="1"/>
    <col min="13" max="13" width="10.7109375" style="51" bestFit="1" customWidth="1"/>
    <col min="14" max="14" width="9.28125" style="51" customWidth="1"/>
    <col min="15" max="15" width="10.140625" style="51" bestFit="1" customWidth="1"/>
    <col min="16" max="16384" width="9.28125" style="51" customWidth="1"/>
  </cols>
  <sheetData>
    <row r="2" s="10" customFormat="1" ht="6.95" customHeight="1"/>
    <row r="3" s="10" customFormat="1" ht="24.95" customHeight="1">
      <c r="C3" s="11" t="s">
        <v>15</v>
      </c>
    </row>
    <row r="4" s="10" customFormat="1" ht="6.95" customHeight="1"/>
    <row r="5" s="10" customFormat="1" ht="12" customHeight="1">
      <c r="C5" s="12" t="s">
        <v>0</v>
      </c>
    </row>
    <row r="6" spans="5:8" s="10" customFormat="1" ht="26.25" customHeight="1">
      <c r="E6" s="92" t="s">
        <v>88</v>
      </c>
      <c r="F6" s="93"/>
      <c r="G6" s="93"/>
      <c r="H6" s="93"/>
    </row>
    <row r="7" s="10" customFormat="1" ht="12" customHeight="1">
      <c r="C7" s="12" t="s">
        <v>14</v>
      </c>
    </row>
    <row r="8" spans="5:6" s="10" customFormat="1" ht="16.5" customHeight="1">
      <c r="E8" s="94" t="s">
        <v>94</v>
      </c>
      <c r="F8" s="94"/>
    </row>
    <row r="9" s="10" customFormat="1" ht="6.95" customHeight="1"/>
    <row r="10" spans="3:10" s="10" customFormat="1" ht="12" customHeight="1">
      <c r="C10" s="12" t="s">
        <v>2</v>
      </c>
      <c r="F10" s="12" t="s">
        <v>3</v>
      </c>
      <c r="I10" s="12" t="s">
        <v>4</v>
      </c>
      <c r="J10" s="14"/>
    </row>
    <row r="11" s="10" customFormat="1" ht="6.95" customHeight="1"/>
    <row r="12" spans="3:10" s="10" customFormat="1" ht="15.2" customHeight="1">
      <c r="C12" s="12" t="s">
        <v>5</v>
      </c>
      <c r="F12" s="12" t="s">
        <v>89</v>
      </c>
      <c r="I12" s="12" t="s">
        <v>7</v>
      </c>
      <c r="J12" s="13" t="s">
        <v>90</v>
      </c>
    </row>
    <row r="13" spans="3:16" s="10" customFormat="1" ht="15.2" customHeight="1">
      <c r="C13" s="12" t="s">
        <v>53</v>
      </c>
      <c r="F13" s="12" t="s">
        <v>99</v>
      </c>
      <c r="I13" s="12" t="s">
        <v>8</v>
      </c>
      <c r="J13" s="13" t="s">
        <v>3</v>
      </c>
      <c r="K13" s="51"/>
      <c r="L13" s="96" t="s">
        <v>107</v>
      </c>
      <c r="M13" s="96"/>
      <c r="N13" s="96"/>
      <c r="O13" s="96"/>
      <c r="P13" s="51"/>
    </row>
    <row r="14" spans="12:15" s="10" customFormat="1" ht="10.35" customHeight="1">
      <c r="L14" s="96" t="s">
        <v>102</v>
      </c>
      <c r="M14" s="96"/>
      <c r="N14" s="96" t="s">
        <v>105</v>
      </c>
      <c r="O14" s="96"/>
    </row>
    <row r="15" spans="3:15" s="15" customFormat="1" ht="13.5">
      <c r="C15" s="16" t="s">
        <v>16</v>
      </c>
      <c r="D15" s="16" t="s">
        <v>11</v>
      </c>
      <c r="E15" s="16" t="s">
        <v>9</v>
      </c>
      <c r="F15" s="16" t="s">
        <v>10</v>
      </c>
      <c r="G15" s="16" t="s">
        <v>17</v>
      </c>
      <c r="H15" s="16" t="s">
        <v>18</v>
      </c>
      <c r="I15" s="16" t="s">
        <v>100</v>
      </c>
      <c r="J15" s="16" t="s">
        <v>106</v>
      </c>
      <c r="L15" s="16" t="s">
        <v>103</v>
      </c>
      <c r="M15" s="16" t="s">
        <v>104</v>
      </c>
      <c r="N15" s="16" t="s">
        <v>103</v>
      </c>
      <c r="O15" s="16" t="s">
        <v>104</v>
      </c>
    </row>
    <row r="16" spans="3:15" s="10" customFormat="1" ht="15.75">
      <c r="C16" s="53" t="s">
        <v>19</v>
      </c>
      <c r="J16" s="54">
        <f>J17+J22</f>
        <v>13423.529999999999</v>
      </c>
      <c r="L16" s="18"/>
      <c r="M16" s="19">
        <f>M17+M22</f>
        <v>13423.527399999999</v>
      </c>
      <c r="N16" s="18"/>
      <c r="O16" s="19">
        <f>O17</f>
        <v>0</v>
      </c>
    </row>
    <row r="17" spans="3:15" s="10" customFormat="1" ht="15.75">
      <c r="C17" s="55"/>
      <c r="D17" s="56" t="s">
        <v>12</v>
      </c>
      <c r="E17" s="57" t="s">
        <v>20</v>
      </c>
      <c r="F17" s="57" t="s">
        <v>21</v>
      </c>
      <c r="G17" s="55"/>
      <c r="H17" s="55"/>
      <c r="I17" s="55"/>
      <c r="J17" s="58">
        <f>J18</f>
        <v>3988</v>
      </c>
      <c r="L17" s="21"/>
      <c r="M17" s="24">
        <f>M18</f>
        <v>3988.000000000001</v>
      </c>
      <c r="N17" s="21"/>
      <c r="O17" s="24">
        <f>O18+O23</f>
        <v>0</v>
      </c>
    </row>
    <row r="18" spans="3:15" s="10" customFormat="1" ht="13.5">
      <c r="C18" s="55"/>
      <c r="D18" s="56" t="s">
        <v>12</v>
      </c>
      <c r="E18" s="59" t="s">
        <v>13</v>
      </c>
      <c r="F18" s="59" t="s">
        <v>22</v>
      </c>
      <c r="G18" s="55"/>
      <c r="H18" s="55"/>
      <c r="I18" s="55"/>
      <c r="J18" s="60">
        <f>SUM(J19:J21)</f>
        <v>3988</v>
      </c>
      <c r="L18" s="21"/>
      <c r="M18" s="26">
        <f>SUM(M19:M21)</f>
        <v>3988.000000000001</v>
      </c>
      <c r="N18" s="21"/>
      <c r="O18" s="26">
        <f>SUM(O19:O21)</f>
        <v>0</v>
      </c>
    </row>
    <row r="19" spans="3:15" s="10" customFormat="1" ht="27">
      <c r="C19" s="61">
        <v>1</v>
      </c>
      <c r="D19" s="33" t="s">
        <v>91</v>
      </c>
      <c r="E19" s="62" t="s">
        <v>27</v>
      </c>
      <c r="F19" s="63" t="s">
        <v>28</v>
      </c>
      <c r="G19" s="64" t="s">
        <v>29</v>
      </c>
      <c r="H19" s="65">
        <f>7.5*0.4*0.8</f>
        <v>2.4000000000000004</v>
      </c>
      <c r="I19" s="37">
        <v>1070</v>
      </c>
      <c r="J19" s="66">
        <f>ROUND(I19*H19,2)</f>
        <v>2568</v>
      </c>
      <c r="L19" s="31">
        <f>H19</f>
        <v>2.4000000000000004</v>
      </c>
      <c r="M19" s="32">
        <f>L19*I19</f>
        <v>2568.0000000000005</v>
      </c>
      <c r="N19" s="31">
        <f>H19-L19</f>
        <v>0</v>
      </c>
      <c r="O19" s="32">
        <f>N19*I19</f>
        <v>0</v>
      </c>
    </row>
    <row r="20" spans="3:15" s="10" customFormat="1" ht="27">
      <c r="C20" s="61">
        <f>MAX($C$19:C19)+1</f>
        <v>2</v>
      </c>
      <c r="D20" s="33" t="s">
        <v>91</v>
      </c>
      <c r="E20" s="62" t="s">
        <v>31</v>
      </c>
      <c r="F20" s="63" t="s">
        <v>32</v>
      </c>
      <c r="G20" s="64" t="s">
        <v>29</v>
      </c>
      <c r="H20" s="65">
        <f>1*0.4*0.8</f>
        <v>0.32000000000000006</v>
      </c>
      <c r="I20" s="37">
        <v>2270</v>
      </c>
      <c r="J20" s="66">
        <f>ROUND(I20*H20,2)</f>
        <v>726.4</v>
      </c>
      <c r="L20" s="31">
        <f>H20</f>
        <v>0.32000000000000006</v>
      </c>
      <c r="M20" s="32">
        <f>L20*I20</f>
        <v>726.4000000000001</v>
      </c>
      <c r="N20" s="31">
        <f>H20-L20</f>
        <v>0</v>
      </c>
      <c r="O20" s="32">
        <f>N20*I20</f>
        <v>0</v>
      </c>
    </row>
    <row r="21" spans="3:15" s="10" customFormat="1" ht="27">
      <c r="C21" s="61">
        <f>MAX($C$19:C20)+1</f>
        <v>3</v>
      </c>
      <c r="D21" s="33" t="s">
        <v>91</v>
      </c>
      <c r="E21" s="62" t="s">
        <v>33</v>
      </c>
      <c r="F21" s="63" t="s">
        <v>34</v>
      </c>
      <c r="G21" s="64" t="s">
        <v>29</v>
      </c>
      <c r="H21" s="65">
        <f>H19+H20</f>
        <v>2.7200000000000006</v>
      </c>
      <c r="I21" s="37">
        <v>255</v>
      </c>
      <c r="J21" s="66">
        <f>ROUND(I21*H21,2)</f>
        <v>693.6</v>
      </c>
      <c r="L21" s="31">
        <f>H21</f>
        <v>2.7200000000000006</v>
      </c>
      <c r="M21" s="32">
        <f>L21*I21</f>
        <v>693.6000000000001</v>
      </c>
      <c r="N21" s="31">
        <f>H21-L21</f>
        <v>0</v>
      </c>
      <c r="O21" s="32">
        <f>N21*I21</f>
        <v>0</v>
      </c>
    </row>
    <row r="22" spans="3:15" s="55" customFormat="1" ht="15.75">
      <c r="C22" s="61"/>
      <c r="D22" s="56" t="s">
        <v>12</v>
      </c>
      <c r="E22" s="57" t="s">
        <v>54</v>
      </c>
      <c r="F22" s="57" t="s">
        <v>55</v>
      </c>
      <c r="I22" s="67"/>
      <c r="J22" s="58">
        <f>SUM(J23+J27+J29+J34)</f>
        <v>9435.529999999999</v>
      </c>
      <c r="M22" s="58">
        <f>SUM(M23+M27+M29+M34)</f>
        <v>9435.527399999999</v>
      </c>
      <c r="O22" s="58">
        <f>SUM(O23+O27+O29+O34)</f>
        <v>0</v>
      </c>
    </row>
    <row r="23" spans="3:15" s="55" customFormat="1" ht="13.5">
      <c r="C23" s="61"/>
      <c r="D23" s="56" t="s">
        <v>12</v>
      </c>
      <c r="E23" s="59" t="s">
        <v>56</v>
      </c>
      <c r="F23" s="59" t="s">
        <v>57</v>
      </c>
      <c r="I23" s="67"/>
      <c r="J23" s="60">
        <f>SUM(J24:J26)</f>
        <v>2520</v>
      </c>
      <c r="M23" s="60">
        <f>SUM(M24:M26)</f>
        <v>2520</v>
      </c>
      <c r="O23" s="60">
        <f>SUM(O24:O26)</f>
        <v>0</v>
      </c>
    </row>
    <row r="24" spans="2:15" s="10" customFormat="1" ht="13.5">
      <c r="B24" s="68"/>
      <c r="C24" s="61">
        <f>MAX($C$19:C23)+1</f>
        <v>4</v>
      </c>
      <c r="D24" s="69" t="s">
        <v>23</v>
      </c>
      <c r="E24" s="70" t="s">
        <v>58</v>
      </c>
      <c r="F24" s="35" t="s">
        <v>59</v>
      </c>
      <c r="G24" s="36" t="s">
        <v>26</v>
      </c>
      <c r="H24" s="50">
        <v>30</v>
      </c>
      <c r="I24" s="37">
        <v>48</v>
      </c>
      <c r="J24" s="38">
        <f aca="true" t="shared" si="0" ref="J24:J26">ROUND(I24*H24,2)</f>
        <v>1440</v>
      </c>
      <c r="L24" s="31">
        <f aca="true" t="shared" si="1" ref="L24:L26">H24</f>
        <v>30</v>
      </c>
      <c r="M24" s="32">
        <f aca="true" t="shared" si="2" ref="M24:M26">L24*I24</f>
        <v>1440</v>
      </c>
      <c r="N24" s="31">
        <f aca="true" t="shared" si="3" ref="N24:N26">H24-L24</f>
        <v>0</v>
      </c>
      <c r="O24" s="32">
        <f aca="true" t="shared" si="4" ref="O24:O26">N24*I24</f>
        <v>0</v>
      </c>
    </row>
    <row r="25" spans="2:15" s="10" customFormat="1" ht="13.5">
      <c r="B25" s="68"/>
      <c r="C25" s="61">
        <f>MAX($C$19:C24)+1</f>
        <v>5</v>
      </c>
      <c r="D25" s="69" t="s">
        <v>23</v>
      </c>
      <c r="E25" s="70" t="s">
        <v>60</v>
      </c>
      <c r="F25" s="35" t="s">
        <v>61</v>
      </c>
      <c r="G25" s="36" t="s">
        <v>26</v>
      </c>
      <c r="H25" s="50">
        <v>13</v>
      </c>
      <c r="I25" s="37">
        <v>60</v>
      </c>
      <c r="J25" s="38">
        <f t="shared" si="0"/>
        <v>780</v>
      </c>
      <c r="L25" s="31">
        <f t="shared" si="1"/>
        <v>13</v>
      </c>
      <c r="M25" s="32">
        <f t="shared" si="2"/>
        <v>780</v>
      </c>
      <c r="N25" s="31">
        <f t="shared" si="3"/>
        <v>0</v>
      </c>
      <c r="O25" s="32">
        <f t="shared" si="4"/>
        <v>0</v>
      </c>
    </row>
    <row r="26" spans="2:15" s="10" customFormat="1" ht="13.5">
      <c r="B26" s="68"/>
      <c r="C26" s="61">
        <f>MAX($C$19:C25)+1</f>
        <v>6</v>
      </c>
      <c r="D26" s="69" t="s">
        <v>23</v>
      </c>
      <c r="E26" s="70" t="s">
        <v>62</v>
      </c>
      <c r="F26" s="35" t="s">
        <v>63</v>
      </c>
      <c r="G26" s="36" t="s">
        <v>26</v>
      </c>
      <c r="H26" s="50">
        <v>30</v>
      </c>
      <c r="I26" s="37">
        <v>10</v>
      </c>
      <c r="J26" s="38">
        <f t="shared" si="0"/>
        <v>300</v>
      </c>
      <c r="L26" s="31">
        <f t="shared" si="1"/>
        <v>30</v>
      </c>
      <c r="M26" s="32">
        <f t="shared" si="2"/>
        <v>300</v>
      </c>
      <c r="N26" s="31">
        <f t="shared" si="3"/>
        <v>0</v>
      </c>
      <c r="O26" s="32">
        <f t="shared" si="4"/>
        <v>0</v>
      </c>
    </row>
    <row r="27" spans="3:15" s="55" customFormat="1" ht="13.5">
      <c r="C27" s="61">
        <f>MAX($C$19:C26)+1</f>
        <v>7</v>
      </c>
      <c r="D27" s="56" t="s">
        <v>12</v>
      </c>
      <c r="E27" s="59" t="s">
        <v>64</v>
      </c>
      <c r="F27" s="59" t="s">
        <v>65</v>
      </c>
      <c r="I27" s="67"/>
      <c r="J27" s="60">
        <f>J28</f>
        <v>600</v>
      </c>
      <c r="M27" s="60">
        <f>M28</f>
        <v>600</v>
      </c>
      <c r="O27" s="60">
        <f>O28</f>
        <v>0</v>
      </c>
    </row>
    <row r="28" spans="2:15" s="10" customFormat="1" ht="13.5">
      <c r="B28" s="68"/>
      <c r="C28" s="61">
        <f>MAX($C$19:C27)+1</f>
        <v>8</v>
      </c>
      <c r="D28" s="69" t="s">
        <v>23</v>
      </c>
      <c r="E28" s="70" t="s">
        <v>66</v>
      </c>
      <c r="F28" s="35" t="s">
        <v>67</v>
      </c>
      <c r="G28" s="36" t="s">
        <v>68</v>
      </c>
      <c r="H28" s="50">
        <v>1</v>
      </c>
      <c r="I28" s="37">
        <v>600</v>
      </c>
      <c r="J28" s="38">
        <f aca="true" t="shared" si="5" ref="J28">ROUND(I28*H28,2)</f>
        <v>600</v>
      </c>
      <c r="L28" s="31">
        <f aca="true" t="shared" si="6" ref="L28">H28</f>
        <v>1</v>
      </c>
      <c r="M28" s="32">
        <f aca="true" t="shared" si="7" ref="M28">L28*I28</f>
        <v>600</v>
      </c>
      <c r="N28" s="31">
        <f aca="true" t="shared" si="8" ref="N28">H28-L28</f>
        <v>0</v>
      </c>
      <c r="O28" s="32">
        <f aca="true" t="shared" si="9" ref="O28">N28*I28</f>
        <v>0</v>
      </c>
    </row>
    <row r="29" spans="3:15" s="55" customFormat="1" ht="13.5">
      <c r="C29" s="61"/>
      <c r="D29" s="56" t="s">
        <v>12</v>
      </c>
      <c r="E29" s="59" t="s">
        <v>69</v>
      </c>
      <c r="F29" s="59" t="s">
        <v>70</v>
      </c>
      <c r="I29" s="67"/>
      <c r="J29" s="60">
        <f>SUM(J30:J33)</f>
        <v>5623.8</v>
      </c>
      <c r="M29" s="60">
        <f>SUM(M30:M33)</f>
        <v>5623.8</v>
      </c>
      <c r="O29" s="60">
        <f>SUM(O30:O33)</f>
        <v>0</v>
      </c>
    </row>
    <row r="30" spans="2:15" s="10" customFormat="1" ht="13.5">
      <c r="B30" s="68"/>
      <c r="C30" s="61">
        <f>MAX($C$19:C29)+1</f>
        <v>9</v>
      </c>
      <c r="D30" s="69" t="s">
        <v>23</v>
      </c>
      <c r="E30" s="70" t="s">
        <v>71</v>
      </c>
      <c r="F30" s="35" t="s">
        <v>72</v>
      </c>
      <c r="G30" s="36" t="s">
        <v>26</v>
      </c>
      <c r="H30" s="50">
        <v>30</v>
      </c>
      <c r="I30" s="37">
        <v>35</v>
      </c>
      <c r="J30" s="38">
        <f aca="true" t="shared" si="10" ref="J30:J33">ROUND(I30*H30,2)</f>
        <v>1050</v>
      </c>
      <c r="L30" s="31">
        <f aca="true" t="shared" si="11" ref="L30:L33">H30</f>
        <v>30</v>
      </c>
      <c r="M30" s="32">
        <f aca="true" t="shared" si="12" ref="M30:M33">L30*I30</f>
        <v>1050</v>
      </c>
      <c r="N30" s="31">
        <f aca="true" t="shared" si="13" ref="N30:N33">H30-L30</f>
        <v>0</v>
      </c>
      <c r="O30" s="32">
        <f aca="true" t="shared" si="14" ref="O30:O33">N30*I30</f>
        <v>0</v>
      </c>
    </row>
    <row r="31" spans="2:15" s="10" customFormat="1" ht="13.5">
      <c r="B31" s="68"/>
      <c r="C31" s="61">
        <f>MAX($C$19:C30)+1</f>
        <v>10</v>
      </c>
      <c r="D31" s="69" t="s">
        <v>23</v>
      </c>
      <c r="E31" s="70" t="s">
        <v>73</v>
      </c>
      <c r="F31" s="35" t="s">
        <v>74</v>
      </c>
      <c r="G31" s="36" t="s">
        <v>26</v>
      </c>
      <c r="H31" s="50">
        <v>13</v>
      </c>
      <c r="I31" s="37">
        <v>312</v>
      </c>
      <c r="J31" s="38">
        <f t="shared" si="10"/>
        <v>4056</v>
      </c>
      <c r="L31" s="31">
        <f t="shared" si="11"/>
        <v>13</v>
      </c>
      <c r="M31" s="32">
        <f t="shared" si="12"/>
        <v>4056</v>
      </c>
      <c r="N31" s="31">
        <f t="shared" si="13"/>
        <v>0</v>
      </c>
      <c r="O31" s="32">
        <f t="shared" si="14"/>
        <v>0</v>
      </c>
    </row>
    <row r="32" spans="2:15" s="10" customFormat="1" ht="13.5">
      <c r="B32" s="68"/>
      <c r="C32" s="61">
        <f>MAX($C$19:C31)+1</f>
        <v>11</v>
      </c>
      <c r="D32" s="69" t="s">
        <v>23</v>
      </c>
      <c r="E32" s="70" t="s">
        <v>75</v>
      </c>
      <c r="F32" s="35" t="s">
        <v>76</v>
      </c>
      <c r="G32" s="36" t="s">
        <v>26</v>
      </c>
      <c r="H32" s="50">
        <v>30</v>
      </c>
      <c r="I32" s="37">
        <v>10</v>
      </c>
      <c r="J32" s="38">
        <f t="shared" si="10"/>
        <v>300</v>
      </c>
      <c r="L32" s="31">
        <f t="shared" si="11"/>
        <v>30</v>
      </c>
      <c r="M32" s="32">
        <f t="shared" si="12"/>
        <v>300</v>
      </c>
      <c r="N32" s="31">
        <f t="shared" si="13"/>
        <v>0</v>
      </c>
      <c r="O32" s="32">
        <f t="shared" si="14"/>
        <v>0</v>
      </c>
    </row>
    <row r="33" spans="2:15" s="10" customFormat="1" ht="13.5">
      <c r="B33" s="68"/>
      <c r="C33" s="61">
        <f>MAX($C$19:C32)+1</f>
        <v>12</v>
      </c>
      <c r="D33" s="69" t="s">
        <v>23</v>
      </c>
      <c r="E33" s="70" t="s">
        <v>77</v>
      </c>
      <c r="F33" s="35" t="s">
        <v>78</v>
      </c>
      <c r="G33" s="36" t="s">
        <v>79</v>
      </c>
      <c r="H33" s="71">
        <v>5</v>
      </c>
      <c r="I33" s="37">
        <f>SUM(J31:J32)*0.01</f>
        <v>43.56</v>
      </c>
      <c r="J33" s="38">
        <f t="shared" si="10"/>
        <v>217.8</v>
      </c>
      <c r="L33" s="31">
        <f t="shared" si="11"/>
        <v>5</v>
      </c>
      <c r="M33" s="32">
        <f t="shared" si="12"/>
        <v>217.8</v>
      </c>
      <c r="N33" s="31">
        <f t="shared" si="13"/>
        <v>0</v>
      </c>
      <c r="O33" s="32">
        <f t="shared" si="14"/>
        <v>0</v>
      </c>
    </row>
    <row r="34" spans="3:15" s="55" customFormat="1" ht="13.5">
      <c r="C34" s="61"/>
      <c r="D34" s="56" t="s">
        <v>12</v>
      </c>
      <c r="E34" s="59" t="s">
        <v>80</v>
      </c>
      <c r="F34" s="59" t="s">
        <v>81</v>
      </c>
      <c r="I34" s="67"/>
      <c r="J34" s="60">
        <f>SUM(J35:J37)</f>
        <v>691.73</v>
      </c>
      <c r="M34" s="60">
        <f>SUM(M35:M37)</f>
        <v>691.7274</v>
      </c>
      <c r="O34" s="60">
        <f>SUM(O35:O37)</f>
        <v>0</v>
      </c>
    </row>
    <row r="35" spans="2:15" s="10" customFormat="1" ht="13.5">
      <c r="B35" s="68"/>
      <c r="C35" s="61">
        <f>MAX($C$19:C34)+1</f>
        <v>13</v>
      </c>
      <c r="D35" s="69" t="s">
        <v>23</v>
      </c>
      <c r="E35" s="70" t="s">
        <v>82</v>
      </c>
      <c r="F35" s="35" t="s">
        <v>83</v>
      </c>
      <c r="G35" s="36" t="s">
        <v>79</v>
      </c>
      <c r="H35" s="72">
        <v>0.025</v>
      </c>
      <c r="I35" s="37">
        <f>SUM(J29)</f>
        <v>5623.8</v>
      </c>
      <c r="J35" s="38">
        <f>ROUND(I35*H35,2)</f>
        <v>140.6</v>
      </c>
      <c r="L35" s="31">
        <f aca="true" t="shared" si="15" ref="L35:L37">H35</f>
        <v>0.025</v>
      </c>
      <c r="M35" s="32">
        <f aca="true" t="shared" si="16" ref="M35:M37">L35*I35</f>
        <v>140.595</v>
      </c>
      <c r="N35" s="31">
        <f aca="true" t="shared" si="17" ref="N35:N37">H35-L35</f>
        <v>0</v>
      </c>
      <c r="O35" s="32">
        <f aca="true" t="shared" si="18" ref="O35:O37">N35*I35</f>
        <v>0</v>
      </c>
    </row>
    <row r="36" spans="2:15" s="10" customFormat="1" ht="13.5">
      <c r="B36" s="68"/>
      <c r="C36" s="61">
        <f>MAX($C$19:C35)+1</f>
        <v>14</v>
      </c>
      <c r="D36" s="69" t="s">
        <v>23</v>
      </c>
      <c r="E36" s="70" t="s">
        <v>84</v>
      </c>
      <c r="F36" s="35" t="s">
        <v>85</v>
      </c>
      <c r="G36" s="36" t="s">
        <v>79</v>
      </c>
      <c r="H36" s="72">
        <v>0.048</v>
      </c>
      <c r="I36" s="37">
        <f>SUM(J29)</f>
        <v>5623.8</v>
      </c>
      <c r="J36" s="38">
        <f>ROUND(I36*H36,2)</f>
        <v>269.94</v>
      </c>
      <c r="L36" s="31">
        <f t="shared" si="15"/>
        <v>0.048</v>
      </c>
      <c r="M36" s="32">
        <f t="shared" si="16"/>
        <v>269.9424</v>
      </c>
      <c r="N36" s="31">
        <f t="shared" si="17"/>
        <v>0</v>
      </c>
      <c r="O36" s="32">
        <f t="shared" si="18"/>
        <v>0</v>
      </c>
    </row>
    <row r="37" spans="2:15" s="10" customFormat="1" ht="13.5">
      <c r="B37" s="68"/>
      <c r="C37" s="61">
        <f>MAX($C$19:C36)+1</f>
        <v>15</v>
      </c>
      <c r="D37" s="69" t="s">
        <v>23</v>
      </c>
      <c r="E37" s="70" t="s">
        <v>86</v>
      </c>
      <c r="F37" s="35" t="s">
        <v>87</v>
      </c>
      <c r="G37" s="36" t="s">
        <v>79</v>
      </c>
      <c r="H37" s="72">
        <v>0.05</v>
      </c>
      <c r="I37" s="37">
        <f>SUM(J29)</f>
        <v>5623.8</v>
      </c>
      <c r="J37" s="38">
        <f>ROUND(I37*H37,2)</f>
        <v>281.19</v>
      </c>
      <c r="L37" s="31">
        <f t="shared" si="15"/>
        <v>0.05</v>
      </c>
      <c r="M37" s="32">
        <f t="shared" si="16"/>
        <v>281.19</v>
      </c>
      <c r="N37" s="31">
        <f t="shared" si="17"/>
        <v>0</v>
      </c>
      <c r="O37" s="32">
        <f t="shared" si="18"/>
        <v>0</v>
      </c>
    </row>
    <row r="38" s="10" customFormat="1" ht="12"/>
    <row r="39" s="73" customFormat="1" ht="19.5" customHeight="1"/>
    <row r="40" ht="19.5" customHeight="1"/>
    <row r="41" ht="19.5" customHeight="1"/>
  </sheetData>
  <autoFilter ref="C15:J37"/>
  <mergeCells count="5">
    <mergeCell ref="E6:H6"/>
    <mergeCell ref="E8:F8"/>
    <mergeCell ref="L14:M14"/>
    <mergeCell ref="N14:O14"/>
    <mergeCell ref="L13:O13"/>
  </mergeCells>
  <printOptions horizontalCentered="1"/>
  <pageMargins left="0.5905511811023623" right="0.5905511811023623" top="0.7874015748031497" bottom="0.3937007874015748" header="0" footer="0.1968503937007874"/>
  <pageSetup blackAndWhite="1" fitToHeight="100" fitToWidth="1" horizontalDpi="600" verticalDpi="600" orientation="landscape" paperSize="9" scale="93" r:id="rId1"/>
  <headerFooter>
    <oddFooter>&amp;CStrana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29A8566905EE43B27BE3EB837E23D1" ma:contentTypeVersion="19" ma:contentTypeDescription="Vytvoří nový dokument" ma:contentTypeScope="" ma:versionID="7c8710f8fe46e89bdc9ff6577e7fbd28">
  <xsd:schema xmlns:xsd="http://www.w3.org/2001/XMLSchema" xmlns:xs="http://www.w3.org/2001/XMLSchema" xmlns:p="http://schemas.microsoft.com/office/2006/metadata/properties" xmlns:ns2="9ff150a7-0dd8-4c18-9463-a952d6568fe2" xmlns:ns3="d4cc1580-2a65-4676-bc43-8335e1d94486" targetNamespace="http://schemas.microsoft.com/office/2006/metadata/properties" ma:root="true" ma:fieldsID="93471060a0cde91d9a678c966d3f407b" ns2:_="" ns3:_="">
    <xsd:import namespace="9ff150a7-0dd8-4c18-9463-a952d6568fe2"/>
    <xsd:import namespace="d4cc1580-2a65-4676-bc43-8335e1d944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DATE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150a7-0dd8-4c18-9463-a952d6568f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29cb2dd-91a4-4f00-a29c-2dee25cc79de}" ma:internalName="TaxCatchAll" ma:showField="CatchAllData" ma:web="9ff150a7-0dd8-4c18-9463-a952d6568f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c1580-2a65-4676-bc43-8335e1d944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" ma:index="20" nillable="true" ma:displayName="DATE" ma:format="DateOnly" ma:internalName="DATE">
      <xsd:simpleType>
        <xsd:restriction base="dms:DateTime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7af5795b-154a-4650-8316-fc4b5658d9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ff150a7-0dd8-4c18-9463-a952d6568fe2" xsi:nil="true"/>
    <DATE xmlns="d4cc1580-2a65-4676-bc43-8335e1d94486" xsi:nil="true"/>
    <lcf76f155ced4ddcb4097134ff3c332f xmlns="d4cc1580-2a65-4676-bc43-8335e1d9448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B9DD88E-0ABD-4530-962D-163CA781EA99}"/>
</file>

<file path=customXml/itemProps2.xml><?xml version="1.0" encoding="utf-8"?>
<ds:datastoreItem xmlns:ds="http://schemas.openxmlformats.org/officeDocument/2006/customXml" ds:itemID="{5F469417-2C01-464F-A838-FC434B5EBE62}"/>
</file>

<file path=customXml/itemProps3.xml><?xml version="1.0" encoding="utf-8"?>
<ds:datastoreItem xmlns:ds="http://schemas.openxmlformats.org/officeDocument/2006/customXml" ds:itemID="{4EC9BE4B-B95B-4529-89D4-5F2A01DFA5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Dvořák</dc:creator>
  <cp:keywords/>
  <dc:description/>
  <cp:lastModifiedBy>Jan Dvořák</cp:lastModifiedBy>
  <cp:lastPrinted>2024-03-14T14:57:30Z</cp:lastPrinted>
  <dcterms:created xsi:type="dcterms:W3CDTF">2024-02-07T15:12:44Z</dcterms:created>
  <dcterms:modified xsi:type="dcterms:W3CDTF">2024-04-02T17:05:51Z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0x0101008C29A8566905EE43B27BE3EB837E23D1</vt:lpwstr>
  </property>
</Properties>
</file>